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comments2.xml" ContentType="application/vnd.openxmlformats-officedocument.spreadsheetml.comments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.xml" ContentType="application/vnd.openxmlformats-officedocument.spreadsheetml.pivotTable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0.xml" ContentType="application/vnd.openxmlformats-officedocument.drawing+xml"/>
  <Override PartName="/xl/comments4.xml" ContentType="application/vnd.openxmlformats-officedocument.spreadsheetml.comments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omments5.xml" ContentType="application/vnd.openxmlformats-officedocument.spreadsheetml.comments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harts/chart1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5.xml" ContentType="application/vnd.openxmlformats-officedocument.drawing+xml"/>
  <Override PartName="/xl/comments6.xml" ContentType="application/vnd.openxmlformats-officedocument.spreadsheetml.comments+xml"/>
  <Override PartName="/xl/charts/chart1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6.xml" ContentType="application/vnd.openxmlformats-officedocument.drawing+xml"/>
  <Override PartName="/xl/comments7.xml" ContentType="application/vnd.openxmlformats-officedocument.spreadsheetml.comments+xml"/>
  <Override PartName="/xl/charts/chart20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7.xml" ContentType="application/vnd.openxmlformats-officedocument.drawing+xml"/>
  <Override PartName="/xl/comments8.xml" ContentType="application/vnd.openxmlformats-officedocument.spreadsheetml.comments+xml"/>
  <Override PartName="/xl/charts/chart21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8.xml" ContentType="application/vnd.openxmlformats-officedocument.drawing+xml"/>
  <Override PartName="/xl/comments9.xml" ContentType="application/vnd.openxmlformats-officedocument.spreadsheetml.comments+xml"/>
  <Override PartName="/xl/charts/chart22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9.xml" ContentType="application/vnd.openxmlformats-officedocument.drawing+xml"/>
  <Override PartName="/xl/comments10.xml" ContentType="application/vnd.openxmlformats-officedocument.spreadsheetml.comments+xml"/>
  <Override PartName="/xl/charts/chart23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omments11.xml" ContentType="application/vnd.openxmlformats-officedocument.spreadsheetml.comments+xml"/>
  <Override PartName="/xl/pivotTables/pivotTable2.xml" ContentType="application/vnd.openxmlformats-officedocument.spreadsheetml.pivotTable+xml"/>
  <Override PartName="/xl/drawings/drawing20.xml" ContentType="application/vnd.openxmlformats-officedocument.drawing+xml"/>
  <Override PartName="/xl/charts/chart24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pivotTables/pivotTable3.xml" ContentType="application/vnd.openxmlformats-officedocument.spreadsheetml.pivotTable+xml"/>
  <Override PartName="/xl/drawings/drawing21.xml" ContentType="application/vnd.openxmlformats-officedocument.drawing+xml"/>
  <Override PartName="/xl/charts/chart25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2.xml" ContentType="application/vnd.openxmlformats-officedocument.drawing+xml"/>
  <Override PartName="/xl/charts/chart26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3.xml" ContentType="application/vnd.openxmlformats-officedocument.drawing+xml"/>
  <Override PartName="/xl/comments12.xml" ContentType="application/vnd.openxmlformats-officedocument.spreadsheetml.comments+xml"/>
  <Override PartName="/xl/drawings/drawing24.xml" ContentType="application/vnd.openxmlformats-officedocument.drawing+xml"/>
  <Override PartName="/xl/charts/chart27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drawings/drawing25.xml" ContentType="application/vnd.openxmlformats-officedocument.drawing+xml"/>
  <Override PartName="/xl/charts/chart28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omments15.xml" ContentType="application/vnd.openxmlformats-officedocument.spreadsheetml.comments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charts/chart29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9.xml" ContentType="application/vnd.openxmlformats-officedocument.drawing+xml"/>
  <Override PartName="/xl/comments16.xml" ContentType="application/vnd.openxmlformats-officedocument.spreadsheetml.comments+xml"/>
  <Override PartName="/xl/drawings/drawing30.xml" ContentType="application/vnd.openxmlformats-officedocument.drawing+xml"/>
  <Override PartName="/xl/charts/chart30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31.xml" ContentType="application/vnd.openxmlformats-officedocument.drawing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drawings/drawing32.xml" ContentType="application/vnd.openxmlformats-officedocument.drawing+xml"/>
  <Override PartName="/xl/charts/chart31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comments19.xml" ContentType="application/vnd.openxmlformats-officedocument.spreadsheetml.comments+xml"/>
  <Override PartName="/xl/drawings/drawing35.xml" ContentType="application/vnd.openxmlformats-officedocument.drawing+xml"/>
  <Override PartName="/xl/charts/chart32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36.xml" ContentType="application/vnd.openxmlformats-officedocument.drawing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drawings/drawing37.xml" ContentType="application/vnd.openxmlformats-officedocument.drawing+xml"/>
  <Override PartName="/xl/charts/chart33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38.xml" ContentType="application/vnd.openxmlformats-officedocument.drawing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drawings/drawing39.xml" ContentType="application/vnd.openxmlformats-officedocument.drawing+xml"/>
  <Override PartName="/xl/comments25.xml" ContentType="application/vnd.openxmlformats-officedocument.spreadsheetml.comments+xml"/>
  <Override PartName="/xl/drawings/drawing40.xml" ContentType="application/vnd.openxmlformats-officedocument.drawing+xml"/>
  <Override PartName="/xl/charts/chart34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omments26.xml" ContentType="application/vnd.openxmlformats-officedocument.spreadsheetml.comments+xml"/>
  <Override PartName="/xl/drawings/drawing41.xml" ContentType="application/vnd.openxmlformats-officedocument.drawing+xml"/>
  <Override PartName="/xl/comments27.xml" ContentType="application/vnd.openxmlformats-officedocument.spreadsheetml.comments+xml"/>
  <Override PartName="/xl/drawings/drawing42.xml" ContentType="application/vnd.openxmlformats-officedocument.drawing+xml"/>
  <Override PartName="/xl/comments28.xml" ContentType="application/vnd.openxmlformats-officedocument.spreadsheetml.comments+xml"/>
  <Override PartName="/xl/drawings/drawing43.xml" ContentType="application/vnd.openxmlformats-officedocument.drawing+xml"/>
  <Override PartName="/xl/comments29.xml" ContentType="application/vnd.openxmlformats-officedocument.spreadsheetml.comments+xml"/>
  <Override PartName="/xl/drawings/drawing44.xml" ContentType="application/vnd.openxmlformats-officedocument.drawing+xml"/>
  <Override PartName="/xl/charts/chart35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omments30.xml" ContentType="application/vnd.openxmlformats-officedocument.spreadsheetml.comments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drawings/drawing48.xml" ContentType="application/vnd.openxmlformats-officedocument.drawing+xml"/>
  <Override PartName="/xl/charts/chart36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omments3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1\iCloudDrive\Proyecto Araya\Finanzas ARAYA\"/>
    </mc:Choice>
  </mc:AlternateContent>
  <xr:revisionPtr revIDLastSave="0" documentId="13_ncr:1_{B96EC727-7298-4D74-90AE-3DCBD23434E5}" xr6:coauthVersionLast="47" xr6:coauthVersionMax="47" xr10:uidLastSave="{00000000-0000-0000-0000-000000000000}"/>
  <bookViews>
    <workbookView xWindow="-108" yWindow="-108" windowWidth="23256" windowHeight="12456" tabRatio="832" firstSheet="233" activeTab="239" xr2:uid="{3B05B157-D533-4798-A4A4-E547104D9846}"/>
  </bookViews>
  <sheets>
    <sheet name="REPORTE MES 1 (2)" sheetId="5" state="hidden" r:id="rId1"/>
    <sheet name="ARAYA" sheetId="6" state="hidden" r:id="rId2"/>
    <sheet name="budget (6)" sheetId="9" state="hidden" r:id="rId3"/>
    <sheet name="PRESENTACIÓN MARZO 24" sheetId="8" state="hidden" r:id="rId4"/>
    <sheet name="budget (8)" sheetId="11" state="hidden" r:id="rId5"/>
    <sheet name="PRESENTACIÓN ABRIL 24 v0" sheetId="10" state="hidden" r:id="rId6"/>
    <sheet name="budget (9)" sheetId="18" state="hidden" r:id="rId7"/>
    <sheet name="PRESENTACIÓN ABRIL 24 v1" sheetId="15" state="hidden" r:id="rId8"/>
    <sheet name="BITACORA Y AJUSTES AL ARCHIVO" sheetId="13" state="hidden" r:id="rId9"/>
    <sheet name="PRESENTACIÓN 2 meses" sheetId="20" state="hidden" r:id="rId10"/>
    <sheet name="budget (11)" sheetId="22" state="hidden" r:id="rId11"/>
    <sheet name="PRESENTACIÓN Al 29 de mayo" sheetId="21" state="hidden" r:id="rId12"/>
    <sheet name="BG 2024" sheetId="23" state="hidden" r:id="rId13"/>
    <sheet name="FLUJO Y DISPONIBLE" sheetId="24" state="hidden" r:id="rId14"/>
    <sheet name="PRESENTACIÓN290524 ajuste" sheetId="25" state="hidden" r:id="rId15"/>
    <sheet name="FLUJO Y DISPONIBLE (2)" sheetId="26" state="hidden" r:id="rId16"/>
    <sheet name="PRESENTACIÓN Al 30062024" sheetId="27" state="hidden" r:id="rId17"/>
    <sheet name="Finanzas 06.24" sheetId="30" state="hidden" r:id="rId18"/>
    <sheet name="FLUJO Y DISPONIBLE (3)" sheetId="31" state="hidden" r:id="rId19"/>
    <sheet name="Resumen de Costos Comprometidos" sheetId="28" state="hidden" r:id="rId20"/>
    <sheet name="budget" sheetId="29" state="hidden" r:id="rId21"/>
    <sheet name="BCE 06.24" sheetId="32" state="hidden" r:id="rId22"/>
    <sheet name="PRESENTACIÓN Al 31072024" sheetId="35" state="hidden" r:id="rId23"/>
    <sheet name="BCE 07.24" sheetId="34" state="hidden" r:id="rId24"/>
    <sheet name="Resumen de Costos 07.24 " sheetId="36" state="hidden" r:id="rId25"/>
    <sheet name="Finanzas 08.24" sheetId="40" state="hidden" r:id="rId26"/>
    <sheet name="CXP 07.24" sheetId="37" state="hidden" r:id="rId27"/>
    <sheet name="ANTICIPO 07.24" sheetId="38" state="hidden" r:id="rId28"/>
    <sheet name="BCE 08.24" sheetId="41" state="hidden" r:id="rId29"/>
    <sheet name="Resumen de Costos 08.24 " sheetId="42" state="hidden" r:id="rId30"/>
    <sheet name="CXP 08.24" sheetId="43" state="hidden" r:id="rId31"/>
    <sheet name="ANTICIPO 08.24" sheetId="44" state="hidden" r:id="rId32"/>
    <sheet name="PRESENTACIÓN Al 31082024" sheetId="39" state="hidden" r:id="rId33"/>
    <sheet name="FLUJO Y DISPONIBLE 08.24" sheetId="45" state="hidden" r:id="rId34"/>
    <sheet name="CXP 09.24" sheetId="48" state="hidden" r:id="rId35"/>
    <sheet name="Finanzas 09.24" sheetId="47" state="hidden" r:id="rId36"/>
    <sheet name="ANTICIPO 09.24" sheetId="49" state="hidden" r:id="rId37"/>
    <sheet name="BCE 09.24" sheetId="50" state="hidden" r:id="rId38"/>
    <sheet name="PRESENTACIÓN Al 30092024" sheetId="46" state="hidden" r:id="rId39"/>
    <sheet name="FLUJO Y DISPONIBLE 09.24" sheetId="51" state="hidden" r:id="rId40"/>
    <sheet name="CXP 11.24" sheetId="53" state="hidden" r:id="rId41"/>
    <sheet name="Finanzas 11.24" sheetId="54" state="hidden" r:id="rId42"/>
    <sheet name="ANTICIPO 11.24" sheetId="55" state="hidden" r:id="rId43"/>
    <sheet name="BCE 11.24" sheetId="56" state="hidden" r:id="rId44"/>
    <sheet name="PRESENTACIÓN 11-24" sheetId="57" state="hidden" r:id="rId45"/>
    <sheet name="FLUJO Y DISPONIBLE 11.24" sheetId="58" state="hidden" r:id="rId46"/>
    <sheet name="BCE 12.24" sheetId="72" state="hidden" r:id="rId47"/>
    <sheet name="Finanzas 12.24" sheetId="68" state="hidden" r:id="rId48"/>
    <sheet name="ANTICIPOS 12.24" sheetId="69" state="hidden" r:id="rId49"/>
    <sheet name="CXP 12.24" sheetId="70" state="hidden" r:id="rId50"/>
    <sheet name="PRESENTACIÓN 12-24" sheetId="73" state="hidden" r:id="rId51"/>
    <sheet name="FLUJO Y DISPONIBLE 12.24" sheetId="74" state="hidden" r:id="rId52"/>
    <sheet name="BCE 01.25" sheetId="77" state="hidden" r:id="rId53"/>
    <sheet name="Finanza 01.25" sheetId="78" state="hidden" r:id="rId54"/>
    <sheet name="ANTICIPOS 01.25" sheetId="79" state="hidden" r:id="rId55"/>
    <sheet name="CXP 01.25" sheetId="80" state="hidden" r:id="rId56"/>
    <sheet name="PRESENTACIÓN 01-25" sheetId="75" state="hidden" r:id="rId57"/>
    <sheet name="FLUJO Y DISPONIBLE 01-25" sheetId="76" state="hidden" r:id="rId58"/>
    <sheet name="BCE 02.25" sheetId="83" state="hidden" r:id="rId59"/>
    <sheet name="Finanza 02.25" sheetId="84" state="hidden" r:id="rId60"/>
    <sheet name="Anticipos 02.25" sheetId="85" state="hidden" r:id="rId61"/>
    <sheet name="CXP 02.25" sheetId="86" state="hidden" r:id="rId62"/>
    <sheet name="PRESENTACIÓN 02-25" sheetId="81" state="hidden" r:id="rId63"/>
    <sheet name="FLUJO Y DISPONIBLE 02-25" sheetId="82" state="hidden" r:id="rId64"/>
    <sheet name="BCE 25-03-25" sheetId="87" state="hidden" r:id="rId65"/>
    <sheet name="Finanza 25-03-25" sheetId="88" state="hidden" r:id="rId66"/>
    <sheet name="Anticipos 25-03-25" sheetId="89" state="hidden" r:id="rId67"/>
    <sheet name="CXP 25-03-25" sheetId="90" state="hidden" r:id="rId68"/>
    <sheet name="PRESENTACIÓN 25-03-25" sheetId="91" state="hidden" r:id="rId69"/>
    <sheet name="FLUJO Y DISPONIBLE 25-03-25" sheetId="93" state="hidden" r:id="rId70"/>
    <sheet name="BCE 03-25" sheetId="96" state="hidden" r:id="rId71"/>
    <sheet name="Finanza 03-25" sheetId="95" state="hidden" r:id="rId72"/>
    <sheet name="Anticipos 03-25" sheetId="97" state="hidden" r:id="rId73"/>
    <sheet name="CXP 03-25" sheetId="98" state="hidden" r:id="rId74"/>
    <sheet name="Compromiso 15-04-25" sheetId="92" state="hidden" r:id="rId75"/>
    <sheet name="PRESENTACIÓN 03-25" sheetId="100" state="hidden" r:id="rId76"/>
    <sheet name="Publicidad" sheetId="102" state="hidden" r:id="rId77"/>
    <sheet name="FLUJO Y DISPONIBLE 03-25" sheetId="101" state="hidden" r:id="rId78"/>
    <sheet name="BCE 04-25" sheetId="103" state="hidden" r:id="rId79"/>
    <sheet name="Ventas 04-25" sheetId="111" state="hidden" r:id="rId80"/>
    <sheet name="Finanza 04-25" sheetId="104" state="hidden" r:id="rId81"/>
    <sheet name="Anticipos 04-25" sheetId="105" state="hidden" r:id="rId82"/>
    <sheet name="CXP 04-25" sheetId="106" state="hidden" r:id="rId83"/>
    <sheet name="Compromisos 04-25" sheetId="109" state="hidden" r:id="rId84"/>
    <sheet name="PRESENTACIÓN 04-25" sheetId="108" state="hidden" r:id="rId85"/>
    <sheet name="FLUJO Y DISPONIBLE 04-25 " sheetId="110" state="hidden" r:id="rId86"/>
    <sheet name="Ventas 05-25" sheetId="112" state="hidden" r:id="rId87"/>
    <sheet name="Finanza 05-25" sheetId="113" state="hidden" r:id="rId88"/>
    <sheet name="Anticipos 05-25" sheetId="114" state="hidden" r:id="rId89"/>
    <sheet name="CXP 05-25" sheetId="118" state="hidden" r:id="rId90"/>
    <sheet name="Compromisos 05-25" sheetId="119" state="hidden" r:id="rId91"/>
    <sheet name="BCE 05-25" sheetId="121" state="hidden" r:id="rId92"/>
    <sheet name="PRESENTACIÓN 05-25" sheetId="120" state="hidden" r:id="rId93"/>
    <sheet name="FLUJO MAYO 2025" sheetId="117" state="hidden" r:id="rId94"/>
    <sheet name="Finanza 06-25" sheetId="124" state="hidden" r:id="rId95"/>
    <sheet name="Anticipos 06-25" sheetId="125" state="hidden" r:id="rId96"/>
    <sheet name="CXP 06-25" sheetId="126" state="hidden" r:id="rId97"/>
    <sheet name="Compromisos 06-25" sheetId="127" state="hidden" r:id="rId98"/>
    <sheet name="BCE 06-25" sheetId="128" state="hidden" r:id="rId99"/>
    <sheet name="ADI 462 julio 25 " sheetId="131" state="hidden" r:id="rId100"/>
    <sheet name="PRESENTACIÓN 06-25" sheetId="129" state="hidden" r:id="rId101"/>
    <sheet name="FLUJO JUNIO 2025" sheetId="130" state="hidden" r:id="rId102"/>
    <sheet name="Anticipos 07-25" sheetId="133" state="hidden" r:id="rId103"/>
    <sheet name="Finanza 07-25" sheetId="132" state="hidden" r:id="rId104"/>
    <sheet name="CXP 07-25" sheetId="134" state="hidden" r:id="rId105"/>
    <sheet name="Reembolsos MMHB 07-25" sheetId="139" state="hidden" r:id="rId106"/>
    <sheet name="Ing y Costos Bancarios" sheetId="145" state="hidden" r:id="rId107"/>
    <sheet name="Compromisos 07-25" sheetId="144" state="hidden" r:id="rId108"/>
    <sheet name="ADI 462 AGO25" sheetId="143" state="hidden" r:id="rId109"/>
    <sheet name="BCE 07-25" sheetId="136" state="hidden" r:id="rId110"/>
    <sheet name="PRESENTACIÓN 07-25" sheetId="137" state="hidden" r:id="rId111"/>
    <sheet name="FLUJO JULIO 2025" sheetId="138" state="hidden" r:id="rId112"/>
    <sheet name="FLUJO a JULIO 25 AFI-NO USAR" sheetId="141" state="hidden" r:id="rId113"/>
    <sheet name="ADI 462 AGO25 final" sheetId="146" state="hidden" r:id="rId114"/>
    <sheet name="CXP 08-25" sheetId="150" state="hidden" r:id="rId115"/>
    <sheet name="Anticipos 08-25" sheetId="148" state="hidden" r:id="rId116"/>
    <sheet name="Finanza 08-25" sheetId="152" state="hidden" r:id="rId117"/>
    <sheet name="Reembolsos MMHB 08-25" sheetId="153" state="hidden" r:id="rId118"/>
    <sheet name="Compromisos 08-25" sheetId="155" state="hidden" r:id="rId119"/>
    <sheet name="BCE 08-25" sheetId="158" state="hidden" r:id="rId120"/>
    <sheet name="PRESENTACIÓN 08-25" sheetId="147" state="hidden" r:id="rId121"/>
    <sheet name="FLUJO AGOSTO 2025" sheetId="157" state="hidden" r:id="rId122"/>
    <sheet name="PROYECCION EJECUCION" sheetId="159" state="hidden" r:id="rId123"/>
    <sheet name="Préstamos 09-25" sheetId="165" state="hidden" r:id="rId124"/>
    <sheet name="Costos a Sept-25" sheetId="163" state="hidden" r:id="rId125"/>
    <sheet name="Anticipos 09-25" sheetId="164" state="hidden" r:id="rId126"/>
    <sheet name="BCE 09-25" sheetId="168" state="hidden" r:id="rId127"/>
    <sheet name="CXP 09-25" sheetId="167" state="hidden" r:id="rId128"/>
    <sheet name="CXP MMHB" sheetId="171" state="hidden" r:id="rId129"/>
    <sheet name="Flujo y Ejecución" sheetId="161" state="hidden" r:id="rId130"/>
    <sheet name="Compromisos 09-25" sheetId="175" state="hidden" r:id="rId131"/>
    <sheet name="Proc. 09-25" sheetId="170" state="hidden" r:id="rId132"/>
    <sheet name="ADI 09-25" sheetId="172" state="hidden" r:id="rId133"/>
    <sheet name="FLUJO SEPTIEMBRE 2025" sheetId="160" state="hidden" r:id="rId134"/>
    <sheet name="Aged Payables Detail" sheetId="178" state="hidden" r:id="rId135"/>
    <sheet name="PRESENTACIÓN 09-25" sheetId="177" state="hidden" r:id="rId136"/>
    <sheet name="Proc. 10-25" sheetId="189" state="hidden" r:id="rId137"/>
    <sheet name="Préstamos 10-25" sheetId="180" state="hidden" r:id="rId138"/>
    <sheet name="Anticipos 10-25" sheetId="181" state="hidden" r:id="rId139"/>
    <sheet name="CXP 10-25" sheetId="182" state="hidden" r:id="rId140"/>
    <sheet name="CXP " sheetId="195" state="hidden" r:id="rId141"/>
    <sheet name="CXP MMHB 10-25" sheetId="183" state="hidden" r:id="rId142"/>
    <sheet name="Compromisos 10-25" sheetId="187" state="hidden" r:id="rId143"/>
    <sheet name="Costos a Oct-25" sheetId="179" state="hidden" r:id="rId144"/>
    <sheet name="Flujo y Ejecución 10-25" sheetId="184" state="hidden" r:id="rId145"/>
    <sheet name="PRESENTACIÓN 10-25" sheetId="188" state="hidden" r:id="rId146"/>
    <sheet name="BCE 10-25" sheetId="191" state="hidden" r:id="rId147"/>
    <sheet name="BCE Resumido" sheetId="194" state="hidden" r:id="rId148"/>
    <sheet name="FLUJO 10-25" sheetId="190" state="hidden" r:id="rId149"/>
    <sheet name="Proyección de Ventas y Comision" sheetId="192" state="hidden" r:id="rId150"/>
    <sheet name="Intereses Prestamos" sheetId="196" state="hidden" r:id="rId151"/>
    <sheet name="Proc. 11-25" sheetId="197" state="hidden" r:id="rId152"/>
    <sheet name="Préstamos 11-25" sheetId="198" state="hidden" r:id="rId153"/>
    <sheet name="Intereses 11-25 (2)" sheetId="212" state="hidden" r:id="rId154"/>
    <sheet name="Intereses 11-25" sheetId="209" state="hidden" r:id="rId155"/>
    <sheet name="Anticipos 11-25" sheetId="199" state="hidden" r:id="rId156"/>
    <sheet name="CXP 11-25" sheetId="200" state="hidden" r:id="rId157"/>
    <sheet name="CXP 11-25 RES" sheetId="201" state="hidden" r:id="rId158"/>
    <sheet name="CXP MMHB 11-25" sheetId="202" state="hidden" r:id="rId159"/>
    <sheet name="Compromisos 11-25" sheetId="207" state="hidden" r:id="rId160"/>
    <sheet name="Costos a Nov-25" sheetId="203" state="hidden" r:id="rId161"/>
    <sheet name="Flujo y Ejecución 11-25" sheetId="205" state="hidden" r:id="rId162"/>
    <sheet name="BCE 11-25" sheetId="210" state="hidden" r:id="rId163"/>
    <sheet name="BCE Resumido 11-25" sheetId="211" state="hidden" r:id="rId164"/>
    <sheet name="PRESENTACIÓN 11-25" sheetId="204" state="hidden" r:id="rId165"/>
    <sheet name="FLUJO 11-25" sheetId="208" state="hidden" r:id="rId166"/>
    <sheet name="Proc. 12-25" sheetId="213" state="hidden" r:id="rId167"/>
    <sheet name="Préstamos 12-25" sheetId="214" state="hidden" r:id="rId168"/>
    <sheet name="Intereses 12-25" sheetId="215" state="hidden" r:id="rId169"/>
    <sheet name="Anticipos 12-25" sheetId="216" state="hidden" r:id="rId170"/>
    <sheet name="CXP 12-25" sheetId="217" state="hidden" r:id="rId171"/>
    <sheet name="CXP 12-25 RES" sheetId="218" state="hidden" r:id="rId172"/>
    <sheet name="CXP MMHB 12-25" sheetId="219" state="hidden" r:id="rId173"/>
    <sheet name="Compromisos 12-25" sheetId="220" state="hidden" r:id="rId174"/>
    <sheet name="Costos a Dic-25" sheetId="221" state="hidden" r:id="rId175"/>
    <sheet name="Flujo y Ejecución 12-25" sheetId="222" state="hidden" r:id="rId176"/>
    <sheet name="BCE 12-25" sheetId="223" state="hidden" r:id="rId177"/>
    <sheet name="BCE Resumido 12-25" sheetId="225" state="hidden" r:id="rId178"/>
    <sheet name="PRESENTACIÓN 12-25" sheetId="226" state="hidden" r:id="rId179"/>
    <sheet name="FLUJO 12-25" sheetId="227" state="hidden" r:id="rId180"/>
    <sheet name="Préstamos 01-26" sheetId="231" state="hidden" r:id="rId181"/>
    <sheet name="Anticipos 01-26" sheetId="233" state="hidden" r:id="rId182"/>
    <sheet name="CXP 01-26" sheetId="235" state="hidden" r:id="rId183"/>
    <sheet name="CXP 01-26 RES" sheetId="236" state="hidden" r:id="rId184"/>
    <sheet name="CXP MMHB 01-26" sheetId="237" state="hidden" r:id="rId185"/>
    <sheet name="Proc. 01-26" sheetId="230" state="hidden" r:id="rId186"/>
    <sheet name="Costos a Ene-26" sheetId="239" state="hidden" r:id="rId187"/>
    <sheet name="Flujo y Ejecución 01-26" sheetId="240" state="hidden" r:id="rId188"/>
    <sheet name="BCE 01-26" sheetId="241" state="hidden" r:id="rId189"/>
    <sheet name="Intereses 01-26" sheetId="232" state="hidden" r:id="rId190"/>
    <sheet name="BCE Resumido 01-26" sheetId="242" state="hidden" r:id="rId191"/>
    <sheet name="Proyección VTA 01-26" sheetId="228" state="hidden" r:id="rId192"/>
    <sheet name="Compromisos 01-26" sheetId="238" state="hidden" r:id="rId193"/>
    <sheet name="PRESENTACIÓN 01-26" sheetId="243" state="hidden" r:id="rId194"/>
    <sheet name="FLUJO 01-26" sheetId="244" state="hidden" r:id="rId195"/>
    <sheet name="Préstamos 02-26" sheetId="245" state="hidden" r:id="rId196"/>
    <sheet name="Anticipos 02-26" sheetId="246" state="hidden" r:id="rId197"/>
    <sheet name="CXP 02-26" sheetId="247" state="hidden" r:id="rId198"/>
    <sheet name="CXP 02-26 RES" sheetId="248" state="hidden" r:id="rId199"/>
    <sheet name="CXP MMHB 02-26" sheetId="249" state="hidden" r:id="rId200"/>
    <sheet name="Proc. 02-26" sheetId="250" state="hidden" r:id="rId201"/>
    <sheet name="Costos a Feb-26" sheetId="252" state="hidden" r:id="rId202"/>
    <sheet name="Flujo y Ejecución 02-26" sheetId="253" state="hidden" r:id="rId203"/>
    <sheet name="Intereses 02-26" sheetId="254" state="hidden" r:id="rId204"/>
    <sheet name="BCE 02-26" sheetId="255" state="hidden" r:id="rId205"/>
    <sheet name="BCE Resumido 02-26" sheetId="256" state="hidden" r:id="rId206"/>
    <sheet name="Proyección VTA 02-26" sheetId="257" state="hidden" r:id="rId207"/>
    <sheet name="Compromisos 02-26" sheetId="258" state="hidden" r:id="rId208"/>
    <sheet name="PRESENTACIÓN 02-26" sheetId="259" state="hidden" r:id="rId209"/>
    <sheet name="FLUJO 02-26" sheetId="260" state="hidden" r:id="rId210"/>
    <sheet name="Préstamos 03-26" sheetId="261" state="hidden" r:id="rId211"/>
    <sheet name="Anticipos 03-26" sheetId="262" state="hidden" r:id="rId212"/>
    <sheet name="CXP 03-26" sheetId="263" state="hidden" r:id="rId213"/>
    <sheet name="CXP 03-26 RES" sheetId="264" state="hidden" r:id="rId214"/>
    <sheet name="CXP MMHB 03-26" sheetId="265" state="hidden" r:id="rId215"/>
    <sheet name="Proc. 03-26" sheetId="268" state="hidden" r:id="rId216"/>
    <sheet name="Costos a Mar-26" sheetId="270" state="hidden" r:id="rId217"/>
    <sheet name="Flujo y Ejecución 03-26" sheetId="271" state="hidden" r:id="rId218"/>
    <sheet name="Intereses 03-26" sheetId="272" state="hidden" r:id="rId219"/>
    <sheet name="BCE 03-26" sheetId="273" state="hidden" r:id="rId220"/>
    <sheet name="BCE Resumido 03-26" sheetId="274" state="hidden" r:id="rId221"/>
    <sheet name="Proyección VTA 03-26" sheetId="275" state="hidden" r:id="rId222"/>
    <sheet name="Compromisos 03-26" sheetId="277" state="hidden" r:id="rId223"/>
    <sheet name="PRESENTACIÓN 03-26" sheetId="278" state="hidden" r:id="rId224"/>
    <sheet name="FLUJO 03-26" sheetId="279" state="hidden" r:id="rId225"/>
    <sheet name="Préstamos 04-26" sheetId="280" r:id="rId226"/>
    <sheet name="Anticipos 04-26" sheetId="281" r:id="rId227"/>
    <sheet name="CXP 04-26" sheetId="283" r:id="rId228"/>
    <sheet name="CXP MMHB 04-26" sheetId="285" r:id="rId229"/>
    <sheet name="Proc. 04-26" sheetId="286" r:id="rId230"/>
    <sheet name="Flujo y Ejecución 04-26" sheetId="288" r:id="rId231"/>
    <sheet name="BCE 04-26" sheetId="290" r:id="rId232"/>
    <sheet name="BCE Resumido 04-26" sheetId="291" r:id="rId233"/>
    <sheet name="Intereses 04-26" sheetId="289" r:id="rId234"/>
    <sheet name="CXP 04-26 RES" sheetId="284" r:id="rId235"/>
    <sheet name="Compromisos 04-26" sheetId="293" r:id="rId236"/>
    <sheet name="Proyección VTA 04-26" sheetId="292" r:id="rId237"/>
    <sheet name="Costos a Abr-26" sheetId="287" r:id="rId238"/>
    <sheet name="PRESENTACIÓN 04-26" sheetId="294" r:id="rId239"/>
    <sheet name="FLUJO 04-26" sheetId="295" r:id="rId240"/>
    <sheet name="Calculo de Compromisos Fijos" sheetId="269" state="hidden" r:id="rId241"/>
  </sheets>
  <definedNames>
    <definedName name="_xlnm._FilterDatabase" localSheetId="134" hidden="1">'Aged Payables Detail'!$A$1:$E$69</definedName>
    <definedName name="_xlnm._FilterDatabase" localSheetId="27" hidden="1">'ANTICIPO 07.24'!$A$1:$F$1</definedName>
    <definedName name="_xlnm._FilterDatabase" localSheetId="31" hidden="1">'ANTICIPO 08.24'!$A$1:$E$1</definedName>
    <definedName name="_xlnm._FilterDatabase" localSheetId="36" hidden="1">'ANTICIPO 09.24'!$A$8:$G$8</definedName>
    <definedName name="_xlnm._FilterDatabase" localSheetId="42" hidden="1">'ANTICIPO 11.24'!$A$8:$E$8</definedName>
    <definedName name="_xlnm._FilterDatabase" localSheetId="54" hidden="1">'ANTICIPOS 01.25'!$A$3:$G$3</definedName>
    <definedName name="_xlnm._FilterDatabase" localSheetId="181" hidden="1">'Anticipos 01-26'!$A$1:$G$1</definedName>
    <definedName name="_xlnm._FilterDatabase" localSheetId="60" hidden="1">'Anticipos 02.25'!$A$1:$G$1</definedName>
    <definedName name="_xlnm._FilterDatabase" localSheetId="196" hidden="1">'Anticipos 02-26'!$A$1:$G$1</definedName>
    <definedName name="_xlnm._FilterDatabase" localSheetId="72" hidden="1">'Anticipos 03-25'!$A$1:$G$1</definedName>
    <definedName name="_xlnm._FilterDatabase" localSheetId="211" hidden="1">'Anticipos 03-26'!$A$1:$G$1</definedName>
    <definedName name="_xlnm._FilterDatabase" localSheetId="81" hidden="1">'Anticipos 04-25'!$A$1:$G$1</definedName>
    <definedName name="_xlnm._FilterDatabase" localSheetId="226" hidden="1">'Anticipos 04-26'!$A$1:$G$1</definedName>
    <definedName name="_xlnm._FilterDatabase" localSheetId="88" hidden="1">'Anticipos 05-25'!$A$1:$G$1</definedName>
    <definedName name="_xlnm._FilterDatabase" localSheetId="95" hidden="1">'Anticipos 06-25'!$A$1:$G$1</definedName>
    <definedName name="_xlnm._FilterDatabase" localSheetId="102" hidden="1">'Anticipos 07-25'!$A$1:$G$1</definedName>
    <definedName name="_xlnm._FilterDatabase" localSheetId="115" hidden="1">'Anticipos 08-25'!$A$1:$G$1</definedName>
    <definedName name="_xlnm._FilterDatabase" localSheetId="125" hidden="1">'Anticipos 09-25'!$A$1:$G$1</definedName>
    <definedName name="_xlnm._FilterDatabase" localSheetId="138" hidden="1">'Anticipos 10-25'!$A$1:$G$1</definedName>
    <definedName name="_xlnm._FilterDatabase" localSheetId="155" hidden="1">'Anticipos 11-25'!$A$1:$G$1</definedName>
    <definedName name="_xlnm._FilterDatabase" localSheetId="48" hidden="1">'ANTICIPOS 12.24'!$A$3:$Y$3</definedName>
    <definedName name="_xlnm._FilterDatabase" localSheetId="169" hidden="1">'Anticipos 12-25'!$A$1:$G$1</definedName>
    <definedName name="_xlnm._FilterDatabase" localSheetId="66" hidden="1">'Anticipos 25-03-25'!$A$1:$G$1</definedName>
    <definedName name="_xlnm._FilterDatabase" localSheetId="20" hidden="1">budget!$A$1:$Y$1</definedName>
    <definedName name="_xlnm._FilterDatabase" localSheetId="74" hidden="1">'Compromiso 15-04-25'!$A$1:$G$27</definedName>
    <definedName name="_xlnm._FilterDatabase" localSheetId="222" hidden="1">'Compromisos 03-26'!$A$1:$J$199</definedName>
    <definedName name="_xlnm._FilterDatabase" localSheetId="83" hidden="1">'Compromisos 04-25'!$A$1:$P$109</definedName>
    <definedName name="_xlnm._FilterDatabase" localSheetId="235" hidden="1">'Compromisos 04-26'!$A$1:$J$185</definedName>
    <definedName name="_xlnm._FilterDatabase" localSheetId="90" hidden="1">'Compromisos 05-25'!$A$1:$R$719</definedName>
    <definedName name="_xlnm._FilterDatabase" localSheetId="97" hidden="1">'Compromisos 06-25'!$C$1:$P$93</definedName>
    <definedName name="_xlnm._FilterDatabase" localSheetId="107" hidden="1">'Compromisos 07-25'!$A$1:$P$150</definedName>
    <definedName name="_xlnm._FilterDatabase" localSheetId="118" hidden="1">'Compromisos 08-25'!$A$1:$S$131</definedName>
    <definedName name="_xlnm._FilterDatabase" localSheetId="130" hidden="1">'Compromisos 09-25'!$A$1:$L$89</definedName>
    <definedName name="_xlnm._FilterDatabase" localSheetId="142" hidden="1">'Compromisos 10-25'!$A$1:$L$152</definedName>
    <definedName name="_xlnm._FilterDatabase" localSheetId="159" hidden="1">'Compromisos 11-25'!$A$1:$J$157</definedName>
    <definedName name="_xlnm._FilterDatabase" localSheetId="173" hidden="1">'Compromisos 12-25'!$A$1:$J$117</definedName>
    <definedName name="_xlnm._FilterDatabase" localSheetId="237" hidden="1">'Costos a Abr-26'!$A$1:$S$54</definedName>
    <definedName name="_xlnm._FilterDatabase" localSheetId="174" hidden="1">'Costos a Dic-25'!$A$1:$O$51</definedName>
    <definedName name="_xlnm._FilterDatabase" localSheetId="186" hidden="1">'Costos a Ene-26'!$A$1:$P$51</definedName>
    <definedName name="_xlnm._FilterDatabase" localSheetId="201" hidden="1">'Costos a Feb-26'!$A$1:$Q$54</definedName>
    <definedName name="_xlnm._FilterDatabase" localSheetId="216" hidden="1">'Costos a Mar-26'!$A$1:$R$54</definedName>
    <definedName name="_xlnm._FilterDatabase" localSheetId="160" hidden="1">'Costos a Nov-25'!$A$1:$N$52</definedName>
    <definedName name="_xlnm._FilterDatabase" localSheetId="143" hidden="1">'Costos a Oct-25'!$A$1:$N$53</definedName>
    <definedName name="_xlnm._FilterDatabase" localSheetId="124" hidden="1">'Costos a Sept-25'!$A$1:$K$52</definedName>
    <definedName name="_xlnm._FilterDatabase" localSheetId="89" hidden="1">'CXP 05-25'!$A$25:$F$25</definedName>
    <definedName name="_xlnm._FilterDatabase" localSheetId="26" hidden="1">'CXP 07.24'!$A$7:$G$7</definedName>
    <definedName name="_xlnm._FilterDatabase" localSheetId="30" hidden="1">'CXP 08.24'!$A$7:$B$7</definedName>
    <definedName name="_xlnm._FilterDatabase" localSheetId="127" hidden="1">'CXP 09-25'!$A$1:$E$89</definedName>
    <definedName name="_xlnm._FilterDatabase" localSheetId="128" hidden="1">'CXP MMHB'!$A$1:$H$72</definedName>
    <definedName name="_xlnm._FilterDatabase" localSheetId="184" hidden="1">'CXP MMHB 01-26'!$A$1:$E$24</definedName>
    <definedName name="_xlnm._FilterDatabase" localSheetId="199" hidden="1">'CXP MMHB 02-26'!$A$1:$E$17</definedName>
    <definedName name="_xlnm._FilterDatabase" localSheetId="214" hidden="1">'CXP MMHB 03-26'!$A$1:$E$17</definedName>
    <definedName name="_xlnm._FilterDatabase" localSheetId="228" hidden="1">'CXP MMHB 04-26'!$A$1:$E$17</definedName>
    <definedName name="_xlnm._FilterDatabase" localSheetId="141" hidden="1">'CXP MMHB 10-25'!$A$1:$E$40</definedName>
    <definedName name="_xlnm._FilterDatabase" localSheetId="158" hidden="1">'CXP MMHB 11-25'!$A$1:$E$26</definedName>
    <definedName name="_xlnm._FilterDatabase" localSheetId="172" hidden="1">'CXP MMHB 12-25'!$A$1:$E$21</definedName>
    <definedName name="_xlnm._FilterDatabase" localSheetId="71" hidden="1">'Finanza 03-25'!$A$1:$F$1</definedName>
    <definedName name="_xlnm._FilterDatabase" localSheetId="80" hidden="1">'Finanza 04-25'!$A$1:$F$1</definedName>
    <definedName name="_xlnm._FilterDatabase" localSheetId="87" hidden="1">'Finanza 05-25'!$A$1:$F$1</definedName>
    <definedName name="_xlnm._FilterDatabase" localSheetId="94" hidden="1">'Finanza 06-25'!$A$1:$F$1</definedName>
    <definedName name="_xlnm._FilterDatabase" localSheetId="103" hidden="1">'Finanza 07-25'!$A$1:$G$1</definedName>
    <definedName name="_xlnm._FilterDatabase" localSheetId="116" hidden="1">'Finanza 08-25'!$A$1:$H$1</definedName>
    <definedName name="_xlnm._FilterDatabase" localSheetId="65" hidden="1">'Finanza 25-03-25'!$A$1:$F$1</definedName>
    <definedName name="_xlnm._FilterDatabase" localSheetId="17" hidden="1">'Finanzas 06.24'!$A$1:$L$1</definedName>
    <definedName name="_xlnm._FilterDatabase" localSheetId="25" hidden="1">'Finanzas 08.24'!$A$1:$E$15</definedName>
    <definedName name="_xlnm._FilterDatabase" localSheetId="35" hidden="1">'Finanzas 09.24'!$A$1:$E$16</definedName>
    <definedName name="_xlnm._FilterDatabase" localSheetId="41" hidden="1">'Finanzas 11.24'!$A$1:$G$1</definedName>
    <definedName name="_xlnm._FilterDatabase" localSheetId="47" hidden="1">'Finanzas 12.24'!$A$1:$G$1</definedName>
    <definedName name="_xlnm._FilterDatabase" localSheetId="131" hidden="1">'Proc. 09-25'!$A$1:$D$17</definedName>
    <definedName name="_xlnm._FilterDatabase" localSheetId="136" hidden="1">'Proc. 10-25'!$A$1:$D$17</definedName>
    <definedName name="_xlnm._FilterDatabase" localSheetId="151" hidden="1">'Proc. 11-25'!$A$1:$D$17</definedName>
    <definedName name="_xlnm._FilterDatabase" localSheetId="166" hidden="1">'Proc. 12-25'!$A$1:$D$17</definedName>
    <definedName name="_xlnm._FilterDatabase" localSheetId="76" hidden="1">Publicidad!$A$1:$G$30</definedName>
    <definedName name="_xlnm._FilterDatabase" localSheetId="29" hidden="1">'Resumen de Costos 08.24 '!$A$11:$C$11</definedName>
    <definedName name="_xlnm._FilterDatabase" localSheetId="79" hidden="1">'Ventas 04-25'!$A$5:$E$47</definedName>
    <definedName name="_xlnm._FilterDatabase" localSheetId="86" hidden="1">'Ventas 05-25'!$A$5:$E$71</definedName>
    <definedName name="A_impresión_IM" localSheetId="132">#REF!</definedName>
    <definedName name="A_impresión_IM" localSheetId="108">#REF!</definedName>
    <definedName name="A_impresión_IM" localSheetId="113">#REF!</definedName>
    <definedName name="A_impresión_IM" localSheetId="99">#REF!</definedName>
    <definedName name="A_impresión_IM" localSheetId="194">#REF!</definedName>
    <definedName name="A_impresión_IM" localSheetId="209">#REF!</definedName>
    <definedName name="A_impresión_IM" localSheetId="224">#REF!</definedName>
    <definedName name="A_impresión_IM" localSheetId="239">#REF!</definedName>
    <definedName name="A_impresión_IM" localSheetId="148">#REF!</definedName>
    <definedName name="A_impresión_IM" localSheetId="165">#REF!</definedName>
    <definedName name="A_impresión_IM" localSheetId="179">#REF!</definedName>
    <definedName name="A_impresión_IM" localSheetId="121">#REF!</definedName>
    <definedName name="A_impresión_IM" localSheetId="111">#REF!</definedName>
    <definedName name="A_impresión_IM" localSheetId="101">#REF!</definedName>
    <definedName name="A_impresión_IM" localSheetId="93">#REF!</definedName>
    <definedName name="A_impresión_IM" localSheetId="133">#REF!</definedName>
    <definedName name="A_impresión_IM" localSheetId="15">#REF!</definedName>
    <definedName name="A_impresión_IM" localSheetId="18">#REF!</definedName>
    <definedName name="A_impresión_IM" localSheetId="57">#REF!</definedName>
    <definedName name="A_impresión_IM" localSheetId="63">#REF!</definedName>
    <definedName name="A_impresión_IM" localSheetId="77">#REF!</definedName>
    <definedName name="A_impresión_IM" localSheetId="85">#REF!</definedName>
    <definedName name="A_impresión_IM" localSheetId="33">#REF!</definedName>
    <definedName name="A_impresión_IM" localSheetId="39">#REF!</definedName>
    <definedName name="A_impresión_IM" localSheetId="45">#REF!</definedName>
    <definedName name="A_impresión_IM" localSheetId="51">#REF!</definedName>
    <definedName name="A_impresión_IM" localSheetId="69">#REF!</definedName>
    <definedName name="A_impresión_IM" localSheetId="129">#REF!</definedName>
    <definedName name="A_impresión_IM" localSheetId="187">#REF!</definedName>
    <definedName name="A_impresión_IM" localSheetId="202">#REF!</definedName>
    <definedName name="A_impresión_IM" localSheetId="217">#REF!</definedName>
    <definedName name="A_impresión_IM" localSheetId="230">#REF!</definedName>
    <definedName name="A_impresión_IM" localSheetId="144">#REF!</definedName>
    <definedName name="A_impresión_IM" localSheetId="161">#REF!</definedName>
    <definedName name="A_impresión_IM" localSheetId="175">#REF!</definedName>
    <definedName name="A_impresión_IM" localSheetId="122">#REF!</definedName>
    <definedName name="A_impresión_IM">#REF!</definedName>
    <definedName name="ANTONE1" localSheetId="194">#REF!</definedName>
    <definedName name="ANTONE1" localSheetId="209">#REF!</definedName>
    <definedName name="ANTONE1" localSheetId="224">#REF!</definedName>
    <definedName name="ANTONE1" localSheetId="239">#REF!</definedName>
    <definedName name="ANTONE1" localSheetId="148">#REF!</definedName>
    <definedName name="ANTONE1" localSheetId="165">#REF!</definedName>
    <definedName name="ANTONE1" localSheetId="179">#REF!</definedName>
    <definedName name="ANTONE1" localSheetId="121">#REF!</definedName>
    <definedName name="ANTONE1" localSheetId="111">#REF!</definedName>
    <definedName name="ANTONE1" localSheetId="101">#REF!</definedName>
    <definedName name="ANTONE1" localSheetId="93">#REF!</definedName>
    <definedName name="ANTONE1" localSheetId="133">#REF!</definedName>
    <definedName name="ANTONE1" localSheetId="15">#REF!</definedName>
    <definedName name="ANTONE1" localSheetId="18">#REF!</definedName>
    <definedName name="ANTONE1" localSheetId="57">#REF!</definedName>
    <definedName name="ANTONE1" localSheetId="63">#REF!</definedName>
    <definedName name="ANTONE1" localSheetId="77">#REF!</definedName>
    <definedName name="ANTONE1" localSheetId="85">#REF!</definedName>
    <definedName name="ANTONE1" localSheetId="33">#REF!</definedName>
    <definedName name="ANTONE1" localSheetId="39">#REF!</definedName>
    <definedName name="ANTONE1" localSheetId="45">#REF!</definedName>
    <definedName name="ANTONE1" localSheetId="51">#REF!</definedName>
    <definedName name="ANTONE1" localSheetId="69">#REF!</definedName>
    <definedName name="ANTONE1" localSheetId="122">#REF!</definedName>
    <definedName name="ANTONE1">#REF!</definedName>
    <definedName name="_xlnm.Print_Area" localSheetId="54">'ANTICIPOS 01.25'!$A$1:$G$14</definedName>
    <definedName name="_xlnm.Print_Area" localSheetId="48">'ANTICIPOS 12.24'!$A$1:$H$13</definedName>
    <definedName name="_xlnm.Print_Area" localSheetId="128">'CXP MMHB'!$A$1:$H$70</definedName>
    <definedName name="_xlnm.Print_Area" localSheetId="184">'CXP MMHB 01-26'!$A$1:$E$22</definedName>
    <definedName name="_xlnm.Print_Area" localSheetId="199">'CXP MMHB 02-26'!$A$1:$E$15</definedName>
    <definedName name="_xlnm.Print_Area" localSheetId="214">'CXP MMHB 03-26'!$A$1:$E$15</definedName>
    <definedName name="_xlnm.Print_Area" localSheetId="228">'CXP MMHB 04-26'!$A$1:$E$15</definedName>
    <definedName name="_xlnm.Print_Area" localSheetId="141">'CXP MMHB 10-25'!$A$1:$E$38</definedName>
    <definedName name="_xlnm.Print_Area" localSheetId="158">'CXP MMHB 11-25'!$A$1:$E$24</definedName>
    <definedName name="_xlnm.Print_Area" localSheetId="172">'CXP MMHB 12-25'!$A$1:$E$19</definedName>
    <definedName name="Calidad" localSheetId="132">#REF!</definedName>
    <definedName name="Calidad" localSheetId="108">#REF!</definedName>
    <definedName name="Calidad" localSheetId="113">#REF!</definedName>
    <definedName name="Calidad" localSheetId="99">#REF!</definedName>
    <definedName name="Calidad" localSheetId="194">#REF!</definedName>
    <definedName name="Calidad" localSheetId="209">#REF!</definedName>
    <definedName name="Calidad" localSheetId="224">#REF!</definedName>
    <definedName name="Calidad" localSheetId="239">#REF!</definedName>
    <definedName name="Calidad" localSheetId="148">#REF!</definedName>
    <definedName name="Calidad" localSheetId="165">#REF!</definedName>
    <definedName name="Calidad" localSheetId="179">#REF!</definedName>
    <definedName name="Calidad" localSheetId="121">#REF!</definedName>
    <definedName name="Calidad" localSheetId="111">#REF!</definedName>
    <definedName name="Calidad" localSheetId="101">#REF!</definedName>
    <definedName name="Calidad" localSheetId="93">#REF!</definedName>
    <definedName name="Calidad" localSheetId="133">#REF!</definedName>
    <definedName name="Calidad" localSheetId="15">#REF!</definedName>
    <definedName name="Calidad" localSheetId="18">#REF!</definedName>
    <definedName name="Calidad" localSheetId="57">#REF!</definedName>
    <definedName name="Calidad" localSheetId="63">#REF!</definedName>
    <definedName name="Calidad" localSheetId="77">#REF!</definedName>
    <definedName name="Calidad" localSheetId="85">#REF!</definedName>
    <definedName name="Calidad" localSheetId="33">#REF!</definedName>
    <definedName name="Calidad" localSheetId="39">#REF!</definedName>
    <definedName name="Calidad" localSheetId="45">#REF!</definedName>
    <definedName name="Calidad" localSheetId="51">#REF!</definedName>
    <definedName name="Calidad" localSheetId="69">#REF!</definedName>
    <definedName name="Calidad" localSheetId="129">#REF!</definedName>
    <definedName name="Calidad" localSheetId="187">#REF!</definedName>
    <definedName name="Calidad" localSheetId="202">#REF!</definedName>
    <definedName name="Calidad" localSheetId="217">#REF!</definedName>
    <definedName name="Calidad" localSheetId="230">#REF!</definedName>
    <definedName name="Calidad" localSheetId="144">#REF!</definedName>
    <definedName name="Calidad" localSheetId="161">#REF!</definedName>
    <definedName name="Calidad" localSheetId="175">#REF!</definedName>
    <definedName name="Calidad" localSheetId="122">#REF!</definedName>
    <definedName name="Calidad">#REF!</definedName>
    <definedName name="CD" localSheetId="132">#REF!</definedName>
    <definedName name="CD" localSheetId="108">#REF!</definedName>
    <definedName name="CD" localSheetId="113">#REF!</definedName>
    <definedName name="CD" localSheetId="99">#REF!</definedName>
    <definedName name="CD" localSheetId="194">#REF!</definedName>
    <definedName name="CD" localSheetId="209">#REF!</definedName>
    <definedName name="CD" localSheetId="224">#REF!</definedName>
    <definedName name="CD" localSheetId="239">#REF!</definedName>
    <definedName name="CD" localSheetId="148">#REF!</definedName>
    <definedName name="CD" localSheetId="165">#REF!</definedName>
    <definedName name="CD" localSheetId="179">#REF!</definedName>
    <definedName name="CD" localSheetId="121">#REF!</definedName>
    <definedName name="CD" localSheetId="111">#REF!</definedName>
    <definedName name="CD" localSheetId="101">#REF!</definedName>
    <definedName name="CD" localSheetId="93">#REF!</definedName>
    <definedName name="CD" localSheetId="133">#REF!</definedName>
    <definedName name="CD" localSheetId="15">#REF!</definedName>
    <definedName name="CD" localSheetId="18">#REF!</definedName>
    <definedName name="CD" localSheetId="57">#REF!</definedName>
    <definedName name="CD" localSheetId="63">#REF!</definedName>
    <definedName name="CD" localSheetId="77">#REF!</definedName>
    <definedName name="CD" localSheetId="85">#REF!</definedName>
    <definedName name="CD" localSheetId="33">#REF!</definedName>
    <definedName name="CD" localSheetId="39">#REF!</definedName>
    <definedName name="CD" localSheetId="45">#REF!</definedName>
    <definedName name="CD" localSheetId="51">#REF!</definedName>
    <definedName name="CD" localSheetId="69">#REF!</definedName>
    <definedName name="CD" localSheetId="129">#REF!</definedName>
    <definedName name="CD" localSheetId="187">#REF!</definedName>
    <definedName name="CD" localSheetId="202">#REF!</definedName>
    <definedName name="CD" localSheetId="217">#REF!</definedName>
    <definedName name="CD" localSheetId="230">#REF!</definedName>
    <definedName name="CD" localSheetId="144">#REF!</definedName>
    <definedName name="CD" localSheetId="161">#REF!</definedName>
    <definedName name="CD" localSheetId="175">#REF!</definedName>
    <definedName name="CD" localSheetId="122">#REF!</definedName>
    <definedName name="CD">#REF!</definedName>
    <definedName name="CDU" localSheetId="132">#REF!</definedName>
    <definedName name="CDU" localSheetId="108">#REF!</definedName>
    <definedName name="CDU" localSheetId="113">#REF!</definedName>
    <definedName name="CDU" localSheetId="99">#REF!</definedName>
    <definedName name="CDU" localSheetId="194">#REF!</definedName>
    <definedName name="CDU" localSheetId="209">#REF!</definedName>
    <definedName name="CDU" localSheetId="224">#REF!</definedName>
    <definedName name="CDU" localSheetId="239">#REF!</definedName>
    <definedName name="CDU" localSheetId="148">#REF!</definedName>
    <definedName name="CDU" localSheetId="165">#REF!</definedName>
    <definedName name="CDU" localSheetId="179">#REF!</definedName>
    <definedName name="CDU" localSheetId="121">#REF!</definedName>
    <definedName name="CDU" localSheetId="111">#REF!</definedName>
    <definedName name="CDU" localSheetId="101">#REF!</definedName>
    <definedName name="CDU" localSheetId="93">#REF!</definedName>
    <definedName name="CDU" localSheetId="133">#REF!</definedName>
    <definedName name="CDU" localSheetId="15">#REF!</definedName>
    <definedName name="CDU" localSheetId="18">#REF!</definedName>
    <definedName name="CDU" localSheetId="57">#REF!</definedName>
    <definedName name="CDU" localSheetId="63">#REF!</definedName>
    <definedName name="CDU" localSheetId="77">#REF!</definedName>
    <definedName name="CDU" localSheetId="85">#REF!</definedName>
    <definedName name="CDU" localSheetId="33">#REF!</definedName>
    <definedName name="CDU" localSheetId="39">#REF!</definedName>
    <definedName name="CDU" localSheetId="45">#REF!</definedName>
    <definedName name="CDU" localSheetId="51">#REF!</definedName>
    <definedName name="CDU" localSheetId="69">#REF!</definedName>
    <definedName name="CDU" localSheetId="129">#REF!</definedName>
    <definedName name="CDU" localSheetId="187">#REF!</definedName>
    <definedName name="CDU" localSheetId="202">#REF!</definedName>
    <definedName name="CDU" localSheetId="217">#REF!</definedName>
    <definedName name="CDU" localSheetId="230">#REF!</definedName>
    <definedName name="CDU" localSheetId="144">#REF!</definedName>
    <definedName name="CDU" localSheetId="161">#REF!</definedName>
    <definedName name="CDU" localSheetId="175">#REF!</definedName>
    <definedName name="CDU" localSheetId="122">#REF!</definedName>
    <definedName name="CDU">#REF!</definedName>
    <definedName name="CDV" localSheetId="132">#REF!</definedName>
    <definedName name="CDV" localSheetId="108">#REF!</definedName>
    <definedName name="CDV" localSheetId="113">#REF!</definedName>
    <definedName name="CDV" localSheetId="99">#REF!</definedName>
    <definedName name="CDV" localSheetId="194">#REF!</definedName>
    <definedName name="CDV" localSheetId="209">#REF!</definedName>
    <definedName name="CDV" localSheetId="224">#REF!</definedName>
    <definedName name="CDV" localSheetId="239">#REF!</definedName>
    <definedName name="CDV" localSheetId="148">#REF!</definedName>
    <definedName name="CDV" localSheetId="165">#REF!</definedName>
    <definedName name="CDV" localSheetId="179">#REF!</definedName>
    <definedName name="CDV" localSheetId="121">#REF!</definedName>
    <definedName name="CDV" localSheetId="111">#REF!</definedName>
    <definedName name="CDV" localSheetId="101">#REF!</definedName>
    <definedName name="CDV" localSheetId="93">#REF!</definedName>
    <definedName name="CDV" localSheetId="133">#REF!</definedName>
    <definedName name="CDV" localSheetId="15">#REF!</definedName>
    <definedName name="CDV" localSheetId="18">#REF!</definedName>
    <definedName name="CDV" localSheetId="57">#REF!</definedName>
    <definedName name="CDV" localSheetId="63">#REF!</definedName>
    <definedName name="CDV" localSheetId="77">#REF!</definedName>
    <definedName name="CDV" localSheetId="85">#REF!</definedName>
    <definedName name="CDV" localSheetId="33">#REF!</definedName>
    <definedName name="CDV" localSheetId="39">#REF!</definedName>
    <definedName name="CDV" localSheetId="45">#REF!</definedName>
    <definedName name="CDV" localSheetId="51">#REF!</definedName>
    <definedName name="CDV" localSheetId="69">#REF!</definedName>
    <definedName name="CDV" localSheetId="129">#REF!</definedName>
    <definedName name="CDV" localSheetId="187">#REF!</definedName>
    <definedName name="CDV" localSheetId="202">#REF!</definedName>
    <definedName name="CDV" localSheetId="217">#REF!</definedName>
    <definedName name="CDV" localSheetId="230">#REF!</definedName>
    <definedName name="CDV" localSheetId="144">#REF!</definedName>
    <definedName name="CDV" localSheetId="161">#REF!</definedName>
    <definedName name="CDV" localSheetId="175">#REF!</definedName>
    <definedName name="CDV" localSheetId="122">#REF!</definedName>
    <definedName name="CDV">#REF!</definedName>
    <definedName name="cesantia" localSheetId="132">#REF!</definedName>
    <definedName name="cesantia" localSheetId="108">#REF!</definedName>
    <definedName name="cesantia" localSheetId="113">#REF!</definedName>
    <definedName name="cesantia" localSheetId="99">#REF!</definedName>
    <definedName name="cesantia" localSheetId="194">#REF!</definedName>
    <definedName name="cesantia" localSheetId="209">#REF!</definedName>
    <definedName name="cesantia" localSheetId="224">#REF!</definedName>
    <definedName name="cesantia" localSheetId="239">#REF!</definedName>
    <definedName name="cesantia" localSheetId="148">#REF!</definedName>
    <definedName name="cesantia" localSheetId="165">#REF!</definedName>
    <definedName name="cesantia" localSheetId="179">#REF!</definedName>
    <definedName name="cesantia" localSheetId="121">#REF!</definedName>
    <definedName name="cesantia" localSheetId="111">#REF!</definedName>
    <definedName name="cesantia" localSheetId="101">#REF!</definedName>
    <definedName name="cesantia" localSheetId="93">#REF!</definedName>
    <definedName name="cesantia" localSheetId="133">#REF!</definedName>
    <definedName name="cesantia" localSheetId="15">#REF!</definedName>
    <definedName name="cesantia" localSheetId="18">#REF!</definedName>
    <definedName name="cesantia" localSheetId="57">#REF!</definedName>
    <definedName name="cesantia" localSheetId="63">#REF!</definedName>
    <definedName name="cesantia" localSheetId="77">#REF!</definedName>
    <definedName name="cesantia" localSheetId="85">#REF!</definedName>
    <definedName name="cesantia" localSheetId="33">#REF!</definedName>
    <definedName name="cesantia" localSheetId="39">#REF!</definedName>
    <definedName name="cesantia" localSheetId="45">#REF!</definedName>
    <definedName name="cesantia" localSheetId="51">#REF!</definedName>
    <definedName name="cesantia" localSheetId="69">#REF!</definedName>
    <definedName name="cesantia" localSheetId="129">#REF!</definedName>
    <definedName name="cesantia" localSheetId="187">#REF!</definedName>
    <definedName name="cesantia" localSheetId="202">#REF!</definedName>
    <definedName name="cesantia" localSheetId="217">#REF!</definedName>
    <definedName name="cesantia" localSheetId="230">#REF!</definedName>
    <definedName name="cesantia" localSheetId="144">#REF!</definedName>
    <definedName name="cesantia" localSheetId="161">#REF!</definedName>
    <definedName name="cesantia" localSheetId="175">#REF!</definedName>
    <definedName name="cesantia" localSheetId="122">#REF!</definedName>
    <definedName name="cesantia">#REF!</definedName>
    <definedName name="COMPANIA" localSheetId="132">#REF!</definedName>
    <definedName name="COMPANIA" localSheetId="108">#REF!</definedName>
    <definedName name="COMPANIA" localSheetId="113">#REF!</definedName>
    <definedName name="COMPANIA" localSheetId="99">#REF!</definedName>
    <definedName name="COMPANIA" localSheetId="129">#REF!</definedName>
    <definedName name="COMPANIA" localSheetId="187">#REF!</definedName>
    <definedName name="COMPANIA" localSheetId="202">#REF!</definedName>
    <definedName name="COMPANIA" localSheetId="217">#REF!</definedName>
    <definedName name="COMPANIA" localSheetId="230">#REF!</definedName>
    <definedName name="COMPANIA" localSheetId="144">#REF!</definedName>
    <definedName name="COMPANIA" localSheetId="161">#REF!</definedName>
    <definedName name="COMPANIA" localSheetId="175">#REF!</definedName>
    <definedName name="COMPANIA">#REF!</definedName>
    <definedName name="DD" localSheetId="132">#REF!</definedName>
    <definedName name="DD" localSheetId="108">#REF!</definedName>
    <definedName name="DD" localSheetId="113">#REF!</definedName>
    <definedName name="DD" localSheetId="99">#REF!</definedName>
    <definedName name="DD" localSheetId="129">#REF!</definedName>
    <definedName name="DD" localSheetId="187">#REF!</definedName>
    <definedName name="DD" localSheetId="202">#REF!</definedName>
    <definedName name="DD" localSheetId="217">#REF!</definedName>
    <definedName name="DD" localSheetId="230">#REF!</definedName>
    <definedName name="DD" localSheetId="144">#REF!</definedName>
    <definedName name="DD" localSheetId="161">#REF!</definedName>
    <definedName name="DD" localSheetId="175">#REF!</definedName>
    <definedName name="DD">#REF!</definedName>
    <definedName name="DDT" localSheetId="132">#REF!</definedName>
    <definedName name="DDT" localSheetId="108">#REF!</definedName>
    <definedName name="DDT" localSheetId="113">#REF!</definedName>
    <definedName name="DDT" localSheetId="99">#REF!</definedName>
    <definedName name="DDT" localSheetId="129">#REF!</definedName>
    <definedName name="DDT" localSheetId="187">#REF!</definedName>
    <definedName name="DDT" localSheetId="202">#REF!</definedName>
    <definedName name="DDT" localSheetId="217">#REF!</definedName>
    <definedName name="DDT" localSheetId="230">#REF!</definedName>
    <definedName name="DDT" localSheetId="144">#REF!</definedName>
    <definedName name="DDT" localSheetId="161">#REF!</definedName>
    <definedName name="DDT" localSheetId="175">#REF!</definedName>
    <definedName name="DDT">#REF!</definedName>
    <definedName name="desperdicio" localSheetId="132">#REF!</definedName>
    <definedName name="desperdicio" localSheetId="108">#REF!</definedName>
    <definedName name="desperdicio" localSheetId="113">#REF!</definedName>
    <definedName name="desperdicio" localSheetId="99">#REF!</definedName>
    <definedName name="desperdicio" localSheetId="194">#REF!</definedName>
    <definedName name="desperdicio" localSheetId="209">#REF!</definedName>
    <definedName name="desperdicio" localSheetId="224">#REF!</definedName>
    <definedName name="desperdicio" localSheetId="239">#REF!</definedName>
    <definedName name="desperdicio" localSheetId="148">#REF!</definedName>
    <definedName name="desperdicio" localSheetId="165">#REF!</definedName>
    <definedName name="desperdicio" localSheetId="179">#REF!</definedName>
    <definedName name="desperdicio" localSheetId="121">#REF!</definedName>
    <definedName name="desperdicio" localSheetId="111">#REF!</definedName>
    <definedName name="desperdicio" localSheetId="101">#REF!</definedName>
    <definedName name="desperdicio" localSheetId="93">#REF!</definedName>
    <definedName name="desperdicio" localSheetId="133">#REF!</definedName>
    <definedName name="desperdicio" localSheetId="15">#REF!</definedName>
    <definedName name="desperdicio" localSheetId="18">#REF!</definedName>
    <definedName name="desperdicio" localSheetId="57">#REF!</definedName>
    <definedName name="desperdicio" localSheetId="63">#REF!</definedName>
    <definedName name="desperdicio" localSheetId="77">#REF!</definedName>
    <definedName name="desperdicio" localSheetId="85">#REF!</definedName>
    <definedName name="desperdicio" localSheetId="33">#REF!</definedName>
    <definedName name="desperdicio" localSheetId="39">#REF!</definedName>
    <definedName name="desperdicio" localSheetId="45">#REF!</definedName>
    <definedName name="desperdicio" localSheetId="51">#REF!</definedName>
    <definedName name="desperdicio" localSheetId="69">#REF!</definedName>
    <definedName name="desperdicio" localSheetId="129">#REF!</definedName>
    <definedName name="desperdicio" localSheetId="187">#REF!</definedName>
    <definedName name="desperdicio" localSheetId="202">#REF!</definedName>
    <definedName name="desperdicio" localSheetId="217">#REF!</definedName>
    <definedName name="desperdicio" localSheetId="230">#REF!</definedName>
    <definedName name="desperdicio" localSheetId="144">#REF!</definedName>
    <definedName name="desperdicio" localSheetId="161">#REF!</definedName>
    <definedName name="desperdicio" localSheetId="175">#REF!</definedName>
    <definedName name="desperdicio" localSheetId="122">#REF!</definedName>
    <definedName name="desperdicio">#REF!</definedName>
    <definedName name="FECHA" localSheetId="132">#REF!</definedName>
    <definedName name="FECHA" localSheetId="108">#REF!</definedName>
    <definedName name="FECHA" localSheetId="113">#REF!</definedName>
    <definedName name="FECHA" localSheetId="99">#REF!</definedName>
    <definedName name="FECHA" localSheetId="129">#REF!</definedName>
    <definedName name="FECHA" localSheetId="187">#REF!</definedName>
    <definedName name="FECHA" localSheetId="202">#REF!</definedName>
    <definedName name="FECHA" localSheetId="217">#REF!</definedName>
    <definedName name="FECHA" localSheetId="230">#REF!</definedName>
    <definedName name="FECHA" localSheetId="144">#REF!</definedName>
    <definedName name="FECHA" localSheetId="161">#REF!</definedName>
    <definedName name="FECHA" localSheetId="175">#REF!</definedName>
    <definedName name="FECHA">#REF!</definedName>
    <definedName name="FlujoBanco" localSheetId="132">#REF!</definedName>
    <definedName name="FlujoBanco" localSheetId="108">#REF!</definedName>
    <definedName name="FlujoBanco" localSheetId="113">#REF!</definedName>
    <definedName name="FlujoBanco" localSheetId="99">#REF!</definedName>
    <definedName name="FlujoBanco" localSheetId="194">#REF!</definedName>
    <definedName name="FlujoBanco" localSheetId="209">#REF!</definedName>
    <definedName name="FlujoBanco" localSheetId="224">#REF!</definedName>
    <definedName name="FlujoBanco" localSheetId="239">#REF!</definedName>
    <definedName name="FlujoBanco" localSheetId="148">#REF!</definedName>
    <definedName name="FlujoBanco" localSheetId="165">#REF!</definedName>
    <definedName name="FlujoBanco" localSheetId="179">#REF!</definedName>
    <definedName name="FlujoBanco" localSheetId="121">#REF!</definedName>
    <definedName name="FlujoBanco" localSheetId="111">#REF!</definedName>
    <definedName name="FlujoBanco" localSheetId="101">#REF!</definedName>
    <definedName name="FlujoBanco" localSheetId="93">#REF!</definedName>
    <definedName name="FlujoBanco" localSheetId="133">#REF!</definedName>
    <definedName name="FlujoBanco" localSheetId="15">#REF!</definedName>
    <definedName name="FlujoBanco" localSheetId="18">#REF!</definedName>
    <definedName name="FlujoBanco" localSheetId="57">#REF!</definedName>
    <definedName name="FlujoBanco" localSheetId="63">#REF!</definedName>
    <definedName name="FlujoBanco" localSheetId="77">#REF!</definedName>
    <definedName name="FlujoBanco" localSheetId="85">#REF!</definedName>
    <definedName name="FlujoBanco" localSheetId="33">#REF!</definedName>
    <definedName name="FlujoBanco" localSheetId="39">#REF!</definedName>
    <definedName name="FlujoBanco" localSheetId="45">#REF!</definedName>
    <definedName name="FlujoBanco" localSheetId="51">#REF!</definedName>
    <definedName name="FlujoBanco" localSheetId="69">#REF!</definedName>
    <definedName name="FlujoBanco" localSheetId="129">#REF!</definedName>
    <definedName name="FlujoBanco" localSheetId="187">#REF!</definedName>
    <definedName name="FlujoBanco" localSheetId="202">#REF!</definedName>
    <definedName name="FlujoBanco" localSheetId="217">#REF!</definedName>
    <definedName name="FlujoBanco" localSheetId="230">#REF!</definedName>
    <definedName name="FlujoBanco" localSheetId="144">#REF!</definedName>
    <definedName name="FlujoBanco" localSheetId="161">#REF!</definedName>
    <definedName name="FlujoBanco" localSheetId="175">#REF!</definedName>
    <definedName name="FlujoBanco" localSheetId="122">#REF!</definedName>
    <definedName name="FlujoBanco">#REF!</definedName>
    <definedName name="formula" localSheetId="132">#REF!</definedName>
    <definedName name="formula" localSheetId="108">#REF!</definedName>
    <definedName name="formula" localSheetId="113">#REF!</definedName>
    <definedName name="formula" localSheetId="99">#REF!</definedName>
    <definedName name="formula" localSheetId="194">#REF!</definedName>
    <definedName name="formula" localSheetId="209">#REF!</definedName>
    <definedName name="formula" localSheetId="224">#REF!</definedName>
    <definedName name="formula" localSheetId="239">#REF!</definedName>
    <definedName name="formula" localSheetId="148">#REF!</definedName>
    <definedName name="formula" localSheetId="165">#REF!</definedName>
    <definedName name="formula" localSheetId="179">#REF!</definedName>
    <definedName name="formula" localSheetId="121">#REF!</definedName>
    <definedName name="formula" localSheetId="111">#REF!</definedName>
    <definedName name="formula" localSheetId="101">#REF!</definedName>
    <definedName name="formula" localSheetId="93">#REF!</definedName>
    <definedName name="formula" localSheetId="133">#REF!</definedName>
    <definedName name="formula" localSheetId="15">#REF!</definedName>
    <definedName name="formula" localSheetId="18">#REF!</definedName>
    <definedName name="formula" localSheetId="57">#REF!</definedName>
    <definedName name="formula" localSheetId="63">#REF!</definedName>
    <definedName name="formula" localSheetId="77">#REF!</definedName>
    <definedName name="formula" localSheetId="85">#REF!</definedName>
    <definedName name="formula" localSheetId="33">#REF!</definedName>
    <definedName name="formula" localSheetId="39">#REF!</definedName>
    <definedName name="formula" localSheetId="45">#REF!</definedName>
    <definedName name="formula" localSheetId="51">#REF!</definedName>
    <definedName name="formula" localSheetId="69">#REF!</definedName>
    <definedName name="formula" localSheetId="129">#REF!</definedName>
    <definedName name="formula" localSheetId="187">#REF!</definedName>
    <definedName name="formula" localSheetId="202">#REF!</definedName>
    <definedName name="formula" localSheetId="217">#REF!</definedName>
    <definedName name="formula" localSheetId="230">#REF!</definedName>
    <definedName name="formula" localSheetId="144">#REF!</definedName>
    <definedName name="formula" localSheetId="161">#REF!</definedName>
    <definedName name="formula" localSheetId="175">#REF!</definedName>
    <definedName name="formula" localSheetId="122">#REF!</definedName>
    <definedName name="formula">#REF!</definedName>
    <definedName name="formula1" localSheetId="132">#REF!</definedName>
    <definedName name="formula1" localSheetId="108">#REF!</definedName>
    <definedName name="formula1" localSheetId="113">#REF!</definedName>
    <definedName name="formula1" localSheetId="99">#REF!</definedName>
    <definedName name="formula1" localSheetId="194">#REF!</definedName>
    <definedName name="formula1" localSheetId="209">#REF!</definedName>
    <definedName name="formula1" localSheetId="224">#REF!</definedName>
    <definedName name="formula1" localSheetId="239">#REF!</definedName>
    <definedName name="formula1" localSheetId="148">#REF!</definedName>
    <definedName name="formula1" localSheetId="165">#REF!</definedName>
    <definedName name="formula1" localSheetId="179">#REF!</definedName>
    <definedName name="formula1" localSheetId="121">#REF!</definedName>
    <definedName name="formula1" localSheetId="111">#REF!</definedName>
    <definedName name="formula1" localSheetId="101">#REF!</definedName>
    <definedName name="formula1" localSheetId="93">#REF!</definedName>
    <definedName name="formula1" localSheetId="133">#REF!</definedName>
    <definedName name="formula1" localSheetId="15">#REF!</definedName>
    <definedName name="formula1" localSheetId="18">#REF!</definedName>
    <definedName name="formula1" localSheetId="57">#REF!</definedName>
    <definedName name="formula1" localSheetId="63">#REF!</definedName>
    <definedName name="formula1" localSheetId="77">#REF!</definedName>
    <definedName name="formula1" localSheetId="85">#REF!</definedName>
    <definedName name="formula1" localSheetId="33">#REF!</definedName>
    <definedName name="formula1" localSheetId="39">#REF!</definedName>
    <definedName name="formula1" localSheetId="45">#REF!</definedName>
    <definedName name="formula1" localSheetId="51">#REF!</definedName>
    <definedName name="formula1" localSheetId="69">#REF!</definedName>
    <definedName name="formula1" localSheetId="129">#REF!</definedName>
    <definedName name="formula1" localSheetId="187">#REF!</definedName>
    <definedName name="formula1" localSheetId="202">#REF!</definedName>
    <definedName name="formula1" localSheetId="217">#REF!</definedName>
    <definedName name="formula1" localSheetId="230">#REF!</definedName>
    <definedName name="formula1" localSheetId="144">#REF!</definedName>
    <definedName name="formula1" localSheetId="161">#REF!</definedName>
    <definedName name="formula1" localSheetId="175">#REF!</definedName>
    <definedName name="formula1" localSheetId="122">#REF!</definedName>
    <definedName name="formula1">#REF!</definedName>
    <definedName name="formula2" localSheetId="132">#REF!</definedName>
    <definedName name="formula2" localSheetId="108">#REF!</definedName>
    <definedName name="formula2" localSheetId="113">#REF!</definedName>
    <definedName name="formula2" localSheetId="99">#REF!</definedName>
    <definedName name="formula2" localSheetId="194">#REF!</definedName>
    <definedName name="formula2" localSheetId="209">#REF!</definedName>
    <definedName name="formula2" localSheetId="224">#REF!</definedName>
    <definedName name="formula2" localSheetId="239">#REF!</definedName>
    <definedName name="formula2" localSheetId="148">#REF!</definedName>
    <definedName name="formula2" localSheetId="165">#REF!</definedName>
    <definedName name="formula2" localSheetId="179">#REF!</definedName>
    <definedName name="formula2" localSheetId="121">#REF!</definedName>
    <definedName name="formula2" localSheetId="111">#REF!</definedName>
    <definedName name="formula2" localSheetId="101">#REF!</definedName>
    <definedName name="formula2" localSheetId="93">#REF!</definedName>
    <definedName name="formula2" localSheetId="133">#REF!</definedName>
    <definedName name="formula2" localSheetId="15">#REF!</definedName>
    <definedName name="formula2" localSheetId="18">#REF!</definedName>
    <definedName name="formula2" localSheetId="57">#REF!</definedName>
    <definedName name="formula2" localSheetId="63">#REF!</definedName>
    <definedName name="formula2" localSheetId="77">#REF!</definedName>
    <definedName name="formula2" localSheetId="85">#REF!</definedName>
    <definedName name="formula2" localSheetId="33">#REF!</definedName>
    <definedName name="formula2" localSheetId="39">#REF!</definedName>
    <definedName name="formula2" localSheetId="45">#REF!</definedName>
    <definedName name="formula2" localSheetId="51">#REF!</definedName>
    <definedName name="formula2" localSheetId="69">#REF!</definedName>
    <definedName name="formula2" localSheetId="129">#REF!</definedName>
    <definedName name="formula2" localSheetId="187">#REF!</definedName>
    <definedName name="formula2" localSheetId="202">#REF!</definedName>
    <definedName name="formula2" localSheetId="217">#REF!</definedName>
    <definedName name="formula2" localSheetId="230">#REF!</definedName>
    <definedName name="formula2" localSheetId="144">#REF!</definedName>
    <definedName name="formula2" localSheetId="161">#REF!</definedName>
    <definedName name="formula2" localSheetId="175">#REF!</definedName>
    <definedName name="formula2" localSheetId="122">#REF!</definedName>
    <definedName name="formula2">#REF!</definedName>
    <definedName name="_xlnm.Recorder" localSheetId="132">#REF!</definedName>
    <definedName name="_xlnm.Recorder" localSheetId="108">#REF!</definedName>
    <definedName name="_xlnm.Recorder" localSheetId="113">#REF!</definedName>
    <definedName name="_xlnm.Recorder" localSheetId="99">#REF!</definedName>
    <definedName name="_xlnm.Recorder" localSheetId="194">#REF!</definedName>
    <definedName name="_xlnm.Recorder" localSheetId="209">#REF!</definedName>
    <definedName name="_xlnm.Recorder" localSheetId="224">#REF!</definedName>
    <definedName name="_xlnm.Recorder" localSheetId="239">#REF!</definedName>
    <definedName name="_xlnm.Recorder" localSheetId="148">#REF!</definedName>
    <definedName name="_xlnm.Recorder" localSheetId="165">#REF!</definedName>
    <definedName name="_xlnm.Recorder" localSheetId="179">#REF!</definedName>
    <definedName name="_xlnm.Recorder" localSheetId="121">#REF!</definedName>
    <definedName name="_xlnm.Recorder" localSheetId="111">#REF!</definedName>
    <definedName name="_xlnm.Recorder" localSheetId="101">#REF!</definedName>
    <definedName name="_xlnm.Recorder" localSheetId="93">#REF!</definedName>
    <definedName name="_xlnm.Recorder" localSheetId="133">#REF!</definedName>
    <definedName name="_xlnm.Recorder" localSheetId="15">#REF!</definedName>
    <definedName name="_xlnm.Recorder" localSheetId="18">#REF!</definedName>
    <definedName name="_xlnm.Recorder" localSheetId="57">#REF!</definedName>
    <definedName name="_xlnm.Recorder" localSheetId="63">#REF!</definedName>
    <definedName name="_xlnm.Recorder" localSheetId="77">#REF!</definedName>
    <definedName name="_xlnm.Recorder" localSheetId="85">#REF!</definedName>
    <definedName name="_xlnm.Recorder" localSheetId="33">#REF!</definedName>
    <definedName name="_xlnm.Recorder" localSheetId="39">#REF!</definedName>
    <definedName name="_xlnm.Recorder" localSheetId="45">#REF!</definedName>
    <definedName name="_xlnm.Recorder" localSheetId="51">#REF!</definedName>
    <definedName name="_xlnm.Recorder" localSheetId="69">#REF!</definedName>
    <definedName name="_xlnm.Recorder" localSheetId="129">#REF!</definedName>
    <definedName name="_xlnm.Recorder" localSheetId="187">#REF!</definedName>
    <definedName name="_xlnm.Recorder" localSheetId="202">#REF!</definedName>
    <definedName name="_xlnm.Recorder" localSheetId="217">#REF!</definedName>
    <definedName name="_xlnm.Recorder" localSheetId="230">#REF!</definedName>
    <definedName name="_xlnm.Recorder" localSheetId="144">#REF!</definedName>
    <definedName name="_xlnm.Recorder" localSheetId="161">#REF!</definedName>
    <definedName name="_xlnm.Recorder" localSheetId="175">#REF!</definedName>
    <definedName name="_xlnm.Recorder" localSheetId="122">#REF!</definedName>
    <definedName name="_xlnm.Recorder">#REF!</definedName>
    <definedName name="herramientas" localSheetId="132">#REF!</definedName>
    <definedName name="herramientas" localSheetId="108">#REF!</definedName>
    <definedName name="herramientas" localSheetId="113">#REF!</definedName>
    <definedName name="herramientas" localSheetId="99">#REF!</definedName>
    <definedName name="herramientas" localSheetId="194">#REF!</definedName>
    <definedName name="herramientas" localSheetId="209">#REF!</definedName>
    <definedName name="herramientas" localSheetId="224">#REF!</definedName>
    <definedName name="herramientas" localSheetId="239">#REF!</definedName>
    <definedName name="herramientas" localSheetId="148">#REF!</definedName>
    <definedName name="herramientas" localSheetId="165">#REF!</definedName>
    <definedName name="herramientas" localSheetId="179">#REF!</definedName>
    <definedName name="herramientas" localSheetId="121">#REF!</definedName>
    <definedName name="herramientas" localSheetId="111">#REF!</definedName>
    <definedName name="herramientas" localSheetId="101">#REF!</definedName>
    <definedName name="herramientas" localSheetId="93">#REF!</definedName>
    <definedName name="herramientas" localSheetId="133">#REF!</definedName>
    <definedName name="herramientas" localSheetId="15">#REF!</definedName>
    <definedName name="herramientas" localSheetId="18">#REF!</definedName>
    <definedName name="herramientas" localSheetId="57">#REF!</definedName>
    <definedName name="herramientas" localSheetId="63">#REF!</definedName>
    <definedName name="herramientas" localSheetId="77">#REF!</definedName>
    <definedName name="herramientas" localSheetId="85">#REF!</definedName>
    <definedName name="herramientas" localSheetId="33">#REF!</definedName>
    <definedName name="herramientas" localSheetId="39">#REF!</definedName>
    <definedName name="herramientas" localSheetId="45">#REF!</definedName>
    <definedName name="herramientas" localSheetId="51">#REF!</definedName>
    <definedName name="herramientas" localSheetId="69">#REF!</definedName>
    <definedName name="herramientas" localSheetId="129">#REF!</definedName>
    <definedName name="herramientas" localSheetId="187">#REF!</definedName>
    <definedName name="herramientas" localSheetId="202">#REF!</definedName>
    <definedName name="herramientas" localSheetId="217">#REF!</definedName>
    <definedName name="herramientas" localSheetId="230">#REF!</definedName>
    <definedName name="herramientas" localSheetId="144">#REF!</definedName>
    <definedName name="herramientas" localSheetId="161">#REF!</definedName>
    <definedName name="herramientas" localSheetId="175">#REF!</definedName>
    <definedName name="herramientas" localSheetId="122">#REF!</definedName>
    <definedName name="herramientas">#REF!</definedName>
    <definedName name="idss" localSheetId="132">#REF!</definedName>
    <definedName name="idss" localSheetId="108">#REF!</definedName>
    <definedName name="idss" localSheetId="113">#REF!</definedName>
    <definedName name="idss" localSheetId="99">#REF!</definedName>
    <definedName name="idss" localSheetId="194">#REF!</definedName>
    <definedName name="idss" localSheetId="209">#REF!</definedName>
    <definedName name="idss" localSheetId="224">#REF!</definedName>
    <definedName name="idss" localSheetId="239">#REF!</definedName>
    <definedName name="idss" localSheetId="148">#REF!</definedName>
    <definedName name="idss" localSheetId="165">#REF!</definedName>
    <definedName name="idss" localSheetId="179">#REF!</definedName>
    <definedName name="idss" localSheetId="121">#REF!</definedName>
    <definedName name="idss" localSheetId="111">#REF!</definedName>
    <definedName name="idss" localSheetId="101">#REF!</definedName>
    <definedName name="idss" localSheetId="93">#REF!</definedName>
    <definedName name="idss" localSheetId="133">#REF!</definedName>
    <definedName name="idss" localSheetId="15">#REF!</definedName>
    <definedName name="idss" localSheetId="18">#REF!</definedName>
    <definedName name="idss" localSheetId="57">#REF!</definedName>
    <definedName name="idss" localSheetId="63">#REF!</definedName>
    <definedName name="idss" localSheetId="77">#REF!</definedName>
    <definedName name="idss" localSheetId="85">#REF!</definedName>
    <definedName name="idss" localSheetId="33">#REF!</definedName>
    <definedName name="idss" localSheetId="39">#REF!</definedName>
    <definedName name="idss" localSheetId="45">#REF!</definedName>
    <definedName name="idss" localSheetId="51">#REF!</definedName>
    <definedName name="idss" localSheetId="69">#REF!</definedName>
    <definedName name="idss" localSheetId="129">#REF!</definedName>
    <definedName name="idss" localSheetId="187">#REF!</definedName>
    <definedName name="idss" localSheetId="202">#REF!</definedName>
    <definedName name="idss" localSheetId="217">#REF!</definedName>
    <definedName name="idss" localSheetId="230">#REF!</definedName>
    <definedName name="idss" localSheetId="144">#REF!</definedName>
    <definedName name="idss" localSheetId="161">#REF!</definedName>
    <definedName name="idss" localSheetId="175">#REF!</definedName>
    <definedName name="idss" localSheetId="122">#REF!</definedName>
    <definedName name="idss">#REF!</definedName>
    <definedName name="INICIO" localSheetId="132">#REF!</definedName>
    <definedName name="INICIO" localSheetId="108">#REF!</definedName>
    <definedName name="INICIO" localSheetId="113">#REF!</definedName>
    <definedName name="INICIO" localSheetId="99">#REF!</definedName>
    <definedName name="INICIO" localSheetId="129">#REF!</definedName>
    <definedName name="INICIO" localSheetId="187">#REF!</definedName>
    <definedName name="INICIO" localSheetId="202">#REF!</definedName>
    <definedName name="INICIO" localSheetId="217">#REF!</definedName>
    <definedName name="INICIO" localSheetId="230">#REF!</definedName>
    <definedName name="INICIO" localSheetId="144">#REF!</definedName>
    <definedName name="INICIO" localSheetId="161">#REF!</definedName>
    <definedName name="INICIO" localSheetId="175">#REF!</definedName>
    <definedName name="INICIO">#REF!</definedName>
    <definedName name="itebis" localSheetId="132">#REF!</definedName>
    <definedName name="itebis" localSheetId="108">#REF!</definedName>
    <definedName name="itebis" localSheetId="113">#REF!</definedName>
    <definedName name="itebis" localSheetId="99">#REF!</definedName>
    <definedName name="itebis" localSheetId="194">#REF!</definedName>
    <definedName name="itebis" localSheetId="209">#REF!</definedName>
    <definedName name="itebis" localSheetId="224">#REF!</definedName>
    <definedName name="itebis" localSheetId="239">#REF!</definedName>
    <definedName name="itebis" localSheetId="148">#REF!</definedName>
    <definedName name="itebis" localSheetId="165">#REF!</definedName>
    <definedName name="itebis" localSheetId="179">#REF!</definedName>
    <definedName name="itebis" localSheetId="121">#REF!</definedName>
    <definedName name="itebis" localSheetId="111">#REF!</definedName>
    <definedName name="itebis" localSheetId="101">#REF!</definedName>
    <definedName name="itebis" localSheetId="93">#REF!</definedName>
    <definedName name="itebis" localSheetId="133">#REF!</definedName>
    <definedName name="itebis" localSheetId="15">#REF!</definedName>
    <definedName name="itebis" localSheetId="18">#REF!</definedName>
    <definedName name="itebis" localSheetId="57">#REF!</definedName>
    <definedName name="itebis" localSheetId="63">#REF!</definedName>
    <definedName name="itebis" localSheetId="77">#REF!</definedName>
    <definedName name="itebis" localSheetId="85">#REF!</definedName>
    <definedName name="itebis" localSheetId="33">#REF!</definedName>
    <definedName name="itebis" localSheetId="39">#REF!</definedName>
    <definedName name="itebis" localSheetId="45">#REF!</definedName>
    <definedName name="itebis" localSheetId="51">#REF!</definedName>
    <definedName name="itebis" localSheetId="69">#REF!</definedName>
    <definedName name="itebis" localSheetId="129">#REF!</definedName>
    <definedName name="itebis" localSheetId="187">#REF!</definedName>
    <definedName name="itebis" localSheetId="202">#REF!</definedName>
    <definedName name="itebis" localSheetId="217">#REF!</definedName>
    <definedName name="itebis" localSheetId="230">#REF!</definedName>
    <definedName name="itebis" localSheetId="144">#REF!</definedName>
    <definedName name="itebis" localSheetId="161">#REF!</definedName>
    <definedName name="itebis" localSheetId="175">#REF!</definedName>
    <definedName name="itebis" localSheetId="122">#REF!</definedName>
    <definedName name="itebis">#REF!</definedName>
    <definedName name="MmExcelLinker_B10F4F3A_688F_4097_8347_A703957170B8" localSheetId="42">DESGLOSE #REF!</definedName>
    <definedName name="MmExcelLinker_B10F4F3A_688F_4097_8347_A703957170B8" localSheetId="54">DESGLOSE #REF!</definedName>
    <definedName name="MmExcelLinker_B10F4F3A_688F_4097_8347_A703957170B8" localSheetId="181">DESGLOSE #REF!</definedName>
    <definedName name="MmExcelLinker_B10F4F3A_688F_4097_8347_A703957170B8" localSheetId="196">DESGLOSE #REF!</definedName>
    <definedName name="MmExcelLinker_B10F4F3A_688F_4097_8347_A703957170B8" localSheetId="72">DESGLOSE #REF!</definedName>
    <definedName name="MmExcelLinker_B10F4F3A_688F_4097_8347_A703957170B8" localSheetId="211">DESGLOSE #REF!</definedName>
    <definedName name="MmExcelLinker_B10F4F3A_688F_4097_8347_A703957170B8" localSheetId="81">DESGLOSE #REF!</definedName>
    <definedName name="MmExcelLinker_B10F4F3A_688F_4097_8347_A703957170B8" localSheetId="226">DESGLOSE #REF!</definedName>
    <definedName name="MmExcelLinker_B10F4F3A_688F_4097_8347_A703957170B8" localSheetId="88">DESGLOSE #REF!</definedName>
    <definedName name="MmExcelLinker_B10F4F3A_688F_4097_8347_A703957170B8" localSheetId="95">DESGLOSE #REF!</definedName>
    <definedName name="MmExcelLinker_B10F4F3A_688F_4097_8347_A703957170B8" localSheetId="102">DESGLOSE #REF!</definedName>
    <definedName name="MmExcelLinker_B10F4F3A_688F_4097_8347_A703957170B8" localSheetId="115">DESGLOSE #REF!</definedName>
    <definedName name="MmExcelLinker_B10F4F3A_688F_4097_8347_A703957170B8" localSheetId="125">DESGLOSE #REF!</definedName>
    <definedName name="MmExcelLinker_B10F4F3A_688F_4097_8347_A703957170B8" localSheetId="138">DESGLOSE #REF!</definedName>
    <definedName name="MmExcelLinker_B10F4F3A_688F_4097_8347_A703957170B8" localSheetId="155">DESGLOSE #REF!</definedName>
    <definedName name="MmExcelLinker_B10F4F3A_688F_4097_8347_A703957170B8" localSheetId="169">DESGLOSE #REF!</definedName>
    <definedName name="MmExcelLinker_B10F4F3A_688F_4097_8347_A703957170B8" localSheetId="66">DESGLOSE #REF!</definedName>
    <definedName name="MmExcelLinker_B10F4F3A_688F_4097_8347_A703957170B8" localSheetId="190">DESGLOSE #REF!</definedName>
    <definedName name="MmExcelLinker_B10F4F3A_688F_4097_8347_A703957170B8" localSheetId="205">DESGLOSE #REF!</definedName>
    <definedName name="MmExcelLinker_B10F4F3A_688F_4097_8347_A703957170B8" localSheetId="220">DESGLOSE #REF!</definedName>
    <definedName name="MmExcelLinker_B10F4F3A_688F_4097_8347_A703957170B8" localSheetId="232">DESGLOSE #REF!</definedName>
    <definedName name="MmExcelLinker_B10F4F3A_688F_4097_8347_A703957170B8" localSheetId="163">DESGLOSE #REF!</definedName>
    <definedName name="MmExcelLinker_B10F4F3A_688F_4097_8347_A703957170B8" localSheetId="177">DESGLOSE #REF!</definedName>
    <definedName name="MmExcelLinker_B10F4F3A_688F_4097_8347_A703957170B8" localSheetId="240">DESGLOSE #REF!</definedName>
    <definedName name="MmExcelLinker_B10F4F3A_688F_4097_8347_A703957170B8" localSheetId="192">DESGLOSE #REF!</definedName>
    <definedName name="MmExcelLinker_B10F4F3A_688F_4097_8347_A703957170B8" localSheetId="207">DESGLOSE #REF!</definedName>
    <definedName name="MmExcelLinker_B10F4F3A_688F_4097_8347_A703957170B8" localSheetId="222">DESGLOSE #REF!</definedName>
    <definedName name="MmExcelLinker_B10F4F3A_688F_4097_8347_A703957170B8" localSheetId="235">DESGLOSE #REF!</definedName>
    <definedName name="MmExcelLinker_B10F4F3A_688F_4097_8347_A703957170B8" localSheetId="142">DESGLOSE #REF!</definedName>
    <definedName name="MmExcelLinker_B10F4F3A_688F_4097_8347_A703957170B8" localSheetId="159">DESGLOSE #REF!</definedName>
    <definedName name="MmExcelLinker_B10F4F3A_688F_4097_8347_A703957170B8" localSheetId="173">DESGLOSE #REF!</definedName>
    <definedName name="MmExcelLinker_B10F4F3A_688F_4097_8347_A703957170B8" localSheetId="237">DESGLOSE #REF!</definedName>
    <definedName name="MmExcelLinker_B10F4F3A_688F_4097_8347_A703957170B8" localSheetId="174">DESGLOSE #REF!</definedName>
    <definedName name="MmExcelLinker_B10F4F3A_688F_4097_8347_A703957170B8" localSheetId="186">DESGLOSE #REF!</definedName>
    <definedName name="MmExcelLinker_B10F4F3A_688F_4097_8347_A703957170B8" localSheetId="201">DESGLOSE #REF!</definedName>
    <definedName name="MmExcelLinker_B10F4F3A_688F_4097_8347_A703957170B8" localSheetId="216">DESGLOSE #REF!</definedName>
    <definedName name="MmExcelLinker_B10F4F3A_688F_4097_8347_A703957170B8" localSheetId="160">DESGLOSE #REF!</definedName>
    <definedName name="MmExcelLinker_B10F4F3A_688F_4097_8347_A703957170B8" localSheetId="143">DESGLOSE #REF!</definedName>
    <definedName name="MmExcelLinker_B10F4F3A_688F_4097_8347_A703957170B8" localSheetId="30">DESGLOSE #REF!</definedName>
    <definedName name="MmExcelLinker_B10F4F3A_688F_4097_8347_A703957170B8" localSheetId="67">DESGLOSE #REF!</definedName>
    <definedName name="MmExcelLinker_B10F4F3A_688F_4097_8347_A703957170B8" localSheetId="184">DESGLOSE #REF!</definedName>
    <definedName name="MmExcelLinker_B10F4F3A_688F_4097_8347_A703957170B8" localSheetId="199">DESGLOSE #REF!</definedName>
    <definedName name="MmExcelLinker_B10F4F3A_688F_4097_8347_A703957170B8" localSheetId="214">DESGLOSE #REF!</definedName>
    <definedName name="MmExcelLinker_B10F4F3A_688F_4097_8347_A703957170B8" localSheetId="228">DESGLOSE #REF!</definedName>
    <definedName name="MmExcelLinker_B10F4F3A_688F_4097_8347_A703957170B8" localSheetId="141">DESGLOSE #REF!</definedName>
    <definedName name="MmExcelLinker_B10F4F3A_688F_4097_8347_A703957170B8" localSheetId="158">DESGLOSE #REF!</definedName>
    <definedName name="MmExcelLinker_B10F4F3A_688F_4097_8347_A703957170B8" localSheetId="172">DESGLOSE #REF!</definedName>
    <definedName name="MmExcelLinker_B10F4F3A_688F_4097_8347_A703957170B8" localSheetId="71">DESGLOSE #REF!</definedName>
    <definedName name="MmExcelLinker_B10F4F3A_688F_4097_8347_A703957170B8" localSheetId="80">DESGLOSE #REF!</definedName>
    <definedName name="MmExcelLinker_B10F4F3A_688F_4097_8347_A703957170B8" localSheetId="87">DESGLOSE #REF!</definedName>
    <definedName name="MmExcelLinker_B10F4F3A_688F_4097_8347_A703957170B8" localSheetId="94">DESGLOSE #REF!</definedName>
    <definedName name="MmExcelLinker_B10F4F3A_688F_4097_8347_A703957170B8" localSheetId="103">DESGLOSE #REF!</definedName>
    <definedName name="MmExcelLinker_B10F4F3A_688F_4097_8347_A703957170B8" localSheetId="35">DESGLOSE #REF!</definedName>
    <definedName name="MmExcelLinker_B10F4F3A_688F_4097_8347_A703957170B8" localSheetId="47">DESGLOSE #REF!</definedName>
    <definedName name="MmExcelLinker_B10F4F3A_688F_4097_8347_A703957170B8" localSheetId="194">DESGLOSE #REF!</definedName>
    <definedName name="MmExcelLinker_B10F4F3A_688F_4097_8347_A703957170B8" localSheetId="209">DESGLOSE #REF!</definedName>
    <definedName name="MmExcelLinker_B10F4F3A_688F_4097_8347_A703957170B8" localSheetId="224">DESGLOSE #REF!</definedName>
    <definedName name="MmExcelLinker_B10F4F3A_688F_4097_8347_A703957170B8" localSheetId="239">DESGLOSE #REF!</definedName>
    <definedName name="MmExcelLinker_B10F4F3A_688F_4097_8347_A703957170B8" localSheetId="148">DESGLOSE #REF!</definedName>
    <definedName name="MmExcelLinker_B10F4F3A_688F_4097_8347_A703957170B8" localSheetId="165">DESGLOSE #REF!</definedName>
    <definedName name="MmExcelLinker_B10F4F3A_688F_4097_8347_A703957170B8" localSheetId="179">DESGLOSE #REF!</definedName>
    <definedName name="MmExcelLinker_B10F4F3A_688F_4097_8347_A703957170B8" localSheetId="112">DESGLOSE #REF!</definedName>
    <definedName name="MmExcelLinker_B10F4F3A_688F_4097_8347_A703957170B8" localSheetId="121">DESGLOSE #REF!</definedName>
    <definedName name="MmExcelLinker_B10F4F3A_688F_4097_8347_A703957170B8" localSheetId="111">DESGLOSE #REF!</definedName>
    <definedName name="MmExcelLinker_B10F4F3A_688F_4097_8347_A703957170B8" localSheetId="101">DESGLOSE #REF!</definedName>
    <definedName name="MmExcelLinker_B10F4F3A_688F_4097_8347_A703957170B8" localSheetId="93">DESGLOSE #REF!</definedName>
    <definedName name="MmExcelLinker_B10F4F3A_688F_4097_8347_A703957170B8" localSheetId="133">DESGLOSE #REF!</definedName>
    <definedName name="MmExcelLinker_B10F4F3A_688F_4097_8347_A703957170B8" localSheetId="15">DESGLOSE #REF!</definedName>
    <definedName name="MmExcelLinker_B10F4F3A_688F_4097_8347_A703957170B8" localSheetId="18">DESGLOSE #REF!</definedName>
    <definedName name="MmExcelLinker_B10F4F3A_688F_4097_8347_A703957170B8" localSheetId="57">DESGLOSE #REF!</definedName>
    <definedName name="MmExcelLinker_B10F4F3A_688F_4097_8347_A703957170B8" localSheetId="63">DESGLOSE #REF!</definedName>
    <definedName name="MmExcelLinker_B10F4F3A_688F_4097_8347_A703957170B8" localSheetId="77">DESGLOSE #REF!</definedName>
    <definedName name="MmExcelLinker_B10F4F3A_688F_4097_8347_A703957170B8" localSheetId="85">DESGLOSE #REF!</definedName>
    <definedName name="MmExcelLinker_B10F4F3A_688F_4097_8347_A703957170B8" localSheetId="33">DESGLOSE #REF!</definedName>
    <definedName name="MmExcelLinker_B10F4F3A_688F_4097_8347_A703957170B8" localSheetId="39">DESGLOSE #REF!</definedName>
    <definedName name="MmExcelLinker_B10F4F3A_688F_4097_8347_A703957170B8" localSheetId="45">DESGLOSE #REF!</definedName>
    <definedName name="MmExcelLinker_B10F4F3A_688F_4097_8347_A703957170B8" localSheetId="51">DESGLOSE #REF!</definedName>
    <definedName name="MmExcelLinker_B10F4F3A_688F_4097_8347_A703957170B8" localSheetId="69">DESGLOSE #REF!</definedName>
    <definedName name="MmExcelLinker_B10F4F3A_688F_4097_8347_A703957170B8" localSheetId="187">DESGLOSE #REF!</definedName>
    <definedName name="MmExcelLinker_B10F4F3A_688F_4097_8347_A703957170B8" localSheetId="202">DESGLOSE #REF!</definedName>
    <definedName name="MmExcelLinker_B10F4F3A_688F_4097_8347_A703957170B8" localSheetId="217">DESGLOSE #REF!</definedName>
    <definedName name="MmExcelLinker_B10F4F3A_688F_4097_8347_A703957170B8" localSheetId="230">DESGLOSE #REF!</definedName>
    <definedName name="MmExcelLinker_B10F4F3A_688F_4097_8347_A703957170B8" localSheetId="144">DESGLOSE #REF!</definedName>
    <definedName name="MmExcelLinker_B10F4F3A_688F_4097_8347_A703957170B8" localSheetId="161">DESGLOSE #REF!</definedName>
    <definedName name="MmExcelLinker_B10F4F3A_688F_4097_8347_A703957170B8" localSheetId="175">DESGLOSE #REF!</definedName>
    <definedName name="MmExcelLinker_B10F4F3A_688F_4097_8347_A703957170B8" localSheetId="189">DESGLOSE #REF!</definedName>
    <definedName name="MmExcelLinker_B10F4F3A_688F_4097_8347_A703957170B8" localSheetId="203">DESGLOSE #REF!</definedName>
    <definedName name="MmExcelLinker_B10F4F3A_688F_4097_8347_A703957170B8" localSheetId="218">DESGLOSE #REF!</definedName>
    <definedName name="MmExcelLinker_B10F4F3A_688F_4097_8347_A703957170B8" localSheetId="233">DESGLOSE #REF!</definedName>
    <definedName name="MmExcelLinker_B10F4F3A_688F_4097_8347_A703957170B8" localSheetId="154">DESGLOSE #REF!</definedName>
    <definedName name="MmExcelLinker_B10F4F3A_688F_4097_8347_A703957170B8" localSheetId="153">DESGLOSE #REF!</definedName>
    <definedName name="MmExcelLinker_B10F4F3A_688F_4097_8347_A703957170B8" localSheetId="168">DESGLOSE #REF!</definedName>
    <definedName name="MmExcelLinker_B10F4F3A_688F_4097_8347_A703957170B8" localSheetId="56">DESGLOSE #REF!</definedName>
    <definedName name="MmExcelLinker_B10F4F3A_688F_4097_8347_A703957170B8" localSheetId="193">DESGLOSE #REF!</definedName>
    <definedName name="MmExcelLinker_B10F4F3A_688F_4097_8347_A703957170B8" localSheetId="62">DESGLOSE #REF!</definedName>
    <definedName name="MmExcelLinker_B10F4F3A_688F_4097_8347_A703957170B8" localSheetId="208">DESGLOSE #REF!</definedName>
    <definedName name="MmExcelLinker_B10F4F3A_688F_4097_8347_A703957170B8" localSheetId="75">DESGLOSE #REF!</definedName>
    <definedName name="MmExcelLinker_B10F4F3A_688F_4097_8347_A703957170B8" localSheetId="223">DESGLOSE #REF!</definedName>
    <definedName name="MmExcelLinker_B10F4F3A_688F_4097_8347_A703957170B8" localSheetId="84">DESGLOSE #REF!</definedName>
    <definedName name="MmExcelLinker_B10F4F3A_688F_4097_8347_A703957170B8" localSheetId="238">DESGLOSE #REF!</definedName>
    <definedName name="MmExcelLinker_B10F4F3A_688F_4097_8347_A703957170B8" localSheetId="92">DESGLOSE #REF!</definedName>
    <definedName name="MmExcelLinker_B10F4F3A_688F_4097_8347_A703957170B8" localSheetId="100">DESGLOSE #REF!</definedName>
    <definedName name="MmExcelLinker_B10F4F3A_688F_4097_8347_A703957170B8" localSheetId="110">DESGLOSE #REF!</definedName>
    <definedName name="MmExcelLinker_B10F4F3A_688F_4097_8347_A703957170B8" localSheetId="120">DESGLOSE #REF!</definedName>
    <definedName name="MmExcelLinker_B10F4F3A_688F_4097_8347_A703957170B8" localSheetId="135">DESGLOSE #REF!</definedName>
    <definedName name="MmExcelLinker_B10F4F3A_688F_4097_8347_A703957170B8" localSheetId="145">DESGLOSE #REF!</definedName>
    <definedName name="MmExcelLinker_B10F4F3A_688F_4097_8347_A703957170B8" localSheetId="44">DESGLOSE #REF!</definedName>
    <definedName name="MmExcelLinker_B10F4F3A_688F_4097_8347_A703957170B8" localSheetId="164">DESGLOSE #REF!</definedName>
    <definedName name="MmExcelLinker_B10F4F3A_688F_4097_8347_A703957170B8" localSheetId="50">DESGLOSE #REF!</definedName>
    <definedName name="MmExcelLinker_B10F4F3A_688F_4097_8347_A703957170B8" localSheetId="178">DESGLOSE #REF!</definedName>
    <definedName name="MmExcelLinker_B10F4F3A_688F_4097_8347_A703957170B8" localSheetId="68">DESGLOSE #REF!</definedName>
    <definedName name="MmExcelLinker_B10F4F3A_688F_4097_8347_A703957170B8" localSheetId="16">DESGLOSE #REF!</definedName>
    <definedName name="MmExcelLinker_B10F4F3A_688F_4097_8347_A703957170B8" localSheetId="38">DESGLOSE #REF!</definedName>
    <definedName name="MmExcelLinker_B10F4F3A_688F_4097_8347_A703957170B8" localSheetId="22">DESGLOSE #REF!</definedName>
    <definedName name="MmExcelLinker_B10F4F3A_688F_4097_8347_A703957170B8" localSheetId="32">DESGLOSE #REF!</definedName>
    <definedName name="MmExcelLinker_B10F4F3A_688F_4097_8347_A703957170B8" localSheetId="14">DESGLOSE #REF!</definedName>
    <definedName name="MmExcelLinker_B10F4F3A_688F_4097_8347_A703957170B8" localSheetId="180">DESGLOSE #REF!</definedName>
    <definedName name="MmExcelLinker_B10F4F3A_688F_4097_8347_A703957170B8" localSheetId="195">DESGLOSE #REF!</definedName>
    <definedName name="MmExcelLinker_B10F4F3A_688F_4097_8347_A703957170B8" localSheetId="210">DESGLOSE #REF!</definedName>
    <definedName name="MmExcelLinker_B10F4F3A_688F_4097_8347_A703957170B8" localSheetId="225">DESGLOSE #REF!</definedName>
    <definedName name="MmExcelLinker_B10F4F3A_688F_4097_8347_A703957170B8" localSheetId="137">DESGLOSE #REF!</definedName>
    <definedName name="MmExcelLinker_B10F4F3A_688F_4097_8347_A703957170B8" localSheetId="152">DESGLOSE #REF!</definedName>
    <definedName name="MmExcelLinker_B10F4F3A_688F_4097_8347_A703957170B8" localSheetId="167">DESGLOSE #REF!</definedName>
    <definedName name="MmExcelLinker_B10F4F3A_688F_4097_8347_A703957170B8" localSheetId="200">DESGLOSE #REF!</definedName>
    <definedName name="MmExcelLinker_B10F4F3A_688F_4097_8347_A703957170B8" localSheetId="215">DESGLOSE #REF!</definedName>
    <definedName name="MmExcelLinker_B10F4F3A_688F_4097_8347_A703957170B8" localSheetId="229">DESGLOSE #REF!</definedName>
    <definedName name="MmExcelLinker_B10F4F3A_688F_4097_8347_A703957170B8" localSheetId="136">DESGLOSE #REF!</definedName>
    <definedName name="MmExcelLinker_B10F4F3A_688F_4097_8347_A703957170B8" localSheetId="151">DESGLOSE #REF!</definedName>
    <definedName name="MmExcelLinker_B10F4F3A_688F_4097_8347_A703957170B8" localSheetId="166">DESGLOSE #REF!</definedName>
    <definedName name="MmExcelLinker_B10F4F3A_688F_4097_8347_A703957170B8" localSheetId="122">DESGLOSE #REF!</definedName>
    <definedName name="MmExcelLinker_B10F4F3A_688F_4097_8347_A703957170B8" localSheetId="191">DESGLOSE #REF!</definedName>
    <definedName name="MmExcelLinker_B10F4F3A_688F_4097_8347_A703957170B8" localSheetId="206">DESGLOSE #REF!</definedName>
    <definedName name="MmExcelLinker_B10F4F3A_688F_4097_8347_A703957170B8" localSheetId="221">DESGLOSE #REF!</definedName>
    <definedName name="MmExcelLinker_B10F4F3A_688F_4097_8347_A703957170B8" localSheetId="236">DESGLOSE #REF!</definedName>
    <definedName name="MmExcelLinker_B10F4F3A_688F_4097_8347_A703957170B8" localSheetId="76">DESGLOSE #REF!</definedName>
    <definedName name="MmExcelLinker_B10F4F3A_688F_4097_8347_A703957170B8" localSheetId="117">DESGLOSE #REF!</definedName>
    <definedName name="MmExcelLinker_B10F4F3A_688F_4097_8347_A703957170B8">DESGLOSE #REF!</definedName>
    <definedName name="MmExcelLinker_D2E69CB0_417E_47FC_9054_C3A7FE3E45A0" localSheetId="181">CONDOMINIO #REF!</definedName>
    <definedName name="MmExcelLinker_D2E69CB0_417E_47FC_9054_C3A7FE3E45A0" localSheetId="196">CONDOMINIO #REF!</definedName>
    <definedName name="MmExcelLinker_D2E69CB0_417E_47FC_9054_C3A7FE3E45A0" localSheetId="211">CONDOMINIO #REF!</definedName>
    <definedName name="MmExcelLinker_D2E69CB0_417E_47FC_9054_C3A7FE3E45A0" localSheetId="226">CONDOMINIO #REF!</definedName>
    <definedName name="MmExcelLinker_D2E69CB0_417E_47FC_9054_C3A7FE3E45A0" localSheetId="95">CONDOMINIO #REF!</definedName>
    <definedName name="MmExcelLinker_D2E69CB0_417E_47FC_9054_C3A7FE3E45A0" localSheetId="102">CONDOMINIO #REF!</definedName>
    <definedName name="MmExcelLinker_D2E69CB0_417E_47FC_9054_C3A7FE3E45A0" localSheetId="115">CONDOMINIO #REF!</definedName>
    <definedName name="MmExcelLinker_D2E69CB0_417E_47FC_9054_C3A7FE3E45A0" localSheetId="125">CONDOMINIO #REF!</definedName>
    <definedName name="MmExcelLinker_D2E69CB0_417E_47FC_9054_C3A7FE3E45A0" localSheetId="138">CONDOMINIO #REF!</definedName>
    <definedName name="MmExcelLinker_D2E69CB0_417E_47FC_9054_C3A7FE3E45A0" localSheetId="155">CONDOMINIO #REF!</definedName>
    <definedName name="MmExcelLinker_D2E69CB0_417E_47FC_9054_C3A7FE3E45A0" localSheetId="169">CONDOMINIO #REF!</definedName>
    <definedName name="MmExcelLinker_D2E69CB0_417E_47FC_9054_C3A7FE3E45A0" localSheetId="190">CONDOMINIO #REF!</definedName>
    <definedName name="MmExcelLinker_D2E69CB0_417E_47FC_9054_C3A7FE3E45A0" localSheetId="205">CONDOMINIO #REF!</definedName>
    <definedName name="MmExcelLinker_D2E69CB0_417E_47FC_9054_C3A7FE3E45A0" localSheetId="220">CONDOMINIO #REF!</definedName>
    <definedName name="MmExcelLinker_D2E69CB0_417E_47FC_9054_C3A7FE3E45A0" localSheetId="232">CONDOMINIO #REF!</definedName>
    <definedName name="MmExcelLinker_D2E69CB0_417E_47FC_9054_C3A7FE3E45A0" localSheetId="163">CONDOMINIO #REF!</definedName>
    <definedName name="MmExcelLinker_D2E69CB0_417E_47FC_9054_C3A7FE3E45A0" localSheetId="177">CONDOMINIO #REF!</definedName>
    <definedName name="MmExcelLinker_D2E69CB0_417E_47FC_9054_C3A7FE3E45A0" localSheetId="240">CONDOMINIO #REF!</definedName>
    <definedName name="MmExcelLinker_D2E69CB0_417E_47FC_9054_C3A7FE3E45A0" localSheetId="192">CONDOMINIO #REF!</definedName>
    <definedName name="MmExcelLinker_D2E69CB0_417E_47FC_9054_C3A7FE3E45A0" localSheetId="207">CONDOMINIO #REF!</definedName>
    <definedName name="MmExcelLinker_D2E69CB0_417E_47FC_9054_C3A7FE3E45A0" localSheetId="222">CONDOMINIO #REF!</definedName>
    <definedName name="MmExcelLinker_D2E69CB0_417E_47FC_9054_C3A7FE3E45A0" localSheetId="235">CONDOMINIO #REF!</definedName>
    <definedName name="MmExcelLinker_D2E69CB0_417E_47FC_9054_C3A7FE3E45A0" localSheetId="142">CONDOMINIO #REF!</definedName>
    <definedName name="MmExcelLinker_D2E69CB0_417E_47FC_9054_C3A7FE3E45A0" localSheetId="159">CONDOMINIO #REF!</definedName>
    <definedName name="MmExcelLinker_D2E69CB0_417E_47FC_9054_C3A7FE3E45A0" localSheetId="173">CONDOMINIO #REF!</definedName>
    <definedName name="MmExcelLinker_D2E69CB0_417E_47FC_9054_C3A7FE3E45A0" localSheetId="237">CONDOMINIO #REF!</definedName>
    <definedName name="MmExcelLinker_D2E69CB0_417E_47FC_9054_C3A7FE3E45A0" localSheetId="174">CONDOMINIO #REF!</definedName>
    <definedName name="MmExcelLinker_D2E69CB0_417E_47FC_9054_C3A7FE3E45A0" localSheetId="186">CONDOMINIO #REF!</definedName>
    <definedName name="MmExcelLinker_D2E69CB0_417E_47FC_9054_C3A7FE3E45A0" localSheetId="201">CONDOMINIO #REF!</definedName>
    <definedName name="MmExcelLinker_D2E69CB0_417E_47FC_9054_C3A7FE3E45A0" localSheetId="216">CONDOMINIO #REF!</definedName>
    <definedName name="MmExcelLinker_D2E69CB0_417E_47FC_9054_C3A7FE3E45A0" localSheetId="160">CONDOMINIO #REF!</definedName>
    <definedName name="MmExcelLinker_D2E69CB0_417E_47FC_9054_C3A7FE3E45A0" localSheetId="143">CONDOMINIO #REF!</definedName>
    <definedName name="MmExcelLinker_D2E69CB0_417E_47FC_9054_C3A7FE3E45A0" localSheetId="184">CONDOMINIO #REF!</definedName>
    <definedName name="MmExcelLinker_D2E69CB0_417E_47FC_9054_C3A7FE3E45A0" localSheetId="199">CONDOMINIO #REF!</definedName>
    <definedName name="MmExcelLinker_D2E69CB0_417E_47FC_9054_C3A7FE3E45A0" localSheetId="214">CONDOMINIO #REF!</definedName>
    <definedName name="MmExcelLinker_D2E69CB0_417E_47FC_9054_C3A7FE3E45A0" localSheetId="228">CONDOMINIO #REF!</definedName>
    <definedName name="MmExcelLinker_D2E69CB0_417E_47FC_9054_C3A7FE3E45A0" localSheetId="141">CONDOMINIO #REF!</definedName>
    <definedName name="MmExcelLinker_D2E69CB0_417E_47FC_9054_C3A7FE3E45A0" localSheetId="158">CONDOMINIO #REF!</definedName>
    <definedName name="MmExcelLinker_D2E69CB0_417E_47FC_9054_C3A7FE3E45A0" localSheetId="172">CONDOMINIO #REF!</definedName>
    <definedName name="MmExcelLinker_D2E69CB0_417E_47FC_9054_C3A7FE3E45A0" localSheetId="94">CONDOMINIO #REF!</definedName>
    <definedName name="MmExcelLinker_D2E69CB0_417E_47FC_9054_C3A7FE3E45A0" localSheetId="103">CONDOMINIO #REF!</definedName>
    <definedName name="MmExcelLinker_D2E69CB0_417E_47FC_9054_C3A7FE3E45A0" localSheetId="194">CONDOMINIO #REF!</definedName>
    <definedName name="MmExcelLinker_D2E69CB0_417E_47FC_9054_C3A7FE3E45A0" localSheetId="209">CONDOMINIO #REF!</definedName>
    <definedName name="MmExcelLinker_D2E69CB0_417E_47FC_9054_C3A7FE3E45A0" localSheetId="224">CONDOMINIO #REF!</definedName>
    <definedName name="MmExcelLinker_D2E69CB0_417E_47FC_9054_C3A7FE3E45A0" localSheetId="239">CONDOMINIO #REF!</definedName>
    <definedName name="MmExcelLinker_D2E69CB0_417E_47FC_9054_C3A7FE3E45A0" localSheetId="148">CONDOMINIO #REF!</definedName>
    <definedName name="MmExcelLinker_D2E69CB0_417E_47FC_9054_C3A7FE3E45A0" localSheetId="165">CONDOMINIO #REF!</definedName>
    <definedName name="MmExcelLinker_D2E69CB0_417E_47FC_9054_C3A7FE3E45A0" localSheetId="179">CONDOMINIO #REF!</definedName>
    <definedName name="MmExcelLinker_D2E69CB0_417E_47FC_9054_C3A7FE3E45A0" localSheetId="112">CONDOMINIO #REF!</definedName>
    <definedName name="MmExcelLinker_D2E69CB0_417E_47FC_9054_C3A7FE3E45A0" localSheetId="121">CONDOMINIO #REF!</definedName>
    <definedName name="MmExcelLinker_D2E69CB0_417E_47FC_9054_C3A7FE3E45A0" localSheetId="111">CONDOMINIO #REF!</definedName>
    <definedName name="MmExcelLinker_D2E69CB0_417E_47FC_9054_C3A7FE3E45A0" localSheetId="101">CONDOMINIO #REF!</definedName>
    <definedName name="MmExcelLinker_D2E69CB0_417E_47FC_9054_C3A7FE3E45A0" localSheetId="93">CONDOMINIO #REF!</definedName>
    <definedName name="MmExcelLinker_D2E69CB0_417E_47FC_9054_C3A7FE3E45A0" localSheetId="133">CONDOMINIO #REF!</definedName>
    <definedName name="MmExcelLinker_D2E69CB0_417E_47FC_9054_C3A7FE3E45A0" localSheetId="187">CONDOMINIO #REF!</definedName>
    <definedName name="MmExcelLinker_D2E69CB0_417E_47FC_9054_C3A7FE3E45A0" localSheetId="202">CONDOMINIO #REF!</definedName>
    <definedName name="MmExcelLinker_D2E69CB0_417E_47FC_9054_C3A7FE3E45A0" localSheetId="217">CONDOMINIO #REF!</definedName>
    <definedName name="MmExcelLinker_D2E69CB0_417E_47FC_9054_C3A7FE3E45A0" localSheetId="230">CONDOMINIO #REF!</definedName>
    <definedName name="MmExcelLinker_D2E69CB0_417E_47FC_9054_C3A7FE3E45A0" localSheetId="144">CONDOMINIO #REF!</definedName>
    <definedName name="MmExcelLinker_D2E69CB0_417E_47FC_9054_C3A7FE3E45A0" localSheetId="161">CONDOMINIO #REF!</definedName>
    <definedName name="MmExcelLinker_D2E69CB0_417E_47FC_9054_C3A7FE3E45A0" localSheetId="175">CONDOMINIO #REF!</definedName>
    <definedName name="MmExcelLinker_D2E69CB0_417E_47FC_9054_C3A7FE3E45A0" localSheetId="189">CONDOMINIO #REF!</definedName>
    <definedName name="MmExcelLinker_D2E69CB0_417E_47FC_9054_C3A7FE3E45A0" localSheetId="203">CONDOMINIO #REF!</definedName>
    <definedName name="MmExcelLinker_D2E69CB0_417E_47FC_9054_C3A7FE3E45A0" localSheetId="218">CONDOMINIO #REF!</definedName>
    <definedName name="MmExcelLinker_D2E69CB0_417E_47FC_9054_C3A7FE3E45A0" localSheetId="233">CONDOMINIO #REF!</definedName>
    <definedName name="MmExcelLinker_D2E69CB0_417E_47FC_9054_C3A7FE3E45A0" localSheetId="154">CONDOMINIO #REF!</definedName>
    <definedName name="MmExcelLinker_D2E69CB0_417E_47FC_9054_C3A7FE3E45A0" localSheetId="153">CONDOMINIO #REF!</definedName>
    <definedName name="MmExcelLinker_D2E69CB0_417E_47FC_9054_C3A7FE3E45A0" localSheetId="168">CONDOMINIO #REF!</definedName>
    <definedName name="MmExcelLinker_D2E69CB0_417E_47FC_9054_C3A7FE3E45A0" localSheetId="193">CONDOMINIO #REF!</definedName>
    <definedName name="MmExcelLinker_D2E69CB0_417E_47FC_9054_C3A7FE3E45A0" localSheetId="208">CONDOMINIO #REF!</definedName>
    <definedName name="MmExcelLinker_D2E69CB0_417E_47FC_9054_C3A7FE3E45A0" localSheetId="223">CONDOMINIO #REF!</definedName>
    <definedName name="MmExcelLinker_D2E69CB0_417E_47FC_9054_C3A7FE3E45A0" localSheetId="238">CONDOMINIO #REF!</definedName>
    <definedName name="MmExcelLinker_D2E69CB0_417E_47FC_9054_C3A7FE3E45A0" localSheetId="92">CONDOMINIO #REF!</definedName>
    <definedName name="MmExcelLinker_D2E69CB0_417E_47FC_9054_C3A7FE3E45A0" localSheetId="100">CONDOMINIO #REF!</definedName>
    <definedName name="MmExcelLinker_D2E69CB0_417E_47FC_9054_C3A7FE3E45A0" localSheetId="110">CONDOMINIO #REF!</definedName>
    <definedName name="MmExcelLinker_D2E69CB0_417E_47FC_9054_C3A7FE3E45A0" localSheetId="120">CONDOMINIO #REF!</definedName>
    <definedName name="MmExcelLinker_D2E69CB0_417E_47FC_9054_C3A7FE3E45A0" localSheetId="135">CONDOMINIO #REF!</definedName>
    <definedName name="MmExcelLinker_D2E69CB0_417E_47FC_9054_C3A7FE3E45A0" localSheetId="145">CONDOMINIO #REF!</definedName>
    <definedName name="MmExcelLinker_D2E69CB0_417E_47FC_9054_C3A7FE3E45A0" localSheetId="164">CONDOMINIO #REF!</definedName>
    <definedName name="MmExcelLinker_D2E69CB0_417E_47FC_9054_C3A7FE3E45A0" localSheetId="178">CONDOMINIO #REF!</definedName>
    <definedName name="MmExcelLinker_D2E69CB0_417E_47FC_9054_C3A7FE3E45A0" localSheetId="180">CONDOMINIO #REF!</definedName>
    <definedName name="MmExcelLinker_D2E69CB0_417E_47FC_9054_C3A7FE3E45A0" localSheetId="195">CONDOMINIO #REF!</definedName>
    <definedName name="MmExcelLinker_D2E69CB0_417E_47FC_9054_C3A7FE3E45A0" localSheetId="210">CONDOMINIO #REF!</definedName>
    <definedName name="MmExcelLinker_D2E69CB0_417E_47FC_9054_C3A7FE3E45A0" localSheetId="225">CONDOMINIO #REF!</definedName>
    <definedName name="MmExcelLinker_D2E69CB0_417E_47FC_9054_C3A7FE3E45A0" localSheetId="137">CONDOMINIO #REF!</definedName>
    <definedName name="MmExcelLinker_D2E69CB0_417E_47FC_9054_C3A7FE3E45A0" localSheetId="152">CONDOMINIO #REF!</definedName>
    <definedName name="MmExcelLinker_D2E69CB0_417E_47FC_9054_C3A7FE3E45A0" localSheetId="167">CONDOMINIO #REF!</definedName>
    <definedName name="MmExcelLinker_D2E69CB0_417E_47FC_9054_C3A7FE3E45A0" localSheetId="200">CONDOMINIO #REF!</definedName>
    <definedName name="MmExcelLinker_D2E69CB0_417E_47FC_9054_C3A7FE3E45A0" localSheetId="215">CONDOMINIO #REF!</definedName>
    <definedName name="MmExcelLinker_D2E69CB0_417E_47FC_9054_C3A7FE3E45A0" localSheetId="229">CONDOMINIO #REF!</definedName>
    <definedName name="MmExcelLinker_D2E69CB0_417E_47FC_9054_C3A7FE3E45A0" localSheetId="136">CONDOMINIO #REF!</definedName>
    <definedName name="MmExcelLinker_D2E69CB0_417E_47FC_9054_C3A7FE3E45A0" localSheetId="151">CONDOMINIO #REF!</definedName>
    <definedName name="MmExcelLinker_D2E69CB0_417E_47FC_9054_C3A7FE3E45A0" localSheetId="166">CONDOMINIO #REF!</definedName>
    <definedName name="MmExcelLinker_D2E69CB0_417E_47FC_9054_C3A7FE3E45A0" localSheetId="122">CONDOMINIO #REF!</definedName>
    <definedName name="MmExcelLinker_D2E69CB0_417E_47FC_9054_C3A7FE3E45A0" localSheetId="191">CONDOMINIO #REF!</definedName>
    <definedName name="MmExcelLinker_D2E69CB0_417E_47FC_9054_C3A7FE3E45A0" localSheetId="206">CONDOMINIO #REF!</definedName>
    <definedName name="MmExcelLinker_D2E69CB0_417E_47FC_9054_C3A7FE3E45A0" localSheetId="221">CONDOMINIO #REF!</definedName>
    <definedName name="MmExcelLinker_D2E69CB0_417E_47FC_9054_C3A7FE3E45A0" localSheetId="236">CONDOMINIO #REF!</definedName>
    <definedName name="MmExcelLinker_D2E69CB0_417E_47FC_9054_C3A7FE3E45A0" localSheetId="117">CONDOMINIO #REF!</definedName>
    <definedName name="MmExcelLinker_D2E69CB0_417E_47FC_9054_C3A7FE3E45A0">CONDOMINIO #REF!</definedName>
    <definedName name="nn" localSheetId="132">#REF!</definedName>
    <definedName name="nn" localSheetId="108">#REF!</definedName>
    <definedName name="nn" localSheetId="113">#REF!</definedName>
    <definedName name="nn" localSheetId="99">#REF!</definedName>
    <definedName name="nn" localSheetId="129">#REF!</definedName>
    <definedName name="nn" localSheetId="187">#REF!</definedName>
    <definedName name="nn" localSheetId="202">#REF!</definedName>
    <definedName name="nn" localSheetId="217">#REF!</definedName>
    <definedName name="nn" localSheetId="230">#REF!</definedName>
    <definedName name="nn" localSheetId="144">#REF!</definedName>
    <definedName name="nn" localSheetId="161">#REF!</definedName>
    <definedName name="nn" localSheetId="175">#REF!</definedName>
    <definedName name="nn">#REF!</definedName>
    <definedName name="NO" localSheetId="194">#REF!</definedName>
    <definedName name="NO" localSheetId="209">#REF!</definedName>
    <definedName name="NO" localSheetId="224">#REF!</definedName>
    <definedName name="NO" localSheetId="239">#REF!</definedName>
    <definedName name="NO" localSheetId="148">#REF!</definedName>
    <definedName name="NO" localSheetId="165">#REF!</definedName>
    <definedName name="NO" localSheetId="179">#REF!</definedName>
    <definedName name="NO" localSheetId="121">#REF!</definedName>
    <definedName name="NO" localSheetId="111">#REF!</definedName>
    <definedName name="NO" localSheetId="101">#REF!</definedName>
    <definedName name="NO" localSheetId="93">#REF!</definedName>
    <definedName name="NO" localSheetId="133">#REF!</definedName>
    <definedName name="NO" localSheetId="15">#REF!</definedName>
    <definedName name="NO" localSheetId="18">#REF!</definedName>
    <definedName name="NO" localSheetId="57">#REF!</definedName>
    <definedName name="NO" localSheetId="63">#REF!</definedName>
    <definedName name="NO" localSheetId="77">#REF!</definedName>
    <definedName name="NO" localSheetId="85">#REF!</definedName>
    <definedName name="NO" localSheetId="33">#REF!</definedName>
    <definedName name="NO" localSheetId="39">#REF!</definedName>
    <definedName name="NO" localSheetId="45">#REF!</definedName>
    <definedName name="NO" localSheetId="51">#REF!</definedName>
    <definedName name="NO" localSheetId="69">#REF!</definedName>
    <definedName name="NO" localSheetId="122">#REF!</definedName>
    <definedName name="NO">#REF!</definedName>
    <definedName name="OBRA" localSheetId="132">#REF!</definedName>
    <definedName name="OBRA" localSheetId="108">#REF!</definedName>
    <definedName name="OBRA" localSheetId="113">#REF!</definedName>
    <definedName name="OBRA" localSheetId="99">#REF!</definedName>
    <definedName name="OBRA" localSheetId="129">#REF!</definedName>
    <definedName name="OBRA" localSheetId="187">#REF!</definedName>
    <definedName name="OBRA" localSheetId="202">#REF!</definedName>
    <definedName name="OBRA" localSheetId="217">#REF!</definedName>
    <definedName name="OBRA" localSheetId="230">#REF!</definedName>
    <definedName name="OBRA" localSheetId="144">#REF!</definedName>
    <definedName name="OBRA" localSheetId="161">#REF!</definedName>
    <definedName name="OBRA" localSheetId="175">#REF!</definedName>
    <definedName name="OBRA">#REF!</definedName>
    <definedName name="PARTIDABASE" localSheetId="132">#REF!</definedName>
    <definedName name="PARTIDABASE" localSheetId="108">#REF!</definedName>
    <definedName name="PARTIDABASE" localSheetId="113">#REF!</definedName>
    <definedName name="PARTIDABASE" localSheetId="99">#REF!</definedName>
    <definedName name="PARTIDABASE" localSheetId="129">#REF!</definedName>
    <definedName name="PARTIDABASE" localSheetId="187">#REF!</definedName>
    <definedName name="PARTIDABASE" localSheetId="202">#REF!</definedName>
    <definedName name="PARTIDABASE" localSheetId="217">#REF!</definedName>
    <definedName name="PARTIDABASE" localSheetId="230">#REF!</definedName>
    <definedName name="PARTIDABASE" localSheetId="144">#REF!</definedName>
    <definedName name="PARTIDABASE" localSheetId="161">#REF!</definedName>
    <definedName name="PARTIDABASE" localSheetId="175">#REF!</definedName>
    <definedName name="PARTIDABASE">#REF!</definedName>
    <definedName name="pensiones" localSheetId="132">#REF!</definedName>
    <definedName name="pensiones" localSheetId="108">#REF!</definedName>
    <definedName name="pensiones" localSheetId="113">#REF!</definedName>
    <definedName name="pensiones" localSheetId="99">#REF!</definedName>
    <definedName name="pensiones" localSheetId="194">#REF!</definedName>
    <definedName name="pensiones" localSheetId="209">#REF!</definedName>
    <definedName name="pensiones" localSheetId="224">#REF!</definedName>
    <definedName name="pensiones" localSheetId="239">#REF!</definedName>
    <definedName name="pensiones" localSheetId="148">#REF!</definedName>
    <definedName name="pensiones" localSheetId="165">#REF!</definedName>
    <definedName name="pensiones" localSheetId="179">#REF!</definedName>
    <definedName name="pensiones" localSheetId="121">#REF!</definedName>
    <definedName name="pensiones" localSheetId="111">#REF!</definedName>
    <definedName name="pensiones" localSheetId="101">#REF!</definedName>
    <definedName name="pensiones" localSheetId="93">#REF!</definedName>
    <definedName name="pensiones" localSheetId="133">#REF!</definedName>
    <definedName name="pensiones" localSheetId="15">#REF!</definedName>
    <definedName name="pensiones" localSheetId="18">#REF!</definedName>
    <definedName name="pensiones" localSheetId="57">#REF!</definedName>
    <definedName name="pensiones" localSheetId="63">#REF!</definedName>
    <definedName name="pensiones" localSheetId="77">#REF!</definedName>
    <definedName name="pensiones" localSheetId="85">#REF!</definedName>
    <definedName name="pensiones" localSheetId="33">#REF!</definedName>
    <definedName name="pensiones" localSheetId="39">#REF!</definedName>
    <definedName name="pensiones" localSheetId="45">#REF!</definedName>
    <definedName name="pensiones" localSheetId="51">#REF!</definedName>
    <definedName name="pensiones" localSheetId="69">#REF!</definedName>
    <definedName name="pensiones" localSheetId="129">#REF!</definedName>
    <definedName name="pensiones" localSheetId="187">#REF!</definedName>
    <definedName name="pensiones" localSheetId="202">#REF!</definedName>
    <definedName name="pensiones" localSheetId="217">#REF!</definedName>
    <definedName name="pensiones" localSheetId="230">#REF!</definedName>
    <definedName name="pensiones" localSheetId="144">#REF!</definedName>
    <definedName name="pensiones" localSheetId="161">#REF!</definedName>
    <definedName name="pensiones" localSheetId="175">#REF!</definedName>
    <definedName name="pensiones" localSheetId="122">#REF!</definedName>
    <definedName name="pensiones">#REF!</definedName>
    <definedName name="preaviso" localSheetId="132">#REF!</definedName>
    <definedName name="preaviso" localSheetId="108">#REF!</definedName>
    <definedName name="preaviso" localSheetId="113">#REF!</definedName>
    <definedName name="preaviso" localSheetId="99">#REF!</definedName>
    <definedName name="preaviso" localSheetId="194">#REF!</definedName>
    <definedName name="preaviso" localSheetId="209">#REF!</definedName>
    <definedName name="preaviso" localSheetId="224">#REF!</definedName>
    <definedName name="preaviso" localSheetId="239">#REF!</definedName>
    <definedName name="preaviso" localSheetId="148">#REF!</definedName>
    <definedName name="preaviso" localSheetId="165">#REF!</definedName>
    <definedName name="preaviso" localSheetId="179">#REF!</definedName>
    <definedName name="preaviso" localSheetId="121">#REF!</definedName>
    <definedName name="preaviso" localSheetId="111">#REF!</definedName>
    <definedName name="preaviso" localSheetId="101">#REF!</definedName>
    <definedName name="preaviso" localSheetId="93">#REF!</definedName>
    <definedName name="preaviso" localSheetId="133">#REF!</definedName>
    <definedName name="preaviso" localSheetId="15">#REF!</definedName>
    <definedName name="preaviso" localSheetId="18">#REF!</definedName>
    <definedName name="preaviso" localSheetId="57">#REF!</definedName>
    <definedName name="preaviso" localSheetId="63">#REF!</definedName>
    <definedName name="preaviso" localSheetId="77">#REF!</definedName>
    <definedName name="preaviso" localSheetId="85">#REF!</definedName>
    <definedName name="preaviso" localSheetId="33">#REF!</definedName>
    <definedName name="preaviso" localSheetId="39">#REF!</definedName>
    <definedName name="preaviso" localSheetId="45">#REF!</definedName>
    <definedName name="preaviso" localSheetId="51">#REF!</definedName>
    <definedName name="preaviso" localSheetId="69">#REF!</definedName>
    <definedName name="preaviso" localSheetId="129">#REF!</definedName>
    <definedName name="preaviso" localSheetId="187">#REF!</definedName>
    <definedName name="preaviso" localSheetId="202">#REF!</definedName>
    <definedName name="preaviso" localSheetId="217">#REF!</definedName>
    <definedName name="preaviso" localSheetId="230">#REF!</definedName>
    <definedName name="preaviso" localSheetId="144">#REF!</definedName>
    <definedName name="preaviso" localSheetId="161">#REF!</definedName>
    <definedName name="preaviso" localSheetId="175">#REF!</definedName>
    <definedName name="preaviso" localSheetId="122">#REF!</definedName>
    <definedName name="preaviso">#REF!</definedName>
    <definedName name="PROPIETARIO" localSheetId="132">#REF!</definedName>
    <definedName name="PROPIETARIO" localSheetId="108">#REF!</definedName>
    <definedName name="PROPIETARIO" localSheetId="113">#REF!</definedName>
    <definedName name="PROPIETARIO" localSheetId="99">#REF!</definedName>
    <definedName name="PROPIETARIO" localSheetId="129">#REF!</definedName>
    <definedName name="PROPIETARIO" localSheetId="187">#REF!</definedName>
    <definedName name="PROPIETARIO" localSheetId="202">#REF!</definedName>
    <definedName name="PROPIETARIO" localSheetId="217">#REF!</definedName>
    <definedName name="PROPIETARIO" localSheetId="230">#REF!</definedName>
    <definedName name="PROPIETARIO" localSheetId="144">#REF!</definedName>
    <definedName name="PROPIETARIO" localSheetId="161">#REF!</definedName>
    <definedName name="PROPIETARIO" localSheetId="175">#REF!</definedName>
    <definedName name="PROPIETARIO">#REF!</definedName>
    <definedName name="regalia" localSheetId="132">#REF!</definedName>
    <definedName name="regalia" localSheetId="108">#REF!</definedName>
    <definedName name="regalia" localSheetId="113">#REF!</definedName>
    <definedName name="regalia" localSheetId="99">#REF!</definedName>
    <definedName name="regalia" localSheetId="194">#REF!</definedName>
    <definedName name="regalia" localSheetId="209">#REF!</definedName>
    <definedName name="regalia" localSheetId="224">#REF!</definedName>
    <definedName name="regalia" localSheetId="239">#REF!</definedName>
    <definedName name="regalia" localSheetId="148">#REF!</definedName>
    <definedName name="regalia" localSheetId="165">#REF!</definedName>
    <definedName name="regalia" localSheetId="179">#REF!</definedName>
    <definedName name="regalia" localSheetId="121">#REF!</definedName>
    <definedName name="regalia" localSheetId="111">#REF!</definedName>
    <definedName name="regalia" localSheetId="101">#REF!</definedName>
    <definedName name="regalia" localSheetId="93">#REF!</definedName>
    <definedName name="regalia" localSheetId="133">#REF!</definedName>
    <definedName name="regalia" localSheetId="15">#REF!</definedName>
    <definedName name="regalia" localSheetId="18">#REF!</definedName>
    <definedName name="regalia" localSheetId="57">#REF!</definedName>
    <definedName name="regalia" localSheetId="63">#REF!</definedName>
    <definedName name="regalia" localSheetId="77">#REF!</definedName>
    <definedName name="regalia" localSheetId="85">#REF!</definedName>
    <definedName name="regalia" localSheetId="33">#REF!</definedName>
    <definedName name="regalia" localSheetId="39">#REF!</definedName>
    <definedName name="regalia" localSheetId="45">#REF!</definedName>
    <definedName name="regalia" localSheetId="51">#REF!</definedName>
    <definedName name="regalia" localSheetId="69">#REF!</definedName>
    <definedName name="regalia" localSheetId="129">#REF!</definedName>
    <definedName name="regalia" localSheetId="187">#REF!</definedName>
    <definedName name="regalia" localSheetId="202">#REF!</definedName>
    <definedName name="regalia" localSheetId="217">#REF!</definedName>
    <definedName name="regalia" localSheetId="230">#REF!</definedName>
    <definedName name="regalia" localSheetId="144">#REF!</definedName>
    <definedName name="regalia" localSheetId="161">#REF!</definedName>
    <definedName name="regalia" localSheetId="175">#REF!</definedName>
    <definedName name="regalia" localSheetId="122">#REF!</definedName>
    <definedName name="regalia">#REF!</definedName>
    <definedName name="RIF" localSheetId="132">#REF!</definedName>
    <definedName name="RIF" localSheetId="108">#REF!</definedName>
    <definedName name="RIF" localSheetId="113">#REF!</definedName>
    <definedName name="RIF" localSheetId="99">#REF!</definedName>
    <definedName name="RIF" localSheetId="129">#REF!</definedName>
    <definedName name="RIF" localSheetId="187">#REF!</definedName>
    <definedName name="RIF" localSheetId="202">#REF!</definedName>
    <definedName name="RIF" localSheetId="217">#REF!</definedName>
    <definedName name="RIF" localSheetId="230">#REF!</definedName>
    <definedName name="RIF" localSheetId="144">#REF!</definedName>
    <definedName name="RIF" localSheetId="161">#REF!</definedName>
    <definedName name="RIF" localSheetId="175">#REF!</definedName>
    <definedName name="RIF">#REF!</definedName>
    <definedName name="t.c." localSheetId="132">#REF!</definedName>
    <definedName name="t.c." localSheetId="108">#REF!</definedName>
    <definedName name="t.c." localSheetId="113">#REF!</definedName>
    <definedName name="t.c." localSheetId="99">#REF!</definedName>
    <definedName name="t.c." localSheetId="194">#REF!</definedName>
    <definedName name="t.c." localSheetId="209">#REF!</definedName>
    <definedName name="t.c." localSheetId="224">#REF!</definedName>
    <definedName name="t.c." localSheetId="239">#REF!</definedName>
    <definedName name="t.c." localSheetId="148">#REF!</definedName>
    <definedName name="t.c." localSheetId="165">#REF!</definedName>
    <definedName name="t.c." localSheetId="179">#REF!</definedName>
    <definedName name="t.c." localSheetId="121">#REF!</definedName>
    <definedName name="t.c." localSheetId="111">#REF!</definedName>
    <definedName name="t.c." localSheetId="101">#REF!</definedName>
    <definedName name="t.c." localSheetId="93">#REF!</definedName>
    <definedName name="t.c." localSheetId="133">#REF!</definedName>
    <definedName name="t.c." localSheetId="15">#REF!</definedName>
    <definedName name="t.c." localSheetId="18">#REF!</definedName>
    <definedName name="t.c." localSheetId="57">#REF!</definedName>
    <definedName name="t.c." localSheetId="63">#REF!</definedName>
    <definedName name="t.c." localSheetId="77">#REF!</definedName>
    <definedName name="t.c." localSheetId="85">#REF!</definedName>
    <definedName name="t.c." localSheetId="33">#REF!</definedName>
    <definedName name="t.c." localSheetId="39">#REF!</definedName>
    <definedName name="t.c." localSheetId="45">#REF!</definedName>
    <definedName name="t.c." localSheetId="51">#REF!</definedName>
    <definedName name="t.c." localSheetId="69">#REF!</definedName>
    <definedName name="t.c." localSheetId="129">#REF!</definedName>
    <definedName name="t.c." localSheetId="187">#REF!</definedName>
    <definedName name="t.c." localSheetId="202">#REF!</definedName>
    <definedName name="t.c." localSheetId="217">#REF!</definedName>
    <definedName name="t.c." localSheetId="230">#REF!</definedName>
    <definedName name="t.c." localSheetId="144">#REF!</definedName>
    <definedName name="t.c." localSheetId="161">#REF!</definedName>
    <definedName name="t.c." localSheetId="175">#REF!</definedName>
    <definedName name="t.c." localSheetId="122">#REF!</definedName>
    <definedName name="t.c.">#REF!</definedName>
    <definedName name="tasa" localSheetId="132">#REF!</definedName>
    <definedName name="tasa" localSheetId="108">#REF!</definedName>
    <definedName name="tasa" localSheetId="113">#REF!</definedName>
    <definedName name="tasa" localSheetId="99">#REF!</definedName>
    <definedName name="tasa" localSheetId="194">#REF!</definedName>
    <definedName name="tasa" localSheetId="209">#REF!</definedName>
    <definedName name="tasa" localSheetId="224">#REF!</definedName>
    <definedName name="tasa" localSheetId="239">#REF!</definedName>
    <definedName name="tasa" localSheetId="148">#REF!</definedName>
    <definedName name="tasa" localSheetId="165">#REF!</definedName>
    <definedName name="tasa" localSheetId="179">#REF!</definedName>
    <definedName name="tasa" localSheetId="121">#REF!</definedName>
    <definedName name="tasa" localSheetId="111">#REF!</definedName>
    <definedName name="tasa" localSheetId="101">#REF!</definedName>
    <definedName name="tasa" localSheetId="93">#REF!</definedName>
    <definedName name="tasa" localSheetId="133">#REF!</definedName>
    <definedName name="tasa" localSheetId="15">#REF!</definedName>
    <definedName name="tasa" localSheetId="18">#REF!</definedName>
    <definedName name="tasa" localSheetId="57">#REF!</definedName>
    <definedName name="tasa" localSheetId="63">#REF!</definedName>
    <definedName name="tasa" localSheetId="77">#REF!</definedName>
    <definedName name="tasa" localSheetId="85">#REF!</definedName>
    <definedName name="tasa" localSheetId="33">#REF!</definedName>
    <definedName name="tasa" localSheetId="39">#REF!</definedName>
    <definedName name="tasa" localSheetId="45">#REF!</definedName>
    <definedName name="tasa" localSheetId="51">#REF!</definedName>
    <definedName name="tasa" localSheetId="69">#REF!</definedName>
    <definedName name="tasa" localSheetId="129">#REF!</definedName>
    <definedName name="tasa" localSheetId="187">#REF!</definedName>
    <definedName name="tasa" localSheetId="202">#REF!</definedName>
    <definedName name="tasa" localSheetId="217">#REF!</definedName>
    <definedName name="tasa" localSheetId="230">#REF!</definedName>
    <definedName name="tasa" localSheetId="144">#REF!</definedName>
    <definedName name="tasa" localSheetId="161">#REF!</definedName>
    <definedName name="tasa" localSheetId="175">#REF!</definedName>
    <definedName name="tasa" localSheetId="122">#REF!</definedName>
    <definedName name="tasa">#REF!</definedName>
    <definedName name="TITULO" localSheetId="132">#REF!</definedName>
    <definedName name="TITULO" localSheetId="108">#REF!</definedName>
    <definedName name="TITULO" localSheetId="113">#REF!</definedName>
    <definedName name="TITULO" localSheetId="99">#REF!</definedName>
    <definedName name="TITULO" localSheetId="129">#REF!</definedName>
    <definedName name="TITULO" localSheetId="187">#REF!</definedName>
    <definedName name="TITULO" localSheetId="202">#REF!</definedName>
    <definedName name="TITULO" localSheetId="217">#REF!</definedName>
    <definedName name="TITULO" localSheetId="230">#REF!</definedName>
    <definedName name="TITULO" localSheetId="144">#REF!</definedName>
    <definedName name="TITULO" localSheetId="161">#REF!</definedName>
    <definedName name="TITULO" localSheetId="175">#REF!</definedName>
    <definedName name="TITULO">#REF!</definedName>
    <definedName name="TITULOPROPIETARIO" localSheetId="132">#REF!</definedName>
    <definedName name="TITULOPROPIETARIO" localSheetId="108">#REF!</definedName>
    <definedName name="TITULOPROPIETARIO" localSheetId="113">#REF!</definedName>
    <definedName name="TITULOPROPIETARIO" localSheetId="99">#REF!</definedName>
    <definedName name="TITULOPROPIETARIO" localSheetId="129">#REF!</definedName>
    <definedName name="TITULOPROPIETARIO" localSheetId="187">#REF!</definedName>
    <definedName name="TITULOPROPIETARIO" localSheetId="202">#REF!</definedName>
    <definedName name="TITULOPROPIETARIO" localSheetId="217">#REF!</definedName>
    <definedName name="TITULOPROPIETARIO" localSheetId="230">#REF!</definedName>
    <definedName name="TITULOPROPIETARIO" localSheetId="144">#REF!</definedName>
    <definedName name="TITULOPROPIETARIO" localSheetId="161">#REF!</definedName>
    <definedName name="TITULOPROPIETARIO" localSheetId="175">#REF!</definedName>
    <definedName name="TITULOPROPIETARIO">#REF!</definedName>
    <definedName name="totaladministracion" localSheetId="132">#REF!</definedName>
    <definedName name="totaladministracion" localSheetId="108">#REF!</definedName>
    <definedName name="totaladministracion" localSheetId="113">#REF!</definedName>
    <definedName name="totaladministracion" localSheetId="99">#REF!</definedName>
    <definedName name="totaladministracion" localSheetId="194">#REF!</definedName>
    <definedName name="totaladministracion" localSheetId="209">#REF!</definedName>
    <definedName name="totaladministracion" localSheetId="224">#REF!</definedName>
    <definedName name="totaladministracion" localSheetId="239">#REF!</definedName>
    <definedName name="totaladministracion" localSheetId="148">#REF!</definedName>
    <definedName name="totaladministracion" localSheetId="165">#REF!</definedName>
    <definedName name="totaladministracion" localSheetId="179">#REF!</definedName>
    <definedName name="totaladministracion" localSheetId="121">#REF!</definedName>
    <definedName name="totaladministracion" localSheetId="111">#REF!</definedName>
    <definedName name="totaladministracion" localSheetId="101">#REF!</definedName>
    <definedName name="totaladministracion" localSheetId="93">#REF!</definedName>
    <definedName name="totaladministracion" localSheetId="133">#REF!</definedName>
    <definedName name="totaladministracion" localSheetId="15">#REF!</definedName>
    <definedName name="totaladministracion" localSheetId="18">#REF!</definedName>
    <definedName name="totaladministracion" localSheetId="57">#REF!</definedName>
    <definedName name="totaladministracion" localSheetId="63">#REF!</definedName>
    <definedName name="totaladministracion" localSheetId="77">#REF!</definedName>
    <definedName name="totaladministracion" localSheetId="85">#REF!</definedName>
    <definedName name="totaladministracion" localSheetId="33">#REF!</definedName>
    <definedName name="totaladministracion" localSheetId="39">#REF!</definedName>
    <definedName name="totaladministracion" localSheetId="45">#REF!</definedName>
    <definedName name="totaladministracion" localSheetId="51">#REF!</definedName>
    <definedName name="totaladministracion" localSheetId="69">#REF!</definedName>
    <definedName name="totaladministracion" localSheetId="129">#REF!</definedName>
    <definedName name="totaladministracion" localSheetId="187">#REF!</definedName>
    <definedName name="totaladministracion" localSheetId="202">#REF!</definedName>
    <definedName name="totaladministracion" localSheetId="217">#REF!</definedName>
    <definedName name="totaladministracion" localSheetId="230">#REF!</definedName>
    <definedName name="totaladministracion" localSheetId="144">#REF!</definedName>
    <definedName name="totaladministracion" localSheetId="161">#REF!</definedName>
    <definedName name="totaladministracion" localSheetId="175">#REF!</definedName>
    <definedName name="totaladministracion" localSheetId="122">#REF!</definedName>
    <definedName name="totaladministracion">#REF!</definedName>
    <definedName name="totalgastosmedicos" localSheetId="132">#REF!</definedName>
    <definedName name="totalgastosmedicos" localSheetId="108">#REF!</definedName>
    <definedName name="totalgastosmedicos" localSheetId="113">#REF!</definedName>
    <definedName name="totalgastosmedicos" localSheetId="99">#REF!</definedName>
    <definedName name="totalgastosmedicos" localSheetId="194">#REF!</definedName>
    <definedName name="totalgastosmedicos" localSheetId="209">#REF!</definedName>
    <definedName name="totalgastosmedicos" localSheetId="224">#REF!</definedName>
    <definedName name="totalgastosmedicos" localSheetId="239">#REF!</definedName>
    <definedName name="totalgastosmedicos" localSheetId="148">#REF!</definedName>
    <definedName name="totalgastosmedicos" localSheetId="165">#REF!</definedName>
    <definedName name="totalgastosmedicos" localSheetId="179">#REF!</definedName>
    <definedName name="totalgastosmedicos" localSheetId="121">#REF!</definedName>
    <definedName name="totalgastosmedicos" localSheetId="111">#REF!</definedName>
    <definedName name="totalgastosmedicos" localSheetId="101">#REF!</definedName>
    <definedName name="totalgastosmedicos" localSheetId="93">#REF!</definedName>
    <definedName name="totalgastosmedicos" localSheetId="133">#REF!</definedName>
    <definedName name="totalgastosmedicos" localSheetId="15">#REF!</definedName>
    <definedName name="totalgastosmedicos" localSheetId="18">#REF!</definedName>
    <definedName name="totalgastosmedicos" localSheetId="57">#REF!</definedName>
    <definedName name="totalgastosmedicos" localSheetId="63">#REF!</definedName>
    <definedName name="totalgastosmedicos" localSheetId="77">#REF!</definedName>
    <definedName name="totalgastosmedicos" localSheetId="85">#REF!</definedName>
    <definedName name="totalgastosmedicos" localSheetId="33">#REF!</definedName>
    <definedName name="totalgastosmedicos" localSheetId="39">#REF!</definedName>
    <definedName name="totalgastosmedicos" localSheetId="45">#REF!</definedName>
    <definedName name="totalgastosmedicos" localSheetId="51">#REF!</definedName>
    <definedName name="totalgastosmedicos" localSheetId="69">#REF!</definedName>
    <definedName name="totalgastosmedicos" localSheetId="129">#REF!</definedName>
    <definedName name="totalgastosmedicos" localSheetId="187">#REF!</definedName>
    <definedName name="totalgastosmedicos" localSheetId="202">#REF!</definedName>
    <definedName name="totalgastosmedicos" localSheetId="217">#REF!</definedName>
    <definedName name="totalgastosmedicos" localSheetId="230">#REF!</definedName>
    <definedName name="totalgastosmedicos" localSheetId="144">#REF!</definedName>
    <definedName name="totalgastosmedicos" localSheetId="161">#REF!</definedName>
    <definedName name="totalgastosmedicos" localSheetId="175">#REF!</definedName>
    <definedName name="totalgastosmedicos" localSheetId="122">#REF!</definedName>
    <definedName name="totalgastosmedicos">#REF!</definedName>
    <definedName name="totalgeneral">#REF!</definedName>
    <definedName name="totalhhdirecta" localSheetId="132">#REF!</definedName>
    <definedName name="totalhhdirecta" localSheetId="108">#REF!</definedName>
    <definedName name="totalhhdirecta" localSheetId="113">#REF!</definedName>
    <definedName name="totalhhdirecta" localSheetId="99">#REF!</definedName>
    <definedName name="totalhhdirecta" localSheetId="129">#REF!</definedName>
    <definedName name="totalhhdirecta" localSheetId="187">#REF!</definedName>
    <definedName name="totalhhdirecta" localSheetId="202">#REF!</definedName>
    <definedName name="totalhhdirecta" localSheetId="217">#REF!</definedName>
    <definedName name="totalhhdirecta" localSheetId="230">#REF!</definedName>
    <definedName name="totalhhdirecta" localSheetId="144">#REF!</definedName>
    <definedName name="totalhhdirecta" localSheetId="161">#REF!</definedName>
    <definedName name="totalhhdirecta" localSheetId="175">#REF!</definedName>
    <definedName name="totalhhdirecta">#REF!</definedName>
    <definedName name="totalhhindirecta" localSheetId="132">#REF!</definedName>
    <definedName name="totalhhindirecta" localSheetId="108">#REF!</definedName>
    <definedName name="totalhhindirecta" localSheetId="113">#REF!</definedName>
    <definedName name="totalhhindirecta" localSheetId="99">#REF!</definedName>
    <definedName name="totalhhindirecta" localSheetId="129">#REF!</definedName>
    <definedName name="totalhhindirecta" localSheetId="187">#REF!</definedName>
    <definedName name="totalhhindirecta" localSheetId="202">#REF!</definedName>
    <definedName name="totalhhindirecta" localSheetId="217">#REF!</definedName>
    <definedName name="totalhhindirecta" localSheetId="230">#REF!</definedName>
    <definedName name="totalhhindirecta" localSheetId="144">#REF!</definedName>
    <definedName name="totalhhindirecta" localSheetId="161">#REF!</definedName>
    <definedName name="totalhhindirecta" localSheetId="175">#REF!</definedName>
    <definedName name="totalhhindirecta">#REF!</definedName>
    <definedName name="totalnominadirecta" localSheetId="132">#REF!</definedName>
    <definedName name="totalnominadirecta" localSheetId="108">#REF!</definedName>
    <definedName name="totalnominadirecta" localSheetId="113">#REF!</definedName>
    <definedName name="totalnominadirecta" localSheetId="99">#REF!</definedName>
    <definedName name="totalnominadirecta" localSheetId="129">#REF!</definedName>
    <definedName name="totalnominadirecta" localSheetId="187">#REF!</definedName>
    <definedName name="totalnominadirecta" localSheetId="202">#REF!</definedName>
    <definedName name="totalnominadirecta" localSheetId="217">#REF!</definedName>
    <definedName name="totalnominadirecta" localSheetId="230">#REF!</definedName>
    <definedName name="totalnominadirecta" localSheetId="144">#REF!</definedName>
    <definedName name="totalnominadirecta" localSheetId="161">#REF!</definedName>
    <definedName name="totalnominadirecta" localSheetId="175">#REF!</definedName>
    <definedName name="totalnominadirecta">#REF!</definedName>
    <definedName name="totalnominaindirecta" localSheetId="132">#REF!</definedName>
    <definedName name="totalnominaindirecta" localSheetId="108">#REF!</definedName>
    <definedName name="totalnominaindirecta" localSheetId="113">#REF!</definedName>
    <definedName name="totalnominaindirecta" localSheetId="99">#REF!</definedName>
    <definedName name="totalnominaindirecta" localSheetId="129">#REF!</definedName>
    <definedName name="totalnominaindirecta" localSheetId="187">#REF!</definedName>
    <definedName name="totalnominaindirecta" localSheetId="202">#REF!</definedName>
    <definedName name="totalnominaindirecta" localSheetId="217">#REF!</definedName>
    <definedName name="totalnominaindirecta" localSheetId="230">#REF!</definedName>
    <definedName name="totalnominaindirecta" localSheetId="144">#REF!</definedName>
    <definedName name="totalnominaindirecta" localSheetId="161">#REF!</definedName>
    <definedName name="totalnominaindirecta" localSheetId="175">#REF!</definedName>
    <definedName name="totalnominaindirecta">#REF!</definedName>
    <definedName name="totalseguridad" localSheetId="132">#REF!</definedName>
    <definedName name="totalseguridad" localSheetId="108">#REF!</definedName>
    <definedName name="totalseguridad" localSheetId="113">#REF!</definedName>
    <definedName name="totalseguridad" localSheetId="99">#REF!</definedName>
    <definedName name="totalseguridad" localSheetId="129">#REF!</definedName>
    <definedName name="totalseguridad" localSheetId="187">#REF!</definedName>
    <definedName name="totalseguridad" localSheetId="202">#REF!</definedName>
    <definedName name="totalseguridad" localSheetId="217">#REF!</definedName>
    <definedName name="totalseguridad" localSheetId="230">#REF!</definedName>
    <definedName name="totalseguridad" localSheetId="144">#REF!</definedName>
    <definedName name="totalseguridad" localSheetId="161">#REF!</definedName>
    <definedName name="totalseguridad" localSheetId="175">#REF!</definedName>
    <definedName name="totalseguridad">#REF!</definedName>
    <definedName name="totalutilidad" localSheetId="132">#REF!</definedName>
    <definedName name="totalutilidad" localSheetId="108">#REF!</definedName>
    <definedName name="totalutilidad" localSheetId="113">#REF!</definedName>
    <definedName name="totalutilidad" localSheetId="99">#REF!</definedName>
    <definedName name="totalutilidad" localSheetId="129">#REF!</definedName>
    <definedName name="totalutilidad" localSheetId="187">#REF!</definedName>
    <definedName name="totalutilidad" localSheetId="202">#REF!</definedName>
    <definedName name="totalutilidad" localSheetId="217">#REF!</definedName>
    <definedName name="totalutilidad" localSheetId="230">#REF!</definedName>
    <definedName name="totalutilidad" localSheetId="144">#REF!</definedName>
    <definedName name="totalutilidad" localSheetId="161">#REF!</definedName>
    <definedName name="totalutilidad" localSheetId="175">#REF!</definedName>
    <definedName name="totalutilidad">#REF!</definedName>
    <definedName name="transporte" localSheetId="132">#REF!</definedName>
    <definedName name="transporte" localSheetId="108">#REF!</definedName>
    <definedName name="transporte" localSheetId="113">#REF!</definedName>
    <definedName name="transporte" localSheetId="99">#REF!</definedName>
    <definedName name="transporte" localSheetId="194">#REF!</definedName>
    <definedName name="transporte" localSheetId="209">#REF!</definedName>
    <definedName name="transporte" localSheetId="224">#REF!</definedName>
    <definedName name="transporte" localSheetId="239">#REF!</definedName>
    <definedName name="transporte" localSheetId="148">#REF!</definedName>
    <definedName name="transporte" localSheetId="165">#REF!</definedName>
    <definedName name="transporte" localSheetId="179">#REF!</definedName>
    <definedName name="transporte" localSheetId="121">#REF!</definedName>
    <definedName name="transporte" localSheetId="111">#REF!</definedName>
    <definedName name="transporte" localSheetId="101">#REF!</definedName>
    <definedName name="transporte" localSheetId="93">#REF!</definedName>
    <definedName name="transporte" localSheetId="133">#REF!</definedName>
    <definedName name="transporte" localSheetId="15">#REF!</definedName>
    <definedName name="transporte" localSheetId="18">#REF!</definedName>
    <definedName name="transporte" localSheetId="57">#REF!</definedName>
    <definedName name="transporte" localSheetId="63">#REF!</definedName>
    <definedName name="transporte" localSheetId="77">#REF!</definedName>
    <definedName name="transporte" localSheetId="85">#REF!</definedName>
    <definedName name="transporte" localSheetId="33">#REF!</definedName>
    <definedName name="transporte" localSheetId="39">#REF!</definedName>
    <definedName name="transporte" localSheetId="45">#REF!</definedName>
    <definedName name="transporte" localSheetId="51">#REF!</definedName>
    <definedName name="transporte" localSheetId="69">#REF!</definedName>
    <definedName name="transporte" localSheetId="129">#REF!</definedName>
    <definedName name="transporte" localSheetId="187">#REF!</definedName>
    <definedName name="transporte" localSheetId="202">#REF!</definedName>
    <definedName name="transporte" localSheetId="217">#REF!</definedName>
    <definedName name="transporte" localSheetId="230">#REF!</definedName>
    <definedName name="transporte" localSheetId="144">#REF!</definedName>
    <definedName name="transporte" localSheetId="161">#REF!</definedName>
    <definedName name="transporte" localSheetId="175">#REF!</definedName>
    <definedName name="transporte" localSheetId="122">#REF!</definedName>
    <definedName name="transporte">#REF!</definedName>
    <definedName name="Unit_Type_D" localSheetId="132">#REF!</definedName>
    <definedName name="Unit_Type_D" localSheetId="108">#REF!</definedName>
    <definedName name="Unit_Type_D" localSheetId="113">#REF!</definedName>
    <definedName name="Unit_Type_D" localSheetId="99">#REF!</definedName>
    <definedName name="Unit_Type_D" localSheetId="129">#REF!</definedName>
    <definedName name="Unit_Type_D" localSheetId="187">#REF!</definedName>
    <definedName name="Unit_Type_D" localSheetId="202">#REF!</definedName>
    <definedName name="Unit_Type_D" localSheetId="217">#REF!</definedName>
    <definedName name="Unit_Type_D" localSheetId="230">#REF!</definedName>
    <definedName name="Unit_Type_D" localSheetId="144">#REF!</definedName>
    <definedName name="Unit_Type_D" localSheetId="161">#REF!</definedName>
    <definedName name="Unit_Type_D" localSheetId="175">#REF!</definedName>
    <definedName name="Unit_Type_D">#REF!</definedName>
    <definedName name="X" localSheetId="132">#REF!</definedName>
    <definedName name="X" localSheetId="108">#REF!</definedName>
    <definedName name="X" localSheetId="113">#REF!</definedName>
    <definedName name="X" localSheetId="99">#REF!</definedName>
    <definedName name="X" localSheetId="194">#REF!</definedName>
    <definedName name="X" localSheetId="209">#REF!</definedName>
    <definedName name="X" localSheetId="224">#REF!</definedName>
    <definedName name="X" localSheetId="239">#REF!</definedName>
    <definedName name="X" localSheetId="148">#REF!</definedName>
    <definedName name="X" localSheetId="165">#REF!</definedName>
    <definedName name="X" localSheetId="179">#REF!</definedName>
    <definedName name="X" localSheetId="121">#REF!</definedName>
    <definedName name="X" localSheetId="111">#REF!</definedName>
    <definedName name="X" localSheetId="101">#REF!</definedName>
    <definedName name="X" localSheetId="93">#REF!</definedName>
    <definedName name="X" localSheetId="133">#REF!</definedName>
    <definedName name="X" localSheetId="15">#REF!</definedName>
    <definedName name="X" localSheetId="18">#REF!</definedName>
    <definedName name="X" localSheetId="57">#REF!</definedName>
    <definedName name="X" localSheetId="63">#REF!</definedName>
    <definedName name="X" localSheetId="77">#REF!</definedName>
    <definedName name="X" localSheetId="85">#REF!</definedName>
    <definedName name="X" localSheetId="33">#REF!</definedName>
    <definedName name="X" localSheetId="39">#REF!</definedName>
    <definedName name="X" localSheetId="45">#REF!</definedName>
    <definedName name="X" localSheetId="51">#REF!</definedName>
    <definedName name="X" localSheetId="69">#REF!</definedName>
    <definedName name="X" localSheetId="129">#REF!</definedName>
    <definedName name="X" localSheetId="187">#REF!</definedName>
    <definedName name="X" localSheetId="202">#REF!</definedName>
    <definedName name="X" localSheetId="217">#REF!</definedName>
    <definedName name="X" localSheetId="230">#REF!</definedName>
    <definedName name="X" localSheetId="144">#REF!</definedName>
    <definedName name="X" localSheetId="161">#REF!</definedName>
    <definedName name="X" localSheetId="175">#REF!</definedName>
    <definedName name="X" localSheetId="122">#REF!</definedName>
    <definedName name="X">#REF!</definedName>
    <definedName name="yucatan" localSheetId="132">#REF!</definedName>
    <definedName name="yucatan" localSheetId="108">#REF!</definedName>
    <definedName name="yucatan" localSheetId="113">#REF!</definedName>
    <definedName name="yucatan" localSheetId="99">#REF!</definedName>
    <definedName name="yucatan" localSheetId="194">#REF!</definedName>
    <definedName name="yucatan" localSheetId="209">#REF!</definedName>
    <definedName name="yucatan" localSheetId="224">#REF!</definedName>
    <definedName name="yucatan" localSheetId="239">#REF!</definedName>
    <definedName name="yucatan" localSheetId="148">#REF!</definedName>
    <definedName name="yucatan" localSheetId="165">#REF!</definedName>
    <definedName name="yucatan" localSheetId="179">#REF!</definedName>
    <definedName name="yucatan" localSheetId="121">#REF!</definedName>
    <definedName name="yucatan" localSheetId="111">#REF!</definedName>
    <definedName name="yucatan" localSheetId="101">#REF!</definedName>
    <definedName name="yucatan" localSheetId="93">#REF!</definedName>
    <definedName name="yucatan" localSheetId="133">#REF!</definedName>
    <definedName name="yucatan" localSheetId="15">#REF!</definedName>
    <definedName name="yucatan" localSheetId="18">#REF!</definedName>
    <definedName name="yucatan" localSheetId="57">#REF!</definedName>
    <definedName name="yucatan" localSheetId="63">#REF!</definedName>
    <definedName name="yucatan" localSheetId="77">#REF!</definedName>
    <definedName name="yucatan" localSheetId="85">#REF!</definedName>
    <definedName name="yucatan" localSheetId="33">#REF!</definedName>
    <definedName name="yucatan" localSheetId="39">#REF!</definedName>
    <definedName name="yucatan" localSheetId="45">#REF!</definedName>
    <definedName name="yucatan" localSheetId="51">#REF!</definedName>
    <definedName name="yucatan" localSheetId="69">#REF!</definedName>
    <definedName name="yucatan" localSheetId="129">#REF!</definedName>
    <definedName name="yucatan" localSheetId="187">#REF!</definedName>
    <definedName name="yucatan" localSheetId="202">#REF!</definedName>
    <definedName name="yucatan" localSheetId="217">#REF!</definedName>
    <definedName name="yucatan" localSheetId="230">#REF!</definedName>
    <definedName name="yucatan" localSheetId="144">#REF!</definedName>
    <definedName name="yucatan" localSheetId="161">#REF!</definedName>
    <definedName name="yucatan" localSheetId="175">#REF!</definedName>
    <definedName name="yucatan" localSheetId="122">#REF!</definedName>
    <definedName name="yucatan">#REF!</definedName>
    <definedName name="yucatan1" localSheetId="132">#REF!</definedName>
    <definedName name="yucatan1" localSheetId="108">#REF!</definedName>
    <definedName name="yucatan1" localSheetId="113">#REF!</definedName>
    <definedName name="yucatan1" localSheetId="99">#REF!</definedName>
    <definedName name="yucatan1" localSheetId="194">#REF!</definedName>
    <definedName name="yucatan1" localSheetId="209">#REF!</definedName>
    <definedName name="yucatan1" localSheetId="224">#REF!</definedName>
    <definedName name="yucatan1" localSheetId="239">#REF!</definedName>
    <definedName name="yucatan1" localSheetId="148">#REF!</definedName>
    <definedName name="yucatan1" localSheetId="165">#REF!</definedName>
    <definedName name="yucatan1" localSheetId="179">#REF!</definedName>
    <definedName name="yucatan1" localSheetId="121">#REF!</definedName>
    <definedName name="yucatan1" localSheetId="111">#REF!</definedName>
    <definedName name="yucatan1" localSheetId="101">#REF!</definedName>
    <definedName name="yucatan1" localSheetId="93">#REF!</definedName>
    <definedName name="yucatan1" localSheetId="133">#REF!</definedName>
    <definedName name="yucatan1" localSheetId="15">#REF!</definedName>
    <definedName name="yucatan1" localSheetId="18">#REF!</definedName>
    <definedName name="yucatan1" localSheetId="57">#REF!</definedName>
    <definedName name="yucatan1" localSheetId="63">#REF!</definedName>
    <definedName name="yucatan1" localSheetId="77">#REF!</definedName>
    <definedName name="yucatan1" localSheetId="85">#REF!</definedName>
    <definedName name="yucatan1" localSheetId="33">#REF!</definedName>
    <definedName name="yucatan1" localSheetId="39">#REF!</definedName>
    <definedName name="yucatan1" localSheetId="45">#REF!</definedName>
    <definedName name="yucatan1" localSheetId="51">#REF!</definedName>
    <definedName name="yucatan1" localSheetId="69">#REF!</definedName>
    <definedName name="yucatan1" localSheetId="129">#REF!</definedName>
    <definedName name="yucatan1" localSheetId="187">#REF!</definedName>
    <definedName name="yucatan1" localSheetId="202">#REF!</definedName>
    <definedName name="yucatan1" localSheetId="217">#REF!</definedName>
    <definedName name="yucatan1" localSheetId="230">#REF!</definedName>
    <definedName name="yucatan1" localSheetId="144">#REF!</definedName>
    <definedName name="yucatan1" localSheetId="161">#REF!</definedName>
    <definedName name="yucatan1" localSheetId="175">#REF!</definedName>
    <definedName name="yucatan1" localSheetId="122">#REF!</definedName>
    <definedName name="yucatan1">#REF!</definedName>
  </definedNames>
  <calcPr calcId="191028"/>
  <pivotCaches>
    <pivotCache cacheId="0" r:id="rId242"/>
    <pivotCache cacheId="1" r:id="rId243"/>
    <pivotCache cacheId="2" r:id="rId24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9" i="295" l="1"/>
  <c r="C30" i="295"/>
  <c r="C31" i="295"/>
  <c r="G20" i="292"/>
  <c r="H129" i="293"/>
  <c r="I129" i="293"/>
  <c r="J129" i="293"/>
  <c r="AD35" i="289"/>
  <c r="AD26" i="289"/>
  <c r="AD27" i="289"/>
  <c r="AD25" i="289"/>
  <c r="Y37" i="289"/>
  <c r="Y31" i="289"/>
  <c r="AD34" i="289"/>
  <c r="AD33" i="289"/>
  <c r="Y27" i="289"/>
  <c r="D30" i="289"/>
  <c r="E30" i="289" s="1"/>
  <c r="D29" i="289"/>
  <c r="E29" i="289" s="1"/>
  <c r="AA29" i="289" s="1"/>
  <c r="C28" i="289"/>
  <c r="Y25" i="289"/>
  <c r="AC30" i="289" l="1"/>
  <c r="AD30" i="289" s="1"/>
  <c r="T17" i="287"/>
  <c r="T15" i="287"/>
  <c r="W8" i="287"/>
  <c r="O32" i="293"/>
  <c r="O33" i="293"/>
  <c r="O34" i="293"/>
  <c r="O35" i="293"/>
  <c r="O36" i="293"/>
  <c r="O37" i="293"/>
  <c r="O38" i="293"/>
  <c r="O31" i="293"/>
  <c r="E32" i="293"/>
  <c r="E33" i="293"/>
  <c r="E34" i="293"/>
  <c r="E35" i="293"/>
  <c r="E36" i="293"/>
  <c r="E37" i="293"/>
  <c r="E38" i="293"/>
  <c r="E39" i="293"/>
  <c r="E40" i="293"/>
  <c r="E41" i="293"/>
  <c r="E42" i="293"/>
  <c r="E43" i="293"/>
  <c r="E44" i="293"/>
  <c r="E45" i="293"/>
  <c r="E46" i="293"/>
  <c r="E47" i="293"/>
  <c r="E48" i="293"/>
  <c r="E49" i="293"/>
  <c r="E50" i="293"/>
  <c r="E51" i="293"/>
  <c r="E52" i="293"/>
  <c r="E53" i="293"/>
  <c r="E54" i="293"/>
  <c r="E55" i="293"/>
  <c r="E56" i="293"/>
  <c r="E57" i="293"/>
  <c r="E58" i="293"/>
  <c r="E59" i="293"/>
  <c r="E60" i="293"/>
  <c r="E61" i="293"/>
  <c r="E62" i="293"/>
  <c r="E63" i="293"/>
  <c r="E64" i="293"/>
  <c r="E65" i="293"/>
  <c r="E66" i="293"/>
  <c r="E67" i="293"/>
  <c r="E68" i="293"/>
  <c r="E69" i="293"/>
  <c r="E70" i="293"/>
  <c r="E71" i="293"/>
  <c r="E72" i="293"/>
  <c r="E73" i="293"/>
  <c r="E74" i="293"/>
  <c r="E75" i="293"/>
  <c r="E76" i="293"/>
  <c r="E77" i="293"/>
  <c r="E78" i="293"/>
  <c r="E79" i="293"/>
  <c r="E80" i="293"/>
  <c r="E81" i="293"/>
  <c r="E82" i="293"/>
  <c r="E83" i="293"/>
  <c r="E84" i="293"/>
  <c r="E85" i="293"/>
  <c r="E86" i="293"/>
  <c r="E87" i="293"/>
  <c r="E88" i="293"/>
  <c r="E89" i="293"/>
  <c r="E90" i="293"/>
  <c r="E91" i="293"/>
  <c r="E92" i="293"/>
  <c r="E93" i="293"/>
  <c r="E94" i="293"/>
  <c r="E95" i="293"/>
  <c r="E96" i="293"/>
  <c r="E97" i="293"/>
  <c r="E98" i="293"/>
  <c r="E99" i="293"/>
  <c r="E100" i="293"/>
  <c r="E101" i="293"/>
  <c r="E102" i="293"/>
  <c r="E31" i="293"/>
  <c r="T10" i="287"/>
  <c r="AC13" i="289"/>
  <c r="AC21" i="289"/>
  <c r="AC23" i="289" s="1"/>
  <c r="AC22" i="289"/>
  <c r="AC25" i="289"/>
  <c r="G137" i="293"/>
  <c r="H137" i="293" s="1"/>
  <c r="I137" i="293" s="1"/>
  <c r="J137" i="293" s="1"/>
  <c r="F165" i="293"/>
  <c r="F25" i="295"/>
  <c r="C65" i="295" l="1"/>
  <c r="D68" i="295"/>
  <c r="E68" i="295" s="1"/>
  <c r="F68" i="295" s="1"/>
  <c r="G105" i="293"/>
  <c r="E36" i="295" s="1"/>
  <c r="J105" i="293"/>
  <c r="H36" i="295" s="1"/>
  <c r="C66" i="295"/>
  <c r="C67" i="295" s="1"/>
  <c r="D13" i="291"/>
  <c r="D12" i="291"/>
  <c r="D10" i="291"/>
  <c r="D17" i="295"/>
  <c r="E17" i="295"/>
  <c r="F17" i="295"/>
  <c r="G17" i="295"/>
  <c r="C17" i="295"/>
  <c r="D18" i="295" s="1"/>
  <c r="E18" i="295" s="1"/>
  <c r="E177" i="293"/>
  <c r="E155" i="293"/>
  <c r="E156" i="293"/>
  <c r="E157" i="293"/>
  <c r="E158" i="293"/>
  <c r="E159" i="293"/>
  <c r="E160" i="293"/>
  <c r="E161" i="293"/>
  <c r="E162" i="293"/>
  <c r="E163" i="293"/>
  <c r="E164" i="293"/>
  <c r="E165" i="293"/>
  <c r="E166" i="293"/>
  <c r="E167" i="293"/>
  <c r="E168" i="293"/>
  <c r="E169" i="293"/>
  <c r="E171" i="293"/>
  <c r="E34" i="295"/>
  <c r="F34" i="295"/>
  <c r="G34" i="295"/>
  <c r="H34" i="295"/>
  <c r="F37" i="295"/>
  <c r="H37" i="295"/>
  <c r="F41" i="295"/>
  <c r="G41" i="295"/>
  <c r="H41" i="295"/>
  <c r="H43" i="295"/>
  <c r="E44" i="295"/>
  <c r="D42" i="295"/>
  <c r="D60" i="295" s="1"/>
  <c r="J125" i="293"/>
  <c r="H42" i="295" s="1"/>
  <c r="H60" i="295" s="1"/>
  <c r="I125" i="293"/>
  <c r="G42" i="295" s="1"/>
  <c r="G60" i="295" s="1"/>
  <c r="H125" i="293"/>
  <c r="F42" i="295" s="1"/>
  <c r="F60" i="295" s="1"/>
  <c r="G125" i="293"/>
  <c r="E42" i="295" s="1"/>
  <c r="E60" i="295" s="1"/>
  <c r="F125" i="293"/>
  <c r="D125" i="293"/>
  <c r="E124" i="293"/>
  <c r="E125" i="293" s="1"/>
  <c r="C45" i="295"/>
  <c r="C44" i="295"/>
  <c r="C43" i="295"/>
  <c r="C46" i="295"/>
  <c r="C42" i="295"/>
  <c r="C60" i="295" s="1"/>
  <c r="C41" i="295"/>
  <c r="C40" i="295"/>
  <c r="C39" i="295"/>
  <c r="C38" i="295"/>
  <c r="C37" i="295"/>
  <c r="C36" i="295"/>
  <c r="C35" i="295"/>
  <c r="C34" i="295"/>
  <c r="C33" i="295"/>
  <c r="C32" i="295"/>
  <c r="I32" i="295" s="1"/>
  <c r="N20" i="294"/>
  <c r="O20" i="294" s="1"/>
  <c r="N19" i="294"/>
  <c r="N7" i="294"/>
  <c r="M19" i="294"/>
  <c r="M16" i="294"/>
  <c r="M14" i="294"/>
  <c r="M10" i="294"/>
  <c r="M9" i="294"/>
  <c r="M7" i="294"/>
  <c r="O10" i="294"/>
  <c r="M6" i="294"/>
  <c r="L19" i="294"/>
  <c r="L23" i="294" s="1"/>
  <c r="L16" i="294"/>
  <c r="I22" i="294"/>
  <c r="I21" i="294"/>
  <c r="I20" i="294"/>
  <c r="I19" i="294"/>
  <c r="I23" i="294" s="1"/>
  <c r="I16" i="294"/>
  <c r="I15" i="294"/>
  <c r="I14" i="294"/>
  <c r="Q14" i="294" s="1"/>
  <c r="I13" i="294"/>
  <c r="R13" i="294" s="1"/>
  <c r="I11" i="294"/>
  <c r="I10" i="294"/>
  <c r="I9" i="294"/>
  <c r="I8" i="294"/>
  <c r="R8" i="294" s="1"/>
  <c r="I7" i="294"/>
  <c r="I6" i="294"/>
  <c r="I5" i="294"/>
  <c r="J22" i="294"/>
  <c r="J21" i="294"/>
  <c r="J20" i="294"/>
  <c r="J19" i="294"/>
  <c r="J16" i="294"/>
  <c r="J15" i="294"/>
  <c r="J14" i="294"/>
  <c r="J13" i="294"/>
  <c r="J18" i="294" s="1"/>
  <c r="J11" i="294"/>
  <c r="J10" i="294"/>
  <c r="J9" i="294"/>
  <c r="J8" i="294"/>
  <c r="J7" i="294"/>
  <c r="J6" i="294"/>
  <c r="J5" i="294"/>
  <c r="I26" i="295"/>
  <c r="H25" i="295"/>
  <c r="C24" i="295"/>
  <c r="I24" i="295" s="1"/>
  <c r="C23" i="295"/>
  <c r="I23" i="295" s="1"/>
  <c r="I22" i="295"/>
  <c r="C21" i="295"/>
  <c r="I20" i="295"/>
  <c r="H17" i="295"/>
  <c r="O35" i="294"/>
  <c r="N32" i="294"/>
  <c r="C28" i="294"/>
  <c r="E27" i="294"/>
  <c r="D27" i="294"/>
  <c r="N33" i="294"/>
  <c r="K23" i="294"/>
  <c r="K24" i="294" s="1"/>
  <c r="D23" i="294"/>
  <c r="O22" i="294"/>
  <c r="G22" i="294"/>
  <c r="H22" i="294" s="1"/>
  <c r="F22" i="294"/>
  <c r="E22" i="294"/>
  <c r="C22" i="294"/>
  <c r="O21" i="294"/>
  <c r="H21" i="294"/>
  <c r="G21" i="294"/>
  <c r="R21" i="294" s="1"/>
  <c r="F21" i="294"/>
  <c r="E21" i="294"/>
  <c r="C21" i="294"/>
  <c r="K20" i="294"/>
  <c r="G20" i="294"/>
  <c r="R20" i="294" s="1"/>
  <c r="F20" i="294"/>
  <c r="E20" i="294"/>
  <c r="C20" i="294"/>
  <c r="N23" i="294"/>
  <c r="M23" i="294"/>
  <c r="O19" i="294"/>
  <c r="H19" i="294"/>
  <c r="G19" i="294"/>
  <c r="G23" i="294" s="1"/>
  <c r="F19" i="294"/>
  <c r="F23" i="294" s="1"/>
  <c r="E19" i="294"/>
  <c r="E23" i="294" s="1"/>
  <c r="C19" i="294"/>
  <c r="C23" i="294" s="1"/>
  <c r="K18" i="294"/>
  <c r="D18" i="294"/>
  <c r="R17" i="294"/>
  <c r="Q17" i="294"/>
  <c r="O17" i="294"/>
  <c r="G17" i="294"/>
  <c r="H17" i="294" s="1"/>
  <c r="F17" i="294"/>
  <c r="E17" i="294"/>
  <c r="C17" i="294"/>
  <c r="N18" i="294"/>
  <c r="L18" i="294"/>
  <c r="O16" i="294"/>
  <c r="R16" i="294"/>
  <c r="H16" i="294"/>
  <c r="G16" i="294"/>
  <c r="F16" i="294"/>
  <c r="E16" i="294"/>
  <c r="C16" i="294"/>
  <c r="R15" i="294"/>
  <c r="O15" i="294"/>
  <c r="Q15" i="294" s="1"/>
  <c r="G15" i="294"/>
  <c r="H15" i="294" s="1"/>
  <c r="F15" i="294"/>
  <c r="E15" i="294"/>
  <c r="C15" i="294"/>
  <c r="M18" i="294"/>
  <c r="O14" i="294"/>
  <c r="G14" i="294"/>
  <c r="F14" i="294"/>
  <c r="E14" i="294"/>
  <c r="C14" i="294"/>
  <c r="I18" i="294"/>
  <c r="G13" i="294"/>
  <c r="G28" i="294" s="1"/>
  <c r="F13" i="294"/>
  <c r="F18" i="294" s="1"/>
  <c r="E13" i="294"/>
  <c r="E18" i="294" s="1"/>
  <c r="C13" i="294"/>
  <c r="C18" i="294" s="1"/>
  <c r="L12" i="294"/>
  <c r="K12" i="294"/>
  <c r="O11" i="294"/>
  <c r="Q11" i="294" s="1"/>
  <c r="G11" i="294"/>
  <c r="H11" i="294" s="1"/>
  <c r="F11" i="294"/>
  <c r="E11" i="294"/>
  <c r="G10" i="294"/>
  <c r="R10" i="294" s="1"/>
  <c r="F10" i="294"/>
  <c r="E10" i="294"/>
  <c r="C10" i="294"/>
  <c r="O9" i="294"/>
  <c r="G9" i="294"/>
  <c r="H9" i="294" s="1"/>
  <c r="F9" i="294"/>
  <c r="G8" i="294"/>
  <c r="H8" i="294" s="1"/>
  <c r="F8" i="294"/>
  <c r="E8" i="294"/>
  <c r="C8" i="294"/>
  <c r="O7" i="294"/>
  <c r="G7" i="294"/>
  <c r="R7" i="294" s="1"/>
  <c r="F7" i="294"/>
  <c r="E7" i="294"/>
  <c r="D7" i="294"/>
  <c r="D12" i="294" s="1"/>
  <c r="D24" i="294" s="1"/>
  <c r="C7" i="294"/>
  <c r="C12" i="294" s="1"/>
  <c r="N12" i="294"/>
  <c r="O6" i="294"/>
  <c r="G6" i="294"/>
  <c r="R6" i="294" s="1"/>
  <c r="F6" i="294"/>
  <c r="F12" i="294" s="1"/>
  <c r="E6" i="294"/>
  <c r="E12" i="294" s="1"/>
  <c r="C6" i="294"/>
  <c r="K5" i="294"/>
  <c r="O5" i="294"/>
  <c r="H5" i="294"/>
  <c r="G5" i="294"/>
  <c r="F5" i="294"/>
  <c r="E5" i="294"/>
  <c r="C5" i="294"/>
  <c r="G178" i="293"/>
  <c r="H178" i="293"/>
  <c r="I178" i="293"/>
  <c r="J178" i="293"/>
  <c r="F178" i="293"/>
  <c r="D34" i="295" s="1"/>
  <c r="D178" i="293"/>
  <c r="D172" i="293"/>
  <c r="J170" i="293"/>
  <c r="I170" i="293"/>
  <c r="H170" i="293"/>
  <c r="G170" i="293"/>
  <c r="F170" i="293"/>
  <c r="E170" i="293" s="1"/>
  <c r="F154" i="293"/>
  <c r="E154" i="293" s="1"/>
  <c r="G145" i="293"/>
  <c r="H145" i="293"/>
  <c r="F43" i="295" s="1"/>
  <c r="I145" i="293"/>
  <c r="G43" i="295" s="1"/>
  <c r="J145" i="293"/>
  <c r="F145" i="293"/>
  <c r="D145" i="293"/>
  <c r="E144" i="293"/>
  <c r="E143" i="293"/>
  <c r="F104" i="293"/>
  <c r="D130" i="293"/>
  <c r="G121" i="293"/>
  <c r="E41" i="295" s="1"/>
  <c r="H121" i="293"/>
  <c r="I121" i="293"/>
  <c r="J121" i="293"/>
  <c r="F121" i="293"/>
  <c r="D41" i="295" s="1"/>
  <c r="D121" i="293"/>
  <c r="G116" i="293"/>
  <c r="E37" i="295" s="1"/>
  <c r="H116" i="293"/>
  <c r="I116" i="293"/>
  <c r="G37" i="295" s="1"/>
  <c r="J116" i="293"/>
  <c r="F116" i="293"/>
  <c r="D37" i="295" s="1"/>
  <c r="D116" i="293"/>
  <c r="G28" i="293"/>
  <c r="E35" i="295" s="1"/>
  <c r="H28" i="293"/>
  <c r="F35" i="295" s="1"/>
  <c r="I28" i="293"/>
  <c r="G35" i="295" s="1"/>
  <c r="J28" i="293"/>
  <c r="H35" i="295" s="1"/>
  <c r="F28" i="293"/>
  <c r="D35" i="295" s="1"/>
  <c r="D28" i="293"/>
  <c r="L32" i="293" s="1"/>
  <c r="D105" i="293"/>
  <c r="N32" i="293" s="1"/>
  <c r="H103" i="293"/>
  <c r="G103" i="293"/>
  <c r="F103" i="293"/>
  <c r="N34" i="293"/>
  <c r="N31" i="293"/>
  <c r="L31" i="293"/>
  <c r="T6" i="287"/>
  <c r="D182" i="293"/>
  <c r="J154" i="293"/>
  <c r="I154" i="293"/>
  <c r="I172" i="293" s="1"/>
  <c r="G38" i="295" s="1"/>
  <c r="H154" i="293"/>
  <c r="H172" i="293" s="1"/>
  <c r="F38" i="295" s="1"/>
  <c r="G154" i="293"/>
  <c r="G172" i="293" s="1"/>
  <c r="E38" i="295" s="1"/>
  <c r="D150" i="293"/>
  <c r="J149" i="293"/>
  <c r="I149" i="293"/>
  <c r="H149" i="293"/>
  <c r="G149" i="293"/>
  <c r="F149" i="293"/>
  <c r="J148" i="293"/>
  <c r="I148" i="293"/>
  <c r="H148" i="293"/>
  <c r="G148" i="293"/>
  <c r="F148" i="293"/>
  <c r="J138" i="293"/>
  <c r="I138" i="293"/>
  <c r="H138" i="293"/>
  <c r="G138" i="293"/>
  <c r="F138" i="293"/>
  <c r="D43" i="295" s="1"/>
  <c r="D138" i="293"/>
  <c r="E137" i="293"/>
  <c r="E138" i="293" s="1"/>
  <c r="J134" i="293"/>
  <c r="H44" i="295" s="1"/>
  <c r="I134" i="293"/>
  <c r="G44" i="295" s="1"/>
  <c r="H134" i="293"/>
  <c r="F44" i="295" s="1"/>
  <c r="G134" i="293"/>
  <c r="F134" i="293"/>
  <c r="D44" i="295" s="1"/>
  <c r="D134" i="293"/>
  <c r="E133" i="293"/>
  <c r="E134" i="293" s="1"/>
  <c r="J130" i="293"/>
  <c r="I130" i="293"/>
  <c r="G45" i="295" s="1"/>
  <c r="H130" i="293"/>
  <c r="F45" i="295" s="1"/>
  <c r="F130" i="293"/>
  <c r="D45" i="295" s="1"/>
  <c r="E120" i="293"/>
  <c r="E115" i="293"/>
  <c r="E114" i="293"/>
  <c r="D109" i="293"/>
  <c r="J108" i="293"/>
  <c r="J109" i="293" s="1"/>
  <c r="H40" i="295" s="1"/>
  <c r="H53" i="295" s="1"/>
  <c r="I108" i="293"/>
  <c r="I109" i="293" s="1"/>
  <c r="G40" i="295" s="1"/>
  <c r="G53" i="295" s="1"/>
  <c r="H108" i="293"/>
  <c r="H109" i="293" s="1"/>
  <c r="F40" i="295" s="1"/>
  <c r="F53" i="295" s="1"/>
  <c r="G108" i="293"/>
  <c r="G109" i="293" s="1"/>
  <c r="E40" i="295" s="1"/>
  <c r="E53" i="295" s="1"/>
  <c r="F108" i="293"/>
  <c r="F109" i="293" s="1"/>
  <c r="D40" i="295" s="1"/>
  <c r="J104" i="293"/>
  <c r="I104" i="293"/>
  <c r="I105" i="293" s="1"/>
  <c r="G36" i="295" s="1"/>
  <c r="H104" i="293"/>
  <c r="H105" i="293" s="1"/>
  <c r="F36" i="295" s="1"/>
  <c r="G104" i="293"/>
  <c r="E27" i="293"/>
  <c r="E10" i="293"/>
  <c r="E11" i="293"/>
  <c r="E12" i="293"/>
  <c r="E13" i="293"/>
  <c r="E14" i="293"/>
  <c r="E15" i="293"/>
  <c r="E16" i="293"/>
  <c r="E17" i="293"/>
  <c r="E18" i="293"/>
  <c r="E19" i="293"/>
  <c r="E20" i="293"/>
  <c r="E21" i="293"/>
  <c r="E22" i="293"/>
  <c r="E23" i="293"/>
  <c r="E24" i="293"/>
  <c r="E25" i="293"/>
  <c r="E26" i="293"/>
  <c r="E112" i="293"/>
  <c r="E113" i="293"/>
  <c r="E119" i="293"/>
  <c r="E128" i="293"/>
  <c r="E141" i="293"/>
  <c r="E142" i="293"/>
  <c r="E153" i="293"/>
  <c r="E175" i="293"/>
  <c r="E176" i="293"/>
  <c r="E9" i="293"/>
  <c r="G22" i="292"/>
  <c r="G129" i="293" s="1"/>
  <c r="G130" i="293" s="1"/>
  <c r="E45" i="295" s="1"/>
  <c r="F22" i="292"/>
  <c r="J20" i="292"/>
  <c r="J22" i="292" s="1"/>
  <c r="I20" i="292"/>
  <c r="I22" i="292" s="1"/>
  <c r="H20" i="292"/>
  <c r="H22" i="292" s="1"/>
  <c r="F20" i="292"/>
  <c r="J18" i="292"/>
  <c r="J7" i="292" s="1"/>
  <c r="I18" i="292"/>
  <c r="H18" i="292"/>
  <c r="H7" i="292" s="1"/>
  <c r="G18" i="292"/>
  <c r="G7" i="292" s="1"/>
  <c r="F18" i="292"/>
  <c r="F7" i="292" s="1"/>
  <c r="F8" i="292" s="1"/>
  <c r="J14" i="292"/>
  <c r="J13" i="292"/>
  <c r="I13" i="292"/>
  <c r="I14" i="292" s="1"/>
  <c r="H13" i="292"/>
  <c r="H14" i="292" s="1"/>
  <c r="G13" i="292"/>
  <c r="F13" i="292"/>
  <c r="F14" i="292" s="1"/>
  <c r="G12" i="292"/>
  <c r="G14" i="292" s="1"/>
  <c r="I7" i="292"/>
  <c r="H6" i="292"/>
  <c r="G6" i="292"/>
  <c r="C6" i="292"/>
  <c r="I5" i="292" s="1"/>
  <c r="J5" i="292"/>
  <c r="G5" i="292"/>
  <c r="F5" i="292"/>
  <c r="G3" i="292"/>
  <c r="H3" i="292" s="1"/>
  <c r="F3" i="292"/>
  <c r="G11" i="290"/>
  <c r="H28" i="291"/>
  <c r="H18" i="291"/>
  <c r="H11" i="291"/>
  <c r="H13" i="291" s="1"/>
  <c r="H30" i="291" s="1"/>
  <c r="C25" i="291"/>
  <c r="C24" i="291"/>
  <c r="C23" i="291"/>
  <c r="C17" i="291"/>
  <c r="C16" i="291"/>
  <c r="C15" i="291"/>
  <c r="C14" i="291"/>
  <c r="C10" i="291"/>
  <c r="C9" i="291"/>
  <c r="C8" i="291"/>
  <c r="C21" i="290"/>
  <c r="E34" i="290"/>
  <c r="F34" i="290" s="1"/>
  <c r="C17" i="290"/>
  <c r="C28" i="290" s="1"/>
  <c r="C27" i="290"/>
  <c r="C45" i="290"/>
  <c r="C46" i="290" s="1"/>
  <c r="C54" i="290"/>
  <c r="Y35" i="289"/>
  <c r="X35" i="289"/>
  <c r="W35" i="289"/>
  <c r="V35" i="289"/>
  <c r="U35" i="289"/>
  <c r="D35" i="289"/>
  <c r="C34" i="289"/>
  <c r="C33" i="289"/>
  <c r="W31" i="289"/>
  <c r="V31" i="289"/>
  <c r="U31" i="289"/>
  <c r="C26" i="289"/>
  <c r="AB25" i="289"/>
  <c r="AA25" i="289"/>
  <c r="Z25" i="289"/>
  <c r="X25" i="289"/>
  <c r="X31" i="289" s="1"/>
  <c r="E25" i="289"/>
  <c r="Y23" i="289"/>
  <c r="P23" i="289"/>
  <c r="O23" i="289"/>
  <c r="N23" i="289"/>
  <c r="M23" i="289"/>
  <c r="L23" i="289"/>
  <c r="K23" i="289"/>
  <c r="K37" i="289" s="1"/>
  <c r="J23" i="289"/>
  <c r="J37" i="289" s="1"/>
  <c r="H23" i="289"/>
  <c r="H37" i="289" s="1"/>
  <c r="G23" i="289"/>
  <c r="D23" i="289"/>
  <c r="C23" i="289"/>
  <c r="AB22" i="289"/>
  <c r="AA22" i="289"/>
  <c r="AD22" i="289" s="1"/>
  <c r="E22" i="289"/>
  <c r="AB21" i="289"/>
  <c r="AA21" i="289"/>
  <c r="Z21" i="289"/>
  <c r="Z23" i="289" s="1"/>
  <c r="E21" i="289"/>
  <c r="AD20" i="289"/>
  <c r="E20" i="289"/>
  <c r="X19" i="289"/>
  <c r="W19" i="289"/>
  <c r="V19" i="289"/>
  <c r="T19" i="289"/>
  <c r="S19" i="289"/>
  <c r="E19" i="289"/>
  <c r="X18" i="289"/>
  <c r="W18" i="289"/>
  <c r="V18" i="289"/>
  <c r="T18" i="289"/>
  <c r="S18" i="289"/>
  <c r="E18" i="289"/>
  <c r="AD17" i="289"/>
  <c r="AD16" i="289"/>
  <c r="X15" i="289"/>
  <c r="W15" i="289"/>
  <c r="V15" i="289"/>
  <c r="T15" i="289"/>
  <c r="S15" i="289"/>
  <c r="R15" i="289"/>
  <c r="Q15" i="289"/>
  <c r="E15" i="289"/>
  <c r="X14" i="289"/>
  <c r="W14" i="289"/>
  <c r="V14" i="289"/>
  <c r="T14" i="289"/>
  <c r="S14" i="289"/>
  <c r="R14" i="289"/>
  <c r="Q14" i="289"/>
  <c r="Q23" i="289" s="1"/>
  <c r="E14" i="289"/>
  <c r="E23" i="289" s="1"/>
  <c r="AB13" i="289"/>
  <c r="AA13" i="289"/>
  <c r="Z13" i="289"/>
  <c r="Y13" i="289"/>
  <c r="X13" i="289"/>
  <c r="W13" i="289"/>
  <c r="V13" i="289"/>
  <c r="E13" i="289"/>
  <c r="D13" i="289"/>
  <c r="T12" i="289"/>
  <c r="K12" i="289"/>
  <c r="O12" i="289" s="1"/>
  <c r="G12" i="289"/>
  <c r="P12" i="289" s="1"/>
  <c r="Q12" i="289" s="1"/>
  <c r="R12" i="289" s="1"/>
  <c r="T11" i="289"/>
  <c r="K11" i="289"/>
  <c r="O11" i="289" s="1"/>
  <c r="G11" i="289"/>
  <c r="P11" i="289" s="1"/>
  <c r="Q11" i="289" s="1"/>
  <c r="R11" i="289" s="1"/>
  <c r="AH10" i="289"/>
  <c r="T10" i="289"/>
  <c r="S10" i="289"/>
  <c r="S13" i="289" s="1"/>
  <c r="R10" i="289"/>
  <c r="K10" i="289"/>
  <c r="G10" i="289"/>
  <c r="C10" i="289"/>
  <c r="C13" i="289" s="1"/>
  <c r="AH9" i="289"/>
  <c r="T9" i="289"/>
  <c r="O9" i="289"/>
  <c r="P9" i="289" s="1"/>
  <c r="Q9" i="289" s="1"/>
  <c r="R9" i="289" s="1"/>
  <c r="K9" i="289"/>
  <c r="N9" i="289" s="1"/>
  <c r="G9" i="289"/>
  <c r="AH8" i="289"/>
  <c r="T8" i="289"/>
  <c r="K8" i="289"/>
  <c r="M8" i="289" s="1"/>
  <c r="G8" i="289"/>
  <c r="P8" i="289" s="1"/>
  <c r="Q8" i="289" s="1"/>
  <c r="R8" i="289" s="1"/>
  <c r="T7" i="289"/>
  <c r="K7" i="289"/>
  <c r="L7" i="289" s="1"/>
  <c r="L13" i="289" s="1"/>
  <c r="L37" i="289" s="1"/>
  <c r="G7" i="289"/>
  <c r="J28" i="288"/>
  <c r="J32" i="288" s="1"/>
  <c r="J25" i="288"/>
  <c r="J27" i="288" s="1"/>
  <c r="J23" i="288"/>
  <c r="J18" i="288"/>
  <c r="J19" i="288"/>
  <c r="J16" i="288"/>
  <c r="J15" i="288"/>
  <c r="I29" i="288"/>
  <c r="I28" i="288"/>
  <c r="I16" i="288"/>
  <c r="G31" i="288"/>
  <c r="G30" i="288"/>
  <c r="G29" i="288"/>
  <c r="G28" i="288"/>
  <c r="G26" i="288"/>
  <c r="G25" i="288"/>
  <c r="G24" i="288"/>
  <c r="G23" i="288"/>
  <c r="G22" i="288"/>
  <c r="G20" i="288"/>
  <c r="G19" i="288"/>
  <c r="G18" i="288"/>
  <c r="G17" i="288"/>
  <c r="G16" i="288"/>
  <c r="G15" i="288"/>
  <c r="G14" i="288"/>
  <c r="AA31" i="288"/>
  <c r="AA30" i="288"/>
  <c r="AA29" i="288"/>
  <c r="AA28" i="288"/>
  <c r="AA26" i="288"/>
  <c r="AA25" i="288"/>
  <c r="AA24" i="288"/>
  <c r="AA23" i="288"/>
  <c r="AA27" i="288" s="1"/>
  <c r="AA22" i="288"/>
  <c r="AA20" i="288"/>
  <c r="AA19" i="288"/>
  <c r="AA18" i="288"/>
  <c r="AA17" i="288"/>
  <c r="AA16" i="288"/>
  <c r="AA15" i="288"/>
  <c r="AA21" i="288" s="1"/>
  <c r="AA14" i="288"/>
  <c r="AA32" i="288"/>
  <c r="H32" i="288"/>
  <c r="Z31" i="288"/>
  <c r="Y31" i="288"/>
  <c r="X31" i="288"/>
  <c r="W31" i="288"/>
  <c r="V31" i="288"/>
  <c r="U31" i="288"/>
  <c r="T31" i="288"/>
  <c r="S31" i="288"/>
  <c r="R31" i="288"/>
  <c r="Q31" i="288"/>
  <c r="P31" i="288"/>
  <c r="O31" i="288"/>
  <c r="N31" i="288"/>
  <c r="M31" i="288"/>
  <c r="L31" i="288"/>
  <c r="K31" i="288"/>
  <c r="C31" i="288"/>
  <c r="Z30" i="288"/>
  <c r="Y30" i="288"/>
  <c r="X30" i="288"/>
  <c r="W30" i="288"/>
  <c r="V30" i="288"/>
  <c r="U30" i="288"/>
  <c r="T30" i="288"/>
  <c r="S30" i="288"/>
  <c r="R30" i="288"/>
  <c r="Q30" i="288"/>
  <c r="P30" i="288"/>
  <c r="O30" i="288"/>
  <c r="N30" i="288"/>
  <c r="M30" i="288"/>
  <c r="L30" i="288"/>
  <c r="K30" i="288"/>
  <c r="C30" i="288"/>
  <c r="Z29" i="288"/>
  <c r="Y29" i="288"/>
  <c r="X29" i="288"/>
  <c r="V29" i="288"/>
  <c r="U29" i="288"/>
  <c r="T29" i="288"/>
  <c r="S29" i="288"/>
  <c r="R29" i="288"/>
  <c r="Q29" i="288"/>
  <c r="P29" i="288"/>
  <c r="O29" i="288"/>
  <c r="N29" i="288"/>
  <c r="M29" i="288"/>
  <c r="L29" i="288"/>
  <c r="K29" i="288"/>
  <c r="C29" i="288"/>
  <c r="Z28" i="288"/>
  <c r="Y28" i="288"/>
  <c r="X28" i="288"/>
  <c r="W28" i="288"/>
  <c r="V28" i="288"/>
  <c r="U28" i="288"/>
  <c r="U32" i="288" s="1"/>
  <c r="T28" i="288"/>
  <c r="T32" i="288" s="1"/>
  <c r="S28" i="288"/>
  <c r="S32" i="288" s="1"/>
  <c r="R28" i="288"/>
  <c r="Q28" i="288"/>
  <c r="P28" i="288"/>
  <c r="O28" i="288"/>
  <c r="N28" i="288"/>
  <c r="M28" i="288"/>
  <c r="M32" i="288" s="1"/>
  <c r="L28" i="288"/>
  <c r="L32" i="288" s="1"/>
  <c r="K28" i="288"/>
  <c r="K32" i="288" s="1"/>
  <c r="I32" i="288"/>
  <c r="C28" i="288"/>
  <c r="H27" i="288"/>
  <c r="H33" i="288" s="1"/>
  <c r="H35" i="288" s="1"/>
  <c r="Z26" i="288"/>
  <c r="Y26" i="288"/>
  <c r="X26" i="288"/>
  <c r="W26" i="288"/>
  <c r="V26" i="288"/>
  <c r="T26" i="288"/>
  <c r="S26" i="288"/>
  <c r="R26" i="288"/>
  <c r="Q26" i="288"/>
  <c r="P26" i="288"/>
  <c r="O26" i="288"/>
  <c r="N26" i="288"/>
  <c r="M26" i="288"/>
  <c r="L26" i="288"/>
  <c r="K26" i="288"/>
  <c r="C26" i="288"/>
  <c r="Z25" i="288"/>
  <c r="Y25" i="288"/>
  <c r="X25" i="288"/>
  <c r="W25" i="288"/>
  <c r="V25" i="288"/>
  <c r="U25" i="288"/>
  <c r="T25" i="288"/>
  <c r="S25" i="288"/>
  <c r="R25" i="288"/>
  <c r="Q25" i="288"/>
  <c r="P25" i="288"/>
  <c r="O25" i="288"/>
  <c r="N25" i="288"/>
  <c r="M25" i="288"/>
  <c r="L25" i="288"/>
  <c r="K25" i="288"/>
  <c r="I27" i="288"/>
  <c r="C25" i="288"/>
  <c r="Z24" i="288"/>
  <c r="Y24" i="288"/>
  <c r="X24" i="288"/>
  <c r="W24" i="288"/>
  <c r="V24" i="288"/>
  <c r="U24" i="288"/>
  <c r="T24" i="288"/>
  <c r="S24" i="288"/>
  <c r="R24" i="288"/>
  <c r="Q24" i="288"/>
  <c r="P24" i="288"/>
  <c r="O24" i="288"/>
  <c r="N24" i="288"/>
  <c r="M24" i="288"/>
  <c r="L24" i="288"/>
  <c r="K24" i="288"/>
  <c r="C24" i="288"/>
  <c r="Z23" i="288"/>
  <c r="Y23" i="288"/>
  <c r="X23" i="288"/>
  <c r="W23" i="288"/>
  <c r="V23" i="288"/>
  <c r="U23" i="288"/>
  <c r="T23" i="288"/>
  <c r="S23" i="288"/>
  <c r="R23" i="288"/>
  <c r="Q23" i="288"/>
  <c r="P23" i="288"/>
  <c r="O23" i="288"/>
  <c r="N23" i="288"/>
  <c r="M23" i="288"/>
  <c r="L23" i="288"/>
  <c r="K23" i="288"/>
  <c r="C23" i="288"/>
  <c r="Z22" i="288"/>
  <c r="Y22" i="288"/>
  <c r="X22" i="288"/>
  <c r="W22" i="288"/>
  <c r="V22" i="288"/>
  <c r="U22" i="288"/>
  <c r="U27" i="288" s="1"/>
  <c r="T22" i="288"/>
  <c r="S22" i="288"/>
  <c r="R22" i="288"/>
  <c r="Q22" i="288"/>
  <c r="P22" i="288"/>
  <c r="O22" i="288"/>
  <c r="N22" i="288"/>
  <c r="M22" i="288"/>
  <c r="L22" i="288"/>
  <c r="K22" i="288"/>
  <c r="C22" i="288"/>
  <c r="H21" i="288"/>
  <c r="Z20" i="288"/>
  <c r="Y20" i="288"/>
  <c r="X20" i="288"/>
  <c r="W20" i="288"/>
  <c r="V20" i="288"/>
  <c r="U20" i="288"/>
  <c r="AB20" i="288" s="1"/>
  <c r="T20" i="288"/>
  <c r="S20" i="288"/>
  <c r="R20" i="288"/>
  <c r="Q20" i="288"/>
  <c r="P20" i="288"/>
  <c r="O20" i="288"/>
  <c r="N20" i="288"/>
  <c r="M20" i="288"/>
  <c r="M21" i="288" s="1"/>
  <c r="L20" i="288"/>
  <c r="K20" i="288"/>
  <c r="C20" i="288"/>
  <c r="Z19" i="288"/>
  <c r="Y19" i="288"/>
  <c r="X19" i="288"/>
  <c r="W19" i="288"/>
  <c r="V19" i="288"/>
  <c r="AB19" i="288" s="1"/>
  <c r="U19" i="288"/>
  <c r="T19" i="288"/>
  <c r="S19" i="288"/>
  <c r="R19" i="288"/>
  <c r="Q19" i="288"/>
  <c r="P19" i="288"/>
  <c r="O19" i="288"/>
  <c r="N19" i="288"/>
  <c r="M19" i="288"/>
  <c r="L19" i="288"/>
  <c r="K19" i="288"/>
  <c r="C19" i="288"/>
  <c r="Z18" i="288"/>
  <c r="Y18" i="288"/>
  <c r="X18" i="288"/>
  <c r="W18" i="288"/>
  <c r="V18" i="288"/>
  <c r="U18" i="288"/>
  <c r="T18" i="288"/>
  <c r="S18" i="288"/>
  <c r="R18" i="288"/>
  <c r="Q18" i="288"/>
  <c r="P18" i="288"/>
  <c r="O18" i="288"/>
  <c r="N18" i="288"/>
  <c r="M18" i="288"/>
  <c r="L18" i="288"/>
  <c r="K18" i="288"/>
  <c r="C18" i="288"/>
  <c r="Z17" i="288"/>
  <c r="Z21" i="288" s="1"/>
  <c r="Y17" i="288"/>
  <c r="X17" i="288"/>
  <c r="W17" i="288"/>
  <c r="V17" i="288"/>
  <c r="U17" i="288"/>
  <c r="T17" i="288"/>
  <c r="S17" i="288"/>
  <c r="R17" i="288"/>
  <c r="R21" i="288" s="1"/>
  <c r="Q17" i="288"/>
  <c r="P17" i="288"/>
  <c r="O17" i="288"/>
  <c r="N17" i="288"/>
  <c r="M17" i="288"/>
  <c r="L17" i="288"/>
  <c r="K17" i="288"/>
  <c r="C17" i="288"/>
  <c r="Z16" i="288"/>
  <c r="Y16" i="288"/>
  <c r="X16" i="288"/>
  <c r="W16" i="288"/>
  <c r="V16" i="288"/>
  <c r="U16" i="288"/>
  <c r="T16" i="288"/>
  <c r="S16" i="288"/>
  <c r="R16" i="288"/>
  <c r="Q16" i="288"/>
  <c r="P16" i="288"/>
  <c r="O16" i="288"/>
  <c r="N16" i="288"/>
  <c r="M16" i="288"/>
  <c r="L16" i="288"/>
  <c r="K16" i="288"/>
  <c r="I21" i="288"/>
  <c r="C16" i="288"/>
  <c r="Z15" i="288"/>
  <c r="Y15" i="288"/>
  <c r="X15" i="288"/>
  <c r="W15" i="288"/>
  <c r="W21" i="288" s="1"/>
  <c r="V15" i="288"/>
  <c r="V21" i="288" s="1"/>
  <c r="U15" i="288"/>
  <c r="T15" i="288"/>
  <c r="T21" i="288" s="1"/>
  <c r="S15" i="288"/>
  <c r="R15" i="288"/>
  <c r="Q15" i="288"/>
  <c r="P15" i="288"/>
  <c r="O15" i="288"/>
  <c r="O21" i="288" s="1"/>
  <c r="N15" i="288"/>
  <c r="N21" i="288" s="1"/>
  <c r="M15" i="288"/>
  <c r="L15" i="288"/>
  <c r="K15" i="288"/>
  <c r="C15" i="288"/>
  <c r="Z14" i="288"/>
  <c r="Y14" i="288"/>
  <c r="X14" i="288"/>
  <c r="W14" i="288"/>
  <c r="V14" i="288"/>
  <c r="U14" i="288"/>
  <c r="T14" i="288"/>
  <c r="S14" i="288"/>
  <c r="R14" i="288"/>
  <c r="Q14" i="288"/>
  <c r="P14" i="288"/>
  <c r="O14" i="288"/>
  <c r="N14" i="288"/>
  <c r="M14" i="288"/>
  <c r="L14" i="288"/>
  <c r="K14" i="288"/>
  <c r="C14" i="288"/>
  <c r="D8" i="288"/>
  <c r="AB8" i="288" s="1"/>
  <c r="C8" i="288"/>
  <c r="D6" i="288"/>
  <c r="C6" i="288"/>
  <c r="AB6" i="288" s="1"/>
  <c r="D5" i="288"/>
  <c r="AB5" i="288" s="1"/>
  <c r="T8" i="287"/>
  <c r="S53" i="287"/>
  <c r="R51" i="287"/>
  <c r="Q55" i="287"/>
  <c r="G8" i="292" l="1"/>
  <c r="U19" i="289"/>
  <c r="O8" i="289"/>
  <c r="U11" i="289"/>
  <c r="AD11" i="289" s="1"/>
  <c r="U9" i="289"/>
  <c r="AD9" i="289" s="1"/>
  <c r="U12" i="289"/>
  <c r="AD12" i="289" s="1"/>
  <c r="D31" i="289"/>
  <c r="D37" i="289" s="1"/>
  <c r="AB29" i="289"/>
  <c r="AD29" i="289" s="1"/>
  <c r="AC29" i="289"/>
  <c r="AC34" i="289"/>
  <c r="U15" i="289"/>
  <c r="AD15" i="289" s="1"/>
  <c r="AD19" i="289"/>
  <c r="C35" i="289"/>
  <c r="AC33" i="289"/>
  <c r="AA23" i="289"/>
  <c r="AB26" i="289"/>
  <c r="AC26" i="289"/>
  <c r="G13" i="289"/>
  <c r="G37" i="289" s="1"/>
  <c r="U10" i="289"/>
  <c r="AD10" i="289" s="1"/>
  <c r="C31" i="289"/>
  <c r="J172" i="293"/>
  <c r="H38" i="295" s="1"/>
  <c r="D184" i="293"/>
  <c r="E27" i="289"/>
  <c r="Z27" i="289" s="1"/>
  <c r="X23" i="289"/>
  <c r="X37" i="289" s="1"/>
  <c r="E33" i="289"/>
  <c r="U14" i="289"/>
  <c r="S23" i="289"/>
  <c r="S37" i="289" s="1"/>
  <c r="AB23" i="289"/>
  <c r="AB33" i="289"/>
  <c r="T23" i="289"/>
  <c r="U18" i="289"/>
  <c r="AD18" i="289" s="1"/>
  <c r="AD21" i="289"/>
  <c r="AA33" i="289"/>
  <c r="AA35" i="289" s="1"/>
  <c r="T13" i="289"/>
  <c r="V23" i="289"/>
  <c r="V37" i="289" s="1"/>
  <c r="E26" i="289"/>
  <c r="E34" i="289"/>
  <c r="Z35" i="289"/>
  <c r="M7" i="289"/>
  <c r="N7" i="289" s="1"/>
  <c r="N8" i="289"/>
  <c r="W23" i="289"/>
  <c r="W37" i="289" s="1"/>
  <c r="AA26" i="289"/>
  <c r="E43" i="295"/>
  <c r="I43" i="295" s="1"/>
  <c r="G68" i="295"/>
  <c r="H68" i="295" s="1"/>
  <c r="F50" i="295"/>
  <c r="F52" i="295" s="1"/>
  <c r="I17" i="295"/>
  <c r="E50" i="295"/>
  <c r="E52" i="295" s="1"/>
  <c r="H50" i="295"/>
  <c r="H59" i="295" s="1"/>
  <c r="H61" i="295" s="1"/>
  <c r="I25" i="295"/>
  <c r="H45" i="295"/>
  <c r="I37" i="295"/>
  <c r="G50" i="295"/>
  <c r="G59" i="295" s="1"/>
  <c r="G61" i="295" s="1"/>
  <c r="I44" i="295"/>
  <c r="D53" i="295"/>
  <c r="D54" i="295" s="1"/>
  <c r="D55" i="295" s="1"/>
  <c r="I40" i="295"/>
  <c r="I41" i="295"/>
  <c r="I34" i="295"/>
  <c r="E178" i="293"/>
  <c r="I35" i="295"/>
  <c r="C28" i="295"/>
  <c r="C27" i="295" s="1"/>
  <c r="G10" i="290" s="1"/>
  <c r="G12" i="290" s="1"/>
  <c r="C50" i="295"/>
  <c r="C59" i="295" s="1"/>
  <c r="C61" i="295" s="1"/>
  <c r="C62" i="295" s="1"/>
  <c r="N24" i="294"/>
  <c r="M12" i="294"/>
  <c r="O8" i="294"/>
  <c r="M24" i="294"/>
  <c r="L24" i="294"/>
  <c r="I12" i="294"/>
  <c r="I24" i="294" s="1"/>
  <c r="R14" i="294"/>
  <c r="R18" i="294" s="1"/>
  <c r="Q22" i="294"/>
  <c r="Q8" i="294"/>
  <c r="F18" i="295"/>
  <c r="E54" i="295"/>
  <c r="E55" i="295" s="1"/>
  <c r="F54" i="295"/>
  <c r="F55" i="295" s="1"/>
  <c r="G54" i="295"/>
  <c r="G55" i="295" s="1"/>
  <c r="H54" i="295"/>
  <c r="H55" i="295"/>
  <c r="I33" i="295"/>
  <c r="C53" i="295"/>
  <c r="I42" i="295"/>
  <c r="I21" i="295"/>
  <c r="Q7" i="294"/>
  <c r="C24" i="294"/>
  <c r="Q16" i="294"/>
  <c r="O12" i="294"/>
  <c r="P7" i="294" s="1"/>
  <c r="Q5" i="294"/>
  <c r="Q20" i="294"/>
  <c r="E24" i="294"/>
  <c r="E30" i="294" s="1"/>
  <c r="E31" i="294" s="1"/>
  <c r="Q10" i="294"/>
  <c r="F24" i="294"/>
  <c r="Q9" i="294"/>
  <c r="O23" i="294"/>
  <c r="P20" i="294" s="1"/>
  <c r="D30" i="294"/>
  <c r="D31" i="294" s="1"/>
  <c r="Q21" i="294"/>
  <c r="H6" i="294"/>
  <c r="H10" i="294"/>
  <c r="R11" i="294"/>
  <c r="J12" i="294"/>
  <c r="O13" i="294"/>
  <c r="H14" i="294"/>
  <c r="R22" i="294"/>
  <c r="J23" i="294"/>
  <c r="G27" i="294"/>
  <c r="R5" i="294"/>
  <c r="R9" i="294"/>
  <c r="H20" i="294"/>
  <c r="H23" i="294" s="1"/>
  <c r="H13" i="294"/>
  <c r="H18" i="294" s="1"/>
  <c r="G18" i="294"/>
  <c r="G24" i="294" s="1"/>
  <c r="Q19" i="294"/>
  <c r="G12" i="294"/>
  <c r="H7" i="294"/>
  <c r="R19" i="294"/>
  <c r="D28" i="294"/>
  <c r="Q6" i="294"/>
  <c r="F172" i="293"/>
  <c r="E145" i="293"/>
  <c r="F105" i="293"/>
  <c r="N33" i="293"/>
  <c r="N35" i="293" s="1"/>
  <c r="N37" i="293" s="1"/>
  <c r="E121" i="293"/>
  <c r="E116" i="293"/>
  <c r="E28" i="293"/>
  <c r="L33" i="293"/>
  <c r="L35" i="293" s="1"/>
  <c r="E172" i="293"/>
  <c r="J150" i="293"/>
  <c r="H39" i="295" s="1"/>
  <c r="I150" i="293"/>
  <c r="G39" i="295" s="1"/>
  <c r="E149" i="293"/>
  <c r="F150" i="293"/>
  <c r="D39" i="295" s="1"/>
  <c r="G150" i="293"/>
  <c r="E39" i="295" s="1"/>
  <c r="H150" i="293"/>
  <c r="F39" i="295" s="1"/>
  <c r="E148" i="293"/>
  <c r="E129" i="293"/>
  <c r="E130" i="293" s="1"/>
  <c r="E103" i="293"/>
  <c r="E108" i="293"/>
  <c r="E109" i="293" s="1"/>
  <c r="E104" i="293"/>
  <c r="I3" i="292"/>
  <c r="I6" i="292"/>
  <c r="I8" i="292"/>
  <c r="H5" i="292"/>
  <c r="H8" i="292" s="1"/>
  <c r="C48" i="290"/>
  <c r="C26" i="291"/>
  <c r="C28" i="291" s="1"/>
  <c r="C18" i="291"/>
  <c r="C11" i="291"/>
  <c r="U8" i="289"/>
  <c r="AD8" i="289" s="1"/>
  <c r="E28" i="289"/>
  <c r="R23" i="289"/>
  <c r="Y26" i="289"/>
  <c r="Z26" i="289"/>
  <c r="F24" i="288"/>
  <c r="F31" i="288"/>
  <c r="AA33" i="288"/>
  <c r="O27" i="288"/>
  <c r="O33" i="288" s="1"/>
  <c r="W27" i="288"/>
  <c r="W33" i="288" s="1"/>
  <c r="AB23" i="288"/>
  <c r="AB28" i="288"/>
  <c r="AB31" i="288"/>
  <c r="F8" i="288"/>
  <c r="AB15" i="288"/>
  <c r="Q21" i="288"/>
  <c r="Y21" i="288"/>
  <c r="Y33" i="288" s="1"/>
  <c r="AB18" i="288"/>
  <c r="P27" i="288"/>
  <c r="X27" i="288"/>
  <c r="Q32" i="288"/>
  <c r="Z32" i="288"/>
  <c r="Y32" i="288"/>
  <c r="S21" i="288"/>
  <c r="C27" i="288"/>
  <c r="C33" i="288" s="1"/>
  <c r="AB24" i="288"/>
  <c r="C21" i="288"/>
  <c r="P21" i="288"/>
  <c r="P33" i="288" s="1"/>
  <c r="X21" i="288"/>
  <c r="X33" i="288" s="1"/>
  <c r="AB16" i="288"/>
  <c r="J21" i="288"/>
  <c r="J33" i="288" s="1"/>
  <c r="J36" i="288" s="1"/>
  <c r="K27" i="288"/>
  <c r="S27" i="288"/>
  <c r="Q27" i="288"/>
  <c r="Y27" i="288"/>
  <c r="F30" i="288"/>
  <c r="R32" i="288"/>
  <c r="K21" i="288"/>
  <c r="K33" i="288" s="1"/>
  <c r="C32" i="288"/>
  <c r="P32" i="288"/>
  <c r="X32" i="288"/>
  <c r="AB29" i="288"/>
  <c r="AB30" i="288"/>
  <c r="F16" i="288"/>
  <c r="AB17" i="288"/>
  <c r="AB25" i="288"/>
  <c r="M27" i="288"/>
  <c r="AB26" i="288"/>
  <c r="N32" i="288"/>
  <c r="V32" i="288"/>
  <c r="V33" i="288" s="1"/>
  <c r="N27" i="288"/>
  <c r="V27" i="288"/>
  <c r="L27" i="288"/>
  <c r="T27" i="288"/>
  <c r="T33" i="288" s="1"/>
  <c r="R27" i="288"/>
  <c r="R33" i="288" s="1"/>
  <c r="Z27" i="288"/>
  <c r="Z33" i="288" s="1"/>
  <c r="O32" i="288"/>
  <c r="W32" i="288"/>
  <c r="Q33" i="288"/>
  <c r="I33" i="288"/>
  <c r="I35" i="288" s="1"/>
  <c r="F25" i="288"/>
  <c r="D25" i="288"/>
  <c r="E25" i="288" s="1"/>
  <c r="S33" i="288"/>
  <c r="F26" i="288"/>
  <c r="D26" i="288"/>
  <c r="E26" i="288" s="1"/>
  <c r="F15" i="288"/>
  <c r="D15" i="288"/>
  <c r="F14" i="288"/>
  <c r="D14" i="288"/>
  <c r="F29" i="288"/>
  <c r="D29" i="288"/>
  <c r="E29" i="288" s="1"/>
  <c r="M33" i="288"/>
  <c r="F17" i="288"/>
  <c r="D17" i="288"/>
  <c r="E17" i="288" s="1"/>
  <c r="D30" i="288"/>
  <c r="E30" i="288" s="1"/>
  <c r="F18" i="288"/>
  <c r="D18" i="288"/>
  <c r="E18" i="288" s="1"/>
  <c r="N33" i="288"/>
  <c r="D19" i="288"/>
  <c r="E19" i="288" s="1"/>
  <c r="F19" i="288"/>
  <c r="U21" i="288"/>
  <c r="U33" i="288" s="1"/>
  <c r="AB14" i="288"/>
  <c r="AB22" i="288"/>
  <c r="AB27" i="288" s="1"/>
  <c r="D24" i="288"/>
  <c r="E24" i="288" s="1"/>
  <c r="D31" i="288"/>
  <c r="E31" i="288" s="1"/>
  <c r="L21" i="288"/>
  <c r="L33" i="288" s="1"/>
  <c r="S3" i="287"/>
  <c r="S7" i="287"/>
  <c r="S9" i="287"/>
  <c r="S11" i="287"/>
  <c r="S13" i="287"/>
  <c r="S14" i="287"/>
  <c r="S15" i="287"/>
  <c r="S16" i="287"/>
  <c r="S17" i="287"/>
  <c r="S18" i="287"/>
  <c r="S19" i="287"/>
  <c r="S21" i="287"/>
  <c r="S23" i="287"/>
  <c r="S25" i="287"/>
  <c r="S27" i="287"/>
  <c r="S28" i="287"/>
  <c r="S29" i="287"/>
  <c r="S30" i="287"/>
  <c r="S32" i="287"/>
  <c r="S33" i="287"/>
  <c r="S35" i="287"/>
  <c r="S36" i="287"/>
  <c r="S37" i="287"/>
  <c r="S38" i="287"/>
  <c r="S39" i="287"/>
  <c r="S40" i="287"/>
  <c r="S41" i="287"/>
  <c r="S42" i="287"/>
  <c r="S44" i="287"/>
  <c r="S45" i="287"/>
  <c r="S47" i="287"/>
  <c r="S49" i="287"/>
  <c r="S51" i="287"/>
  <c r="R2" i="287"/>
  <c r="R6" i="287"/>
  <c r="R8" i="287"/>
  <c r="R10" i="287"/>
  <c r="R12" i="287"/>
  <c r="R20" i="287"/>
  <c r="R22" i="287"/>
  <c r="R24" i="287"/>
  <c r="R26" i="287"/>
  <c r="R31" i="287"/>
  <c r="R43" i="287"/>
  <c r="R46" i="287"/>
  <c r="R48" i="287"/>
  <c r="R50" i="287"/>
  <c r="Q50" i="287"/>
  <c r="P50" i="287"/>
  <c r="O50" i="287"/>
  <c r="N50" i="287"/>
  <c r="M50" i="287"/>
  <c r="L50" i="287"/>
  <c r="K50" i="287"/>
  <c r="J50" i="287"/>
  <c r="I50" i="287"/>
  <c r="H50" i="287"/>
  <c r="G50" i="287"/>
  <c r="F50" i="287"/>
  <c r="E50" i="287"/>
  <c r="D50" i="287"/>
  <c r="C50" i="287"/>
  <c r="B50" i="287"/>
  <c r="Q48" i="287"/>
  <c r="P48" i="287"/>
  <c r="O48" i="287"/>
  <c r="N48" i="287"/>
  <c r="M48" i="287"/>
  <c r="L48" i="287"/>
  <c r="K48" i="287"/>
  <c r="J48" i="287"/>
  <c r="I48" i="287"/>
  <c r="H48" i="287"/>
  <c r="G48" i="287"/>
  <c r="F48" i="287"/>
  <c r="E48" i="287"/>
  <c r="D48" i="287"/>
  <c r="C48" i="287"/>
  <c r="B48" i="287"/>
  <c r="Q47" i="287"/>
  <c r="Q46" i="287" s="1"/>
  <c r="K47" i="287"/>
  <c r="K46" i="287" s="1"/>
  <c r="P46" i="287"/>
  <c r="O46" i="287"/>
  <c r="N46" i="287"/>
  <c r="M46" i="287"/>
  <c r="L46" i="287"/>
  <c r="J46" i="287"/>
  <c r="I46" i="287"/>
  <c r="H46" i="287"/>
  <c r="G46" i="287"/>
  <c r="F46" i="287"/>
  <c r="E46" i="287"/>
  <c r="D46" i="287"/>
  <c r="C46" i="287"/>
  <c r="B46" i="287"/>
  <c r="Q43" i="287"/>
  <c r="P43" i="287"/>
  <c r="O43" i="287"/>
  <c r="N43" i="287"/>
  <c r="M43" i="287"/>
  <c r="L43" i="287"/>
  <c r="K43" i="287"/>
  <c r="J43" i="287"/>
  <c r="I43" i="287"/>
  <c r="H43" i="287"/>
  <c r="G43" i="287"/>
  <c r="F43" i="287"/>
  <c r="E43" i="287"/>
  <c r="D43" i="287"/>
  <c r="C43" i="287"/>
  <c r="B43" i="287"/>
  <c r="Q42" i="287"/>
  <c r="Q34" i="287" s="1"/>
  <c r="O38" i="287"/>
  <c r="O34" i="287" s="1"/>
  <c r="P34" i="287"/>
  <c r="N34" i="287"/>
  <c r="M34" i="287"/>
  <c r="L34" i="287"/>
  <c r="K34" i="287"/>
  <c r="J34" i="287"/>
  <c r="I34" i="287"/>
  <c r="H34" i="287"/>
  <c r="G34" i="287"/>
  <c r="F34" i="287"/>
  <c r="E34" i="287"/>
  <c r="D34" i="287"/>
  <c r="C34" i="287"/>
  <c r="B34" i="287"/>
  <c r="Q31" i="287"/>
  <c r="P31" i="287"/>
  <c r="O31" i="287"/>
  <c r="N31" i="287"/>
  <c r="M31" i="287"/>
  <c r="L31" i="287"/>
  <c r="K31" i="287"/>
  <c r="J31" i="287"/>
  <c r="I31" i="287"/>
  <c r="H31" i="287"/>
  <c r="G31" i="287"/>
  <c r="F31" i="287"/>
  <c r="E31" i="287"/>
  <c r="D31" i="287"/>
  <c r="C31" i="287"/>
  <c r="B31" i="287"/>
  <c r="O27" i="287"/>
  <c r="O26" i="287" s="1"/>
  <c r="Q26" i="287"/>
  <c r="P26" i="287"/>
  <c r="N26" i="287"/>
  <c r="M26" i="287"/>
  <c r="L26" i="287"/>
  <c r="K26" i="287"/>
  <c r="J26" i="287"/>
  <c r="I26" i="287"/>
  <c r="H26" i="287"/>
  <c r="G26" i="287"/>
  <c r="F26" i="287"/>
  <c r="E26" i="287"/>
  <c r="D26" i="287"/>
  <c r="C26" i="287"/>
  <c r="B26" i="287"/>
  <c r="Q24" i="287"/>
  <c r="P24" i="287"/>
  <c r="O24" i="287"/>
  <c r="N24" i="287"/>
  <c r="M24" i="287"/>
  <c r="L24" i="287"/>
  <c r="K24" i="287"/>
  <c r="J24" i="287"/>
  <c r="I24" i="287"/>
  <c r="H24" i="287"/>
  <c r="G24" i="287"/>
  <c r="F24" i="287"/>
  <c r="E24" i="287"/>
  <c r="D24" i="287"/>
  <c r="C24" i="287"/>
  <c r="B24" i="287"/>
  <c r="Q22" i="287"/>
  <c r="P22" i="287"/>
  <c r="O22" i="287"/>
  <c r="N22" i="287"/>
  <c r="M22" i="287"/>
  <c r="L22" i="287"/>
  <c r="K22" i="287"/>
  <c r="J22" i="287"/>
  <c r="I22" i="287"/>
  <c r="H22" i="287"/>
  <c r="G22" i="287"/>
  <c r="F22" i="287"/>
  <c r="E22" i="287"/>
  <c r="D22" i="287"/>
  <c r="C22" i="287"/>
  <c r="B22" i="287"/>
  <c r="Q20" i="287"/>
  <c r="P20" i="287"/>
  <c r="O20" i="287"/>
  <c r="N20" i="287"/>
  <c r="M20" i="287"/>
  <c r="L20" i="287"/>
  <c r="K20" i="287"/>
  <c r="J20" i="287"/>
  <c r="I20" i="287"/>
  <c r="H20" i="287"/>
  <c r="G20" i="287"/>
  <c r="F20" i="287"/>
  <c r="E20" i="287"/>
  <c r="D20" i="287"/>
  <c r="C20" i="287"/>
  <c r="B20" i="287"/>
  <c r="Q12" i="287"/>
  <c r="P12" i="287"/>
  <c r="O12" i="287"/>
  <c r="N12" i="287"/>
  <c r="M12" i="287"/>
  <c r="L12" i="287"/>
  <c r="K12" i="287"/>
  <c r="J12" i="287"/>
  <c r="I12" i="287"/>
  <c r="H12" i="287"/>
  <c r="G12" i="287"/>
  <c r="F12" i="287"/>
  <c r="E12" i="287"/>
  <c r="D12" i="287"/>
  <c r="C12" i="287"/>
  <c r="B12" i="287"/>
  <c r="Q10" i="287"/>
  <c r="P10" i="287"/>
  <c r="O10" i="287"/>
  <c r="N10" i="287"/>
  <c r="M10" i="287"/>
  <c r="L10" i="287"/>
  <c r="K10" i="287"/>
  <c r="J10" i="287"/>
  <c r="I10" i="287"/>
  <c r="H10" i="287"/>
  <c r="G10" i="287"/>
  <c r="F10" i="287"/>
  <c r="E10" i="287"/>
  <c r="D10" i="287"/>
  <c r="C10" i="287"/>
  <c r="B10" i="287"/>
  <c r="Q8" i="287"/>
  <c r="P8" i="287"/>
  <c r="O8" i="287"/>
  <c r="N8" i="287"/>
  <c r="M8" i="287"/>
  <c r="L8" i="287"/>
  <c r="K8" i="287"/>
  <c r="J8" i="287"/>
  <c r="I8" i="287"/>
  <c r="H8" i="287"/>
  <c r="G8" i="287"/>
  <c r="F8" i="287"/>
  <c r="E8" i="287"/>
  <c r="D8" i="287"/>
  <c r="C8" i="287"/>
  <c r="B8" i="287"/>
  <c r="Q6" i="287"/>
  <c r="P6" i="287"/>
  <c r="O6" i="287"/>
  <c r="N6" i="287"/>
  <c r="M6" i="287"/>
  <c r="L6" i="287"/>
  <c r="K6" i="287"/>
  <c r="J6" i="287"/>
  <c r="I6" i="287"/>
  <c r="H6" i="287"/>
  <c r="G6" i="287"/>
  <c r="F6" i="287"/>
  <c r="E6" i="287"/>
  <c r="D6" i="287"/>
  <c r="C6" i="287"/>
  <c r="B6" i="287"/>
  <c r="Q5" i="287"/>
  <c r="Q4" i="287" s="1"/>
  <c r="P4" i="287"/>
  <c r="O4" i="287"/>
  <c r="N4" i="287"/>
  <c r="M4" i="287"/>
  <c r="L4" i="287"/>
  <c r="K4" i="287"/>
  <c r="J4" i="287"/>
  <c r="I4" i="287"/>
  <c r="H4" i="287"/>
  <c r="G4" i="287"/>
  <c r="F4" i="287"/>
  <c r="E4" i="287"/>
  <c r="D4" i="287"/>
  <c r="C4" i="287"/>
  <c r="B4" i="287"/>
  <c r="Q2" i="287"/>
  <c r="P2" i="287"/>
  <c r="O2" i="287"/>
  <c r="N2" i="287"/>
  <c r="M2" i="287"/>
  <c r="L2" i="287"/>
  <c r="K2" i="287"/>
  <c r="J2" i="287"/>
  <c r="I2" i="287"/>
  <c r="H2" i="287"/>
  <c r="G2" i="287"/>
  <c r="F2" i="287"/>
  <c r="E2" i="287"/>
  <c r="D2" i="287"/>
  <c r="C2" i="287"/>
  <c r="B2" i="287"/>
  <c r="C37" i="289" l="1"/>
  <c r="U23" i="289"/>
  <c r="U37" i="289" s="1"/>
  <c r="E35" i="289"/>
  <c r="AB27" i="289"/>
  <c r="AC27" i="289"/>
  <c r="E31" i="289"/>
  <c r="E37" i="289" s="1"/>
  <c r="AC28" i="289"/>
  <c r="AC31" i="289" s="1"/>
  <c r="AC37" i="289" s="1"/>
  <c r="AB35" i="289"/>
  <c r="AC35" i="289"/>
  <c r="N13" i="289"/>
  <c r="N37" i="289" s="1"/>
  <c r="AA27" i="289"/>
  <c r="O7" i="289"/>
  <c r="P7" i="289" s="1"/>
  <c r="I39" i="295"/>
  <c r="F59" i="295"/>
  <c r="F61" i="295" s="1"/>
  <c r="F56" i="295"/>
  <c r="M13" i="289"/>
  <c r="M37" i="289" s="1"/>
  <c r="AD14" i="289"/>
  <c r="AD23" i="289" s="1"/>
  <c r="T37" i="289"/>
  <c r="D38" i="295"/>
  <c r="I38" i="295" s="1"/>
  <c r="H52" i="295"/>
  <c r="H56" i="295" s="1"/>
  <c r="E59" i="295"/>
  <c r="E61" i="295" s="1"/>
  <c r="E56" i="295"/>
  <c r="C52" i="295"/>
  <c r="I45" i="295"/>
  <c r="G52" i="295"/>
  <c r="G56" i="295" s="1"/>
  <c r="D36" i="295"/>
  <c r="P9" i="294"/>
  <c r="P10" i="294"/>
  <c r="Q12" i="294"/>
  <c r="R12" i="294"/>
  <c r="P19" i="294"/>
  <c r="C54" i="295"/>
  <c r="C55" i="295" s="1"/>
  <c r="C56" i="295" s="1"/>
  <c r="C57" i="295" s="1"/>
  <c r="G18" i="295"/>
  <c r="C30" i="294"/>
  <c r="C31" i="294" s="1"/>
  <c r="U28" i="294"/>
  <c r="U29" i="294" s="1"/>
  <c r="O18" i="294"/>
  <c r="O24" i="294" s="1"/>
  <c r="P23" i="294" s="1"/>
  <c r="Q13" i="294"/>
  <c r="Q18" i="294" s="1"/>
  <c r="R23" i="294"/>
  <c r="R24" i="294" s="1"/>
  <c r="H12" i="294"/>
  <c r="H24" i="294" s="1"/>
  <c r="P6" i="294"/>
  <c r="P8" i="294"/>
  <c r="Q23" i="294"/>
  <c r="J24" i="294"/>
  <c r="P21" i="294"/>
  <c r="N38" i="293"/>
  <c r="L37" i="293"/>
  <c r="E150" i="293"/>
  <c r="J6" i="292"/>
  <c r="J8" i="292" s="1"/>
  <c r="J3" i="292"/>
  <c r="C20" i="291"/>
  <c r="O13" i="289"/>
  <c r="O37" i="289" s="1"/>
  <c r="F181" i="293"/>
  <c r="Z28" i="289"/>
  <c r="AB28" i="289"/>
  <c r="AA28" i="289"/>
  <c r="AA31" i="289" s="1"/>
  <c r="AA37" i="289" s="1"/>
  <c r="AB32" i="288"/>
  <c r="D16" i="288"/>
  <c r="E16" i="288" s="1"/>
  <c r="AB21" i="288"/>
  <c r="F22" i="288"/>
  <c r="D22" i="288"/>
  <c r="G27" i="288"/>
  <c r="E14" i="288"/>
  <c r="E15" i="288"/>
  <c r="AB33" i="288"/>
  <c r="F20" i="288"/>
  <c r="F21" i="288" s="1"/>
  <c r="D20" i="288"/>
  <c r="E20" i="288" s="1"/>
  <c r="F23" i="288"/>
  <c r="D23" i="288"/>
  <c r="E23" i="288" s="1"/>
  <c r="D28" i="288"/>
  <c r="G32" i="288"/>
  <c r="F28" i="288"/>
  <c r="F32" i="288" s="1"/>
  <c r="G21" i="288"/>
  <c r="S5" i="287"/>
  <c r="S2" i="287"/>
  <c r="S6" i="287"/>
  <c r="S8" i="287"/>
  <c r="S10" i="287"/>
  <c r="S12" i="287"/>
  <c r="S20" i="287"/>
  <c r="S22" i="287"/>
  <c r="S24" i="287"/>
  <c r="S26" i="287"/>
  <c r="S31" i="287"/>
  <c r="S43" i="287"/>
  <c r="S46" i="287"/>
  <c r="S48" i="287"/>
  <c r="S50" i="287"/>
  <c r="R34" i="287"/>
  <c r="S34" i="287" s="1"/>
  <c r="P52" i="287"/>
  <c r="R4" i="287"/>
  <c r="S4" i="287" s="1"/>
  <c r="H52" i="287"/>
  <c r="I52" i="287"/>
  <c r="Q52" i="287"/>
  <c r="J52" i="287"/>
  <c r="K52" i="287"/>
  <c r="L52" i="287"/>
  <c r="E52" i="287"/>
  <c r="M52" i="287"/>
  <c r="C52" i="287"/>
  <c r="F52" i="287"/>
  <c r="N52" i="287"/>
  <c r="B52" i="287"/>
  <c r="D52" i="287"/>
  <c r="G52" i="287"/>
  <c r="O52" i="287"/>
  <c r="AB31" i="289" l="1"/>
  <c r="AB37" i="289" s="1"/>
  <c r="I181" i="293" s="1"/>
  <c r="I182" i="293" s="1"/>
  <c r="Z31" i="289"/>
  <c r="Z37" i="289" s="1"/>
  <c r="AD28" i="289"/>
  <c r="AD31" i="289" s="1"/>
  <c r="AD37" i="289" s="1"/>
  <c r="J181" i="293"/>
  <c r="H181" i="293"/>
  <c r="H182" i="293" s="1"/>
  <c r="F46" i="295" s="1"/>
  <c r="F28" i="295" s="1"/>
  <c r="F65" i="295" s="1"/>
  <c r="F182" i="293"/>
  <c r="D50" i="295"/>
  <c r="I36" i="295"/>
  <c r="P13" i="294"/>
  <c r="H18" i="295"/>
  <c r="Q24" i="294"/>
  <c r="C49" i="294" s="1"/>
  <c r="P18" i="294"/>
  <c r="P16" i="294"/>
  <c r="P14" i="294"/>
  <c r="P15" i="294"/>
  <c r="N34" i="294"/>
  <c r="N35" i="294" s="1"/>
  <c r="Q35" i="294" s="1"/>
  <c r="P5" i="294"/>
  <c r="P12" i="294"/>
  <c r="E105" i="293"/>
  <c r="L38" i="293"/>
  <c r="N41" i="293" s="1"/>
  <c r="Q7" i="289"/>
  <c r="P13" i="289"/>
  <c r="P37" i="289" s="1"/>
  <c r="G181" i="293"/>
  <c r="G182" i="293" s="1"/>
  <c r="E21" i="288"/>
  <c r="G33" i="288"/>
  <c r="D32" i="288"/>
  <c r="E28" i="288"/>
  <c r="E32" i="288" s="1"/>
  <c r="D27" i="288"/>
  <c r="E22" i="288"/>
  <c r="E27" i="288" s="1"/>
  <c r="F27" i="288"/>
  <c r="F33" i="288" s="1"/>
  <c r="F35" i="288" s="1"/>
  <c r="D21" i="288"/>
  <c r="R52" i="287"/>
  <c r="I184" i="293" l="1"/>
  <c r="G46" i="295"/>
  <c r="G28" i="295" s="1"/>
  <c r="G65" i="295" s="1"/>
  <c r="H184" i="293"/>
  <c r="J182" i="293"/>
  <c r="J184" i="293" s="1"/>
  <c r="E181" i="293"/>
  <c r="E182" i="293" s="1"/>
  <c r="E184" i="293" s="1"/>
  <c r="D46" i="295"/>
  <c r="F184" i="293"/>
  <c r="E46" i="295"/>
  <c r="E28" i="295" s="1"/>
  <c r="E65" i="295" s="1"/>
  <c r="G184" i="293"/>
  <c r="D52" i="295"/>
  <c r="D56" i="295" s="1"/>
  <c r="D57" i="295" s="1"/>
  <c r="E57" i="295" s="1"/>
  <c r="F57" i="295" s="1"/>
  <c r="G57" i="295" s="1"/>
  <c r="H57" i="295" s="1"/>
  <c r="D59" i="295"/>
  <c r="D61" i="295" s="1"/>
  <c r="D62" i="295" s="1"/>
  <c r="E62" i="295" s="1"/>
  <c r="F62" i="295" s="1"/>
  <c r="G62" i="295" s="1"/>
  <c r="H62" i="295" s="1"/>
  <c r="C50" i="294"/>
  <c r="H50" i="294" s="1"/>
  <c r="H49" i="294"/>
  <c r="P24" i="294"/>
  <c r="Q13" i="289"/>
  <c r="Q37" i="289" s="1"/>
  <c r="R7" i="289"/>
  <c r="E33" i="288"/>
  <c r="G35" i="288"/>
  <c r="AA34" i="288"/>
  <c r="D33" i="288"/>
  <c r="S52" i="287"/>
  <c r="S54" i="287" s="1"/>
  <c r="H46" i="295" l="1"/>
  <c r="H28" i="295" s="1"/>
  <c r="H65" i="295" s="1"/>
  <c r="D28" i="295"/>
  <c r="R13" i="289"/>
  <c r="R37" i="289" s="1"/>
  <c r="U7" i="289"/>
  <c r="AD7" i="289" s="1"/>
  <c r="D36" i="288"/>
  <c r="D35" i="288"/>
  <c r="D20" i="286"/>
  <c r="C20" i="286"/>
  <c r="B20" i="286"/>
  <c r="E17" i="286"/>
  <c r="F17" i="286" s="1"/>
  <c r="D16" i="286"/>
  <c r="C16" i="286"/>
  <c r="B16" i="286"/>
  <c r="D10" i="286"/>
  <c r="C10" i="286"/>
  <c r="B10" i="286"/>
  <c r="B21" i="286" s="1"/>
  <c r="E4" i="286"/>
  <c r="E13" i="285"/>
  <c r="E8" i="285"/>
  <c r="E15" i="285" s="1"/>
  <c r="I22" i="284"/>
  <c r="I8" i="284"/>
  <c r="I9" i="284"/>
  <c r="I10" i="284"/>
  <c r="I11" i="284"/>
  <c r="I12" i="284"/>
  <c r="I13" i="284"/>
  <c r="I14" i="284"/>
  <c r="I15" i="284"/>
  <c r="I16" i="284"/>
  <c r="I17" i="284"/>
  <c r="I18" i="284"/>
  <c r="I7" i="284"/>
  <c r="B20" i="284"/>
  <c r="C20" i="284"/>
  <c r="D20" i="284"/>
  <c r="E20" i="284"/>
  <c r="F20" i="284"/>
  <c r="G20" i="284"/>
  <c r="H20" i="284"/>
  <c r="B22" i="284"/>
  <c r="C22" i="284"/>
  <c r="D22" i="284"/>
  <c r="E22" i="284"/>
  <c r="F22" i="284"/>
  <c r="G22" i="284"/>
  <c r="H22" i="284"/>
  <c r="I148" i="283"/>
  <c r="G148" i="283"/>
  <c r="F148" i="283"/>
  <c r="E148" i="283"/>
  <c r="F27" i="283"/>
  <c r="G27" i="283"/>
  <c r="H27" i="283"/>
  <c r="I27" i="283"/>
  <c r="E27" i="283"/>
  <c r="F102" i="283"/>
  <c r="G102" i="283"/>
  <c r="H102" i="283"/>
  <c r="I102" i="283"/>
  <c r="E102" i="283"/>
  <c r="E106" i="283"/>
  <c r="F106" i="283"/>
  <c r="G106" i="283"/>
  <c r="I106" i="283"/>
  <c r="E110" i="283"/>
  <c r="F110" i="283"/>
  <c r="G110" i="283"/>
  <c r="I110" i="283"/>
  <c r="E114" i="283"/>
  <c r="F114" i="283"/>
  <c r="G114" i="283"/>
  <c r="I114" i="283"/>
  <c r="E118" i="283"/>
  <c r="F118" i="283"/>
  <c r="G118" i="283"/>
  <c r="I118" i="283"/>
  <c r="E123" i="283"/>
  <c r="F123" i="283"/>
  <c r="G123" i="283"/>
  <c r="I123" i="283"/>
  <c r="E127" i="283"/>
  <c r="F127" i="283"/>
  <c r="G127" i="283"/>
  <c r="I127" i="283"/>
  <c r="E131" i="283"/>
  <c r="F131" i="283"/>
  <c r="G131" i="283"/>
  <c r="I131" i="283"/>
  <c r="E137" i="283"/>
  <c r="F137" i="283"/>
  <c r="G137" i="283"/>
  <c r="I137" i="283"/>
  <c r="E141" i="283"/>
  <c r="F141" i="283"/>
  <c r="G141" i="283"/>
  <c r="I141" i="283"/>
  <c r="E146" i="283"/>
  <c r="F146" i="283"/>
  <c r="G146" i="283"/>
  <c r="I146" i="283"/>
  <c r="D18" i="281"/>
  <c r="D14" i="281"/>
  <c r="C14" i="281"/>
  <c r="D7" i="281"/>
  <c r="C7" i="281"/>
  <c r="D13" i="281"/>
  <c r="C13" i="281"/>
  <c r="K3" i="280"/>
  <c r="K4" i="280"/>
  <c r="K5" i="280"/>
  <c r="K2" i="280"/>
  <c r="J5" i="280"/>
  <c r="H5" i="280"/>
  <c r="I5" i="280" s="1"/>
  <c r="D3" i="281"/>
  <c r="C3" i="281"/>
  <c r="E31" i="280"/>
  <c r="D31" i="280"/>
  <c r="E25" i="280"/>
  <c r="D25" i="280"/>
  <c r="E14" i="280"/>
  <c r="E33" i="280" s="1"/>
  <c r="D14" i="280"/>
  <c r="J4" i="280" s="1"/>
  <c r="G6" i="280"/>
  <c r="H3" i="280"/>
  <c r="J3" i="280" s="1"/>
  <c r="J2" i="280"/>
  <c r="J6" i="280" s="1"/>
  <c r="H2" i="280"/>
  <c r="I2" i="280" s="1"/>
  <c r="D30" i="261"/>
  <c r="E30" i="261"/>
  <c r="G28" i="278"/>
  <c r="G27" i="278"/>
  <c r="W21" i="270"/>
  <c r="W12" i="270"/>
  <c r="W13" i="270"/>
  <c r="W14" i="270"/>
  <c r="W15" i="270"/>
  <c r="W16" i="270"/>
  <c r="W17" i="270"/>
  <c r="W18" i="270"/>
  <c r="W19" i="270"/>
  <c r="W20" i="270"/>
  <c r="W11" i="270"/>
  <c r="V24" i="270"/>
  <c r="V15" i="270"/>
  <c r="V13" i="270"/>
  <c r="R8" i="270"/>
  <c r="R5" i="270"/>
  <c r="V14" i="270" s="1"/>
  <c r="R4" i="270"/>
  <c r="R3" i="270"/>
  <c r="R2" i="270"/>
  <c r="V12" i="270" s="1"/>
  <c r="V22" i="270"/>
  <c r="V20" i="270"/>
  <c r="V19" i="270"/>
  <c r="V18" i="270"/>
  <c r="V17" i="270"/>
  <c r="V16" i="270"/>
  <c r="R6" i="270"/>
  <c r="V11" i="270"/>
  <c r="U21" i="270"/>
  <c r="AD34" i="272"/>
  <c r="AD33" i="272"/>
  <c r="AD32" i="272"/>
  <c r="AD30" i="272"/>
  <c r="AD29" i="272"/>
  <c r="AD28" i="272"/>
  <c r="AD27" i="272"/>
  <c r="AD26" i="272"/>
  <c r="AD25" i="272"/>
  <c r="D36" i="272"/>
  <c r="E36" i="272"/>
  <c r="C36" i="272"/>
  <c r="D34" i="272"/>
  <c r="E34" i="272"/>
  <c r="D30" i="272"/>
  <c r="E30" i="272"/>
  <c r="C30" i="272"/>
  <c r="F25" i="279"/>
  <c r="G195" i="277"/>
  <c r="H195" i="277"/>
  <c r="I195" i="277"/>
  <c r="J195" i="277"/>
  <c r="F195" i="277"/>
  <c r="Z34" i="272"/>
  <c r="AA34" i="272"/>
  <c r="AB34" i="272"/>
  <c r="AC34" i="272"/>
  <c r="Y34" i="272"/>
  <c r="C33" i="272"/>
  <c r="C32" i="272"/>
  <c r="AA32" i="272" s="1"/>
  <c r="Z30" i="272"/>
  <c r="AA30" i="272"/>
  <c r="AB30" i="272"/>
  <c r="AC30" i="272"/>
  <c r="Y30" i="272"/>
  <c r="D29" i="272"/>
  <c r="E29" i="272" s="1"/>
  <c r="C27" i="272"/>
  <c r="C26" i="272"/>
  <c r="Z26" i="272" s="1"/>
  <c r="D28" i="272"/>
  <c r="E28" i="272" s="1"/>
  <c r="Z25" i="272"/>
  <c r="AA25" i="272"/>
  <c r="AB25" i="272"/>
  <c r="AC25" i="272"/>
  <c r="W34" i="272"/>
  <c r="V34" i="272"/>
  <c r="U34" i="272"/>
  <c r="AC32" i="272"/>
  <c r="AB32" i="272"/>
  <c r="E32" i="272"/>
  <c r="X34" i="272"/>
  <c r="I46" i="295" l="1"/>
  <c r="D65" i="295"/>
  <c r="D66" i="295" s="1"/>
  <c r="D27" i="295"/>
  <c r="E27" i="295" s="1"/>
  <c r="I28" i="295"/>
  <c r="D21" i="286"/>
  <c r="C21" i="286"/>
  <c r="H4" i="280"/>
  <c r="H6" i="280" s="1"/>
  <c r="D33" i="280"/>
  <c r="V21" i="270"/>
  <c r="V23" i="270" s="1"/>
  <c r="E33" i="272"/>
  <c r="AC33" i="272"/>
  <c r="C34" i="272"/>
  <c r="AC29" i="272"/>
  <c r="AC26" i="272"/>
  <c r="AB26" i="272"/>
  <c r="AA26" i="272"/>
  <c r="AB28" i="272"/>
  <c r="AC28" i="272"/>
  <c r="AA28" i="272"/>
  <c r="F27" i="295" l="1"/>
  <c r="E19" i="295"/>
  <c r="D67" i="295"/>
  <c r="D69" i="295" s="1"/>
  <c r="E66" i="295"/>
  <c r="I4" i="280"/>
  <c r="I6" i="280" s="1"/>
  <c r="K6" i="280"/>
  <c r="I117" i="277"/>
  <c r="J117" i="277"/>
  <c r="D117" i="277"/>
  <c r="J31" i="279"/>
  <c r="I25" i="279"/>
  <c r="H25" i="279"/>
  <c r="D13" i="274"/>
  <c r="D12" i="274"/>
  <c r="D9" i="274"/>
  <c r="F20" i="275"/>
  <c r="G20" i="275"/>
  <c r="R7" i="270"/>
  <c r="P9" i="221"/>
  <c r="F191" i="277"/>
  <c r="E67" i="295" l="1"/>
  <c r="E69" i="295" s="1"/>
  <c r="F66" i="295"/>
  <c r="F19" i="295"/>
  <c r="G27" i="295"/>
  <c r="S9" i="270"/>
  <c r="G19" i="295" l="1"/>
  <c r="H27" i="295"/>
  <c r="F67" i="295"/>
  <c r="F69" i="295" s="1"/>
  <c r="G66" i="295"/>
  <c r="E17" i="279"/>
  <c r="F17" i="279"/>
  <c r="G17" i="279"/>
  <c r="H17" i="279"/>
  <c r="D17" i="279"/>
  <c r="O27" i="278"/>
  <c r="C29" i="279"/>
  <c r="C30" i="279"/>
  <c r="F36" i="274"/>
  <c r="F29" i="274"/>
  <c r="F24" i="274"/>
  <c r="F38" i="274" s="1"/>
  <c r="F22" i="274"/>
  <c r="C46" i="279"/>
  <c r="C45" i="279"/>
  <c r="C44" i="279"/>
  <c r="C43" i="279"/>
  <c r="C42" i="279"/>
  <c r="C40" i="279"/>
  <c r="C39" i="279"/>
  <c r="C33" i="279"/>
  <c r="C32" i="279"/>
  <c r="I32" i="279" s="1"/>
  <c r="C31" i="279"/>
  <c r="C17" i="279"/>
  <c r="C53" i="279"/>
  <c r="C54" i="279" s="1"/>
  <c r="C60" i="279"/>
  <c r="I26" i="279"/>
  <c r="C24" i="279"/>
  <c r="I24" i="279" s="1"/>
  <c r="C23" i="279"/>
  <c r="I23" i="279" s="1"/>
  <c r="I22" i="279"/>
  <c r="C21" i="279"/>
  <c r="I21" i="279" s="1"/>
  <c r="I20" i="279"/>
  <c r="N16" i="278"/>
  <c r="N19" i="278"/>
  <c r="N20" i="278"/>
  <c r="O20" i="278" s="1"/>
  <c r="N7" i="278"/>
  <c r="N6" i="278"/>
  <c r="M19" i="278"/>
  <c r="M23" i="278" s="1"/>
  <c r="M16" i="278"/>
  <c r="M14" i="278"/>
  <c r="O14" i="278" s="1"/>
  <c r="M10" i="278"/>
  <c r="M12" i="278" s="1"/>
  <c r="M9" i="278"/>
  <c r="M7" i="278"/>
  <c r="M6" i="278"/>
  <c r="L19" i="278"/>
  <c r="L16" i="278"/>
  <c r="R53" i="270"/>
  <c r="F17" i="268"/>
  <c r="E17" i="268"/>
  <c r="J22" i="278"/>
  <c r="O22" i="278" s="1"/>
  <c r="I22" i="278"/>
  <c r="J21" i="278"/>
  <c r="O21" i="278" s="1"/>
  <c r="I21" i="278"/>
  <c r="J20" i="278"/>
  <c r="I20" i="278"/>
  <c r="J19" i="278"/>
  <c r="I19" i="278"/>
  <c r="R19" i="278" s="1"/>
  <c r="J16" i="278"/>
  <c r="I16" i="278"/>
  <c r="J15" i="278"/>
  <c r="J18" i="278" s="1"/>
  <c r="I15" i="278"/>
  <c r="J14" i="278"/>
  <c r="I14" i="278"/>
  <c r="J13" i="278"/>
  <c r="I13" i="278"/>
  <c r="J11" i="278"/>
  <c r="O11" i="278" s="1"/>
  <c r="Q11" i="278" s="1"/>
  <c r="I11" i="278"/>
  <c r="R11" i="278" s="1"/>
  <c r="J10" i="278"/>
  <c r="I10" i="278"/>
  <c r="J9" i="278"/>
  <c r="I9" i="278"/>
  <c r="J8" i="278"/>
  <c r="I8" i="278"/>
  <c r="J7" i="278"/>
  <c r="I7" i="278"/>
  <c r="J6" i="278"/>
  <c r="J12" i="278" s="1"/>
  <c r="I6" i="278"/>
  <c r="J5" i="278"/>
  <c r="I5" i="278"/>
  <c r="Q5" i="278" s="1"/>
  <c r="O35" i="278"/>
  <c r="N32" i="278"/>
  <c r="N30" i="278"/>
  <c r="N29" i="278"/>
  <c r="N28" i="278"/>
  <c r="D28" i="278"/>
  <c r="C28" i="278"/>
  <c r="N27" i="278"/>
  <c r="E27" i="278"/>
  <c r="D27" i="278"/>
  <c r="N26" i="278"/>
  <c r="N33" i="278" s="1"/>
  <c r="J25" i="278"/>
  <c r="I25" i="278"/>
  <c r="G23" i="278"/>
  <c r="D23" i="278"/>
  <c r="G22" i="278"/>
  <c r="H22" i="278" s="1"/>
  <c r="F22" i="278"/>
  <c r="E22" i="278"/>
  <c r="C22" i="278"/>
  <c r="G21" i="278"/>
  <c r="H21" i="278" s="1"/>
  <c r="F21" i="278"/>
  <c r="E21" i="278"/>
  <c r="C21" i="278"/>
  <c r="K20" i="278"/>
  <c r="K23" i="278" s="1"/>
  <c r="K24" i="278" s="1"/>
  <c r="G20" i="278"/>
  <c r="R20" i="278" s="1"/>
  <c r="F20" i="278"/>
  <c r="F23" i="278" s="1"/>
  <c r="E20" i="278"/>
  <c r="C20" i="278"/>
  <c r="L23" i="278"/>
  <c r="H19" i="278"/>
  <c r="G19" i="278"/>
  <c r="F19" i="278"/>
  <c r="E19" i="278"/>
  <c r="E23" i="278" s="1"/>
  <c r="C19" i="278"/>
  <c r="C23" i="278" s="1"/>
  <c r="K18" i="278"/>
  <c r="G18" i="278"/>
  <c r="D18" i="278"/>
  <c r="R17" i="278"/>
  <c r="Q17" i="278"/>
  <c r="O17" i="278"/>
  <c r="H17" i="278"/>
  <c r="G17" i="278"/>
  <c r="F17" i="278"/>
  <c r="E17" i="278"/>
  <c r="C17" i="278"/>
  <c r="N18" i="278"/>
  <c r="L18" i="278"/>
  <c r="H16" i="278"/>
  <c r="G16" i="278"/>
  <c r="R16" i="278" s="1"/>
  <c r="F16" i="278"/>
  <c r="E16" i="278"/>
  <c r="C16" i="278"/>
  <c r="H15" i="278"/>
  <c r="G15" i="278"/>
  <c r="F15" i="278"/>
  <c r="E15" i="278"/>
  <c r="C15" i="278"/>
  <c r="G14" i="278"/>
  <c r="H14" i="278" s="1"/>
  <c r="F14" i="278"/>
  <c r="F18" i="278" s="1"/>
  <c r="E14" i="278"/>
  <c r="C14" i="278"/>
  <c r="H13" i="278"/>
  <c r="G13" i="278"/>
  <c r="R13" i="278" s="1"/>
  <c r="F13" i="278"/>
  <c r="E13" i="278"/>
  <c r="E18" i="278" s="1"/>
  <c r="C13" i="278"/>
  <c r="C18" i="278" s="1"/>
  <c r="L12" i="278"/>
  <c r="K12" i="278"/>
  <c r="G12" i="278"/>
  <c r="G24" i="278" s="1"/>
  <c r="H11" i="278"/>
  <c r="G11" i="278"/>
  <c r="F11" i="278"/>
  <c r="E11" i="278"/>
  <c r="G10" i="278"/>
  <c r="H10" i="278" s="1"/>
  <c r="F10" i="278"/>
  <c r="E10" i="278"/>
  <c r="C10" i="278"/>
  <c r="O9" i="278"/>
  <c r="C41" i="279" s="1"/>
  <c r="H9" i="278"/>
  <c r="G9" i="278"/>
  <c r="R9" i="278" s="1"/>
  <c r="F9" i="278"/>
  <c r="H8" i="278"/>
  <c r="G8" i="278"/>
  <c r="F8" i="278"/>
  <c r="E8" i="278"/>
  <c r="C8" i="278"/>
  <c r="O7" i="278"/>
  <c r="C36" i="279" s="1"/>
  <c r="G7" i="278"/>
  <c r="H7" i="278" s="1"/>
  <c r="F7" i="278"/>
  <c r="E7" i="278"/>
  <c r="D7" i="278"/>
  <c r="D12" i="278" s="1"/>
  <c r="D24" i="278" s="1"/>
  <c r="C7" i="278"/>
  <c r="G6" i="278"/>
  <c r="H6" i="278" s="1"/>
  <c r="F6" i="278"/>
  <c r="F12" i="278" s="1"/>
  <c r="E6" i="278"/>
  <c r="E12" i="278" s="1"/>
  <c r="C6" i="278"/>
  <c r="C12" i="278" s="1"/>
  <c r="K5" i="278"/>
  <c r="O5" i="278"/>
  <c r="H5" i="278"/>
  <c r="G5" i="278"/>
  <c r="R5" i="278" s="1"/>
  <c r="F5" i="278"/>
  <c r="E5" i="278"/>
  <c r="C5" i="278"/>
  <c r="M99" i="277"/>
  <c r="M96" i="277"/>
  <c r="E189" i="277"/>
  <c r="E190" i="277"/>
  <c r="E174" i="277"/>
  <c r="E175" i="277"/>
  <c r="E177" i="277"/>
  <c r="E167" i="277"/>
  <c r="E168" i="277"/>
  <c r="E160" i="277"/>
  <c r="E161" i="277"/>
  <c r="E144" i="277"/>
  <c r="E125" i="277"/>
  <c r="H98" i="277"/>
  <c r="G98" i="277"/>
  <c r="H66" i="295" l="1"/>
  <c r="H67" i="295" s="1"/>
  <c r="H69" i="295" s="1"/>
  <c r="G67" i="295"/>
  <c r="G69" i="295" s="1"/>
  <c r="I27" i="295"/>
  <c r="H19" i="295"/>
  <c r="M18" i="278"/>
  <c r="O10" i="278"/>
  <c r="C37" i="279" s="1"/>
  <c r="D18" i="279"/>
  <c r="E18" i="279" s="1"/>
  <c r="C55" i="279"/>
  <c r="F18" i="279"/>
  <c r="I17" i="279"/>
  <c r="I33" i="279"/>
  <c r="O19" i="278"/>
  <c r="N23" i="278"/>
  <c r="Q14" i="278"/>
  <c r="O16" i="278"/>
  <c r="L24" i="278"/>
  <c r="I23" i="278"/>
  <c r="I18" i="278"/>
  <c r="I28" i="278"/>
  <c r="R15" i="278"/>
  <c r="O15" i="278"/>
  <c r="Q15" i="278" s="1"/>
  <c r="O6" i="278"/>
  <c r="Q7" i="278"/>
  <c r="M24" i="278"/>
  <c r="E24" i="278"/>
  <c r="E30" i="278" s="1"/>
  <c r="E31" i="278" s="1"/>
  <c r="F24" i="278"/>
  <c r="Q9" i="278"/>
  <c r="Q22" i="278"/>
  <c r="D30" i="278"/>
  <c r="D31" i="278" s="1"/>
  <c r="Q20" i="278"/>
  <c r="Q21" i="278"/>
  <c r="C24" i="278"/>
  <c r="H12" i="278"/>
  <c r="H18" i="278"/>
  <c r="H24" i="278" s="1"/>
  <c r="O23" i="278"/>
  <c r="P19" i="278" s="1"/>
  <c r="N12" i="278"/>
  <c r="R7" i="278"/>
  <c r="O8" i="278"/>
  <c r="Q8" i="278" s="1"/>
  <c r="R21" i="278"/>
  <c r="R22" i="278"/>
  <c r="J23" i="278"/>
  <c r="J24" i="278" s="1"/>
  <c r="O13" i="278"/>
  <c r="R8" i="278"/>
  <c r="R6" i="278"/>
  <c r="H20" i="278"/>
  <c r="H23" i="278" s="1"/>
  <c r="R10" i="278"/>
  <c r="I12" i="278"/>
  <c r="R14" i="278"/>
  <c r="R18" i="278" s="1"/>
  <c r="M26" i="277"/>
  <c r="M24" i="277"/>
  <c r="W6" i="270"/>
  <c r="M23" i="277" s="1"/>
  <c r="V6" i="270"/>
  <c r="F21" i="277"/>
  <c r="F99" i="277"/>
  <c r="G103" i="277"/>
  <c r="H103" i="277"/>
  <c r="I103" i="277"/>
  <c r="J103" i="277"/>
  <c r="F103" i="277"/>
  <c r="G150" i="277"/>
  <c r="H150" i="277"/>
  <c r="I150" i="277"/>
  <c r="J150" i="277"/>
  <c r="F150" i="277"/>
  <c r="G149" i="277"/>
  <c r="H149" i="277"/>
  <c r="I149" i="277"/>
  <c r="J149" i="277"/>
  <c r="F149" i="277"/>
  <c r="F154" i="277"/>
  <c r="J154" i="277"/>
  <c r="I154" i="277"/>
  <c r="H154" i="277"/>
  <c r="G154" i="277"/>
  <c r="G162" i="277"/>
  <c r="H162" i="277"/>
  <c r="I162" i="277"/>
  <c r="J162" i="277"/>
  <c r="F162" i="277"/>
  <c r="Q10" i="278" l="1"/>
  <c r="O12" i="278"/>
  <c r="P8" i="278" s="1"/>
  <c r="C35" i="279"/>
  <c r="C50" i="279" s="1"/>
  <c r="Q16" i="278"/>
  <c r="C38" i="279"/>
  <c r="Q19" i="278"/>
  <c r="Q23" i="278" s="1"/>
  <c r="C34" i="279"/>
  <c r="C28" i="279" s="1"/>
  <c r="C27" i="279" s="1"/>
  <c r="G10" i="273" s="1"/>
  <c r="O25" i="278"/>
  <c r="G18" i="279"/>
  <c r="N24" i="278"/>
  <c r="P21" i="278"/>
  <c r="I24" i="278"/>
  <c r="I26" i="278" s="1"/>
  <c r="R12" i="278"/>
  <c r="Q6" i="278"/>
  <c r="Q12" i="278" s="1"/>
  <c r="R23" i="278"/>
  <c r="P10" i="278"/>
  <c r="O18" i="278"/>
  <c r="J30" i="278"/>
  <c r="J26" i="278"/>
  <c r="P20" i="278"/>
  <c r="C30" i="278"/>
  <c r="C31" i="278" s="1"/>
  <c r="U28" i="278"/>
  <c r="U29" i="278" s="1"/>
  <c r="P9" i="278"/>
  <c r="Q13" i="278"/>
  <c r="Q18" i="278" s="1"/>
  <c r="P6" i="278"/>
  <c r="P7" i="278"/>
  <c r="M25" i="277"/>
  <c r="M27" i="277" s="1"/>
  <c r="M29" i="277" s="1"/>
  <c r="F20" i="277" s="1"/>
  <c r="C52" i="279" l="1"/>
  <c r="C56" i="279" s="1"/>
  <c r="C57" i="279" s="1"/>
  <c r="C59" i="279"/>
  <c r="C61" i="279" s="1"/>
  <c r="C62" i="279" s="1"/>
  <c r="H18" i="279"/>
  <c r="R24" i="278"/>
  <c r="Q24" i="278"/>
  <c r="P14" i="278"/>
  <c r="P15" i="278"/>
  <c r="P16" i="278"/>
  <c r="P13" i="278"/>
  <c r="O24" i="278"/>
  <c r="P18" i="278" s="1"/>
  <c r="AC13" i="272"/>
  <c r="AC21" i="272"/>
  <c r="AC22" i="272"/>
  <c r="F9" i="277"/>
  <c r="E9" i="277" s="1"/>
  <c r="F10" i="277"/>
  <c r="E10" i="277" s="1"/>
  <c r="F11" i="277"/>
  <c r="E11" i="277" s="1"/>
  <c r="F12" i="277"/>
  <c r="E12" i="277" s="1"/>
  <c r="F13" i="277"/>
  <c r="E13" i="277" s="1"/>
  <c r="F14" i="277"/>
  <c r="E14" i="277" s="1"/>
  <c r="F15" i="277"/>
  <c r="E15" i="277" s="1"/>
  <c r="F16" i="277"/>
  <c r="E16" i="277" s="1"/>
  <c r="F17" i="277"/>
  <c r="E17" i="277" s="1"/>
  <c r="F18" i="277"/>
  <c r="E18" i="277" s="1"/>
  <c r="F19" i="277"/>
  <c r="E19" i="277" s="1"/>
  <c r="G21" i="277"/>
  <c r="H21" i="277"/>
  <c r="I21" i="277"/>
  <c r="J21" i="277"/>
  <c r="D22" i="277"/>
  <c r="F25" i="277"/>
  <c r="E25" i="277" s="1"/>
  <c r="E20" i="277"/>
  <c r="F26" i="277"/>
  <c r="E26" i="277" s="1"/>
  <c r="F27" i="277"/>
  <c r="E27" i="277" s="1"/>
  <c r="F28" i="277"/>
  <c r="E28" i="277" s="1"/>
  <c r="F29" i="277"/>
  <c r="E29" i="277" s="1"/>
  <c r="F30" i="277"/>
  <c r="E30" i="277" s="1"/>
  <c r="F31" i="277"/>
  <c r="E31" i="277" s="1"/>
  <c r="F32" i="277"/>
  <c r="E32" i="277" s="1"/>
  <c r="F33" i="277"/>
  <c r="E33" i="277" s="1"/>
  <c r="F34" i="277"/>
  <c r="E34" i="277" s="1"/>
  <c r="F35" i="277"/>
  <c r="E35" i="277" s="1"/>
  <c r="F36" i="277"/>
  <c r="E36" i="277" s="1"/>
  <c r="F37" i="277"/>
  <c r="E37" i="277" s="1"/>
  <c r="F38" i="277"/>
  <c r="E38" i="277" s="1"/>
  <c r="F39" i="277"/>
  <c r="E39" i="277" s="1"/>
  <c r="F40" i="277"/>
  <c r="E40" i="277" s="1"/>
  <c r="F41" i="277"/>
  <c r="E41" i="277" s="1"/>
  <c r="F42" i="277"/>
  <c r="E42" i="277" s="1"/>
  <c r="F43" i="277"/>
  <c r="E43" i="277" s="1"/>
  <c r="F44" i="277"/>
  <c r="E44" i="277" s="1"/>
  <c r="F45" i="277"/>
  <c r="E45" i="277" s="1"/>
  <c r="F46" i="277"/>
  <c r="E46" i="277" s="1"/>
  <c r="F47" i="277"/>
  <c r="E47" i="277" s="1"/>
  <c r="F48" i="277"/>
  <c r="E48" i="277" s="1"/>
  <c r="F49" i="277"/>
  <c r="E49" i="277" s="1"/>
  <c r="F50" i="277"/>
  <c r="E50" i="277" s="1"/>
  <c r="F51" i="277"/>
  <c r="E51" i="277" s="1"/>
  <c r="F52" i="277"/>
  <c r="E52" i="277" s="1"/>
  <c r="F53" i="277"/>
  <c r="E53" i="277" s="1"/>
  <c r="F54" i="277"/>
  <c r="E54" i="277" s="1"/>
  <c r="F55" i="277"/>
  <c r="E55" i="277" s="1"/>
  <c r="F56" i="277"/>
  <c r="E56" i="277" s="1"/>
  <c r="F57" i="277"/>
  <c r="E57" i="277" s="1"/>
  <c r="F58" i="277"/>
  <c r="E58" i="277" s="1"/>
  <c r="F59" i="277"/>
  <c r="E59" i="277" s="1"/>
  <c r="F60" i="277"/>
  <c r="E60" i="277" s="1"/>
  <c r="F61" i="277"/>
  <c r="E61" i="277" s="1"/>
  <c r="F62" i="277"/>
  <c r="E62" i="277" s="1"/>
  <c r="F63" i="277"/>
  <c r="E63" i="277" s="1"/>
  <c r="F64" i="277"/>
  <c r="E64" i="277" s="1"/>
  <c r="F65" i="277"/>
  <c r="E65" i="277" s="1"/>
  <c r="F66" i="277"/>
  <c r="E66" i="277" s="1"/>
  <c r="F67" i="277"/>
  <c r="E67" i="277" s="1"/>
  <c r="F68" i="277"/>
  <c r="E68" i="277" s="1"/>
  <c r="F69" i="277"/>
  <c r="E69" i="277" s="1"/>
  <c r="F70" i="277"/>
  <c r="E70" i="277" s="1"/>
  <c r="F71" i="277"/>
  <c r="E71" i="277" s="1"/>
  <c r="F72" i="277"/>
  <c r="E72" i="277" s="1"/>
  <c r="F73" i="277"/>
  <c r="E73" i="277" s="1"/>
  <c r="F74" i="277"/>
  <c r="E74" i="277" s="1"/>
  <c r="F75" i="277"/>
  <c r="E75" i="277" s="1"/>
  <c r="F76" i="277"/>
  <c r="E76" i="277" s="1"/>
  <c r="F77" i="277"/>
  <c r="E77" i="277" s="1"/>
  <c r="F78" i="277"/>
  <c r="E78" i="277" s="1"/>
  <c r="F79" i="277"/>
  <c r="E79" i="277" s="1"/>
  <c r="F80" i="277"/>
  <c r="E80" i="277" s="1"/>
  <c r="F81" i="277"/>
  <c r="E81" i="277" s="1"/>
  <c r="F82" i="277"/>
  <c r="E82" i="277" s="1"/>
  <c r="F83" i="277"/>
  <c r="E83" i="277" s="1"/>
  <c r="F84" i="277"/>
  <c r="E84" i="277" s="1"/>
  <c r="G85" i="277"/>
  <c r="E85" i="277" s="1"/>
  <c r="G86" i="277"/>
  <c r="E86" i="277" s="1"/>
  <c r="G87" i="277"/>
  <c r="G88" i="277"/>
  <c r="E88" i="277" s="1"/>
  <c r="G89" i="277"/>
  <c r="E89" i="277" s="1"/>
  <c r="G90" i="277"/>
  <c r="E90" i="277" s="1"/>
  <c r="G91" i="277"/>
  <c r="E91" i="277" s="1"/>
  <c r="F92" i="277"/>
  <c r="E92" i="277" s="1"/>
  <c r="G93" i="277"/>
  <c r="E93" i="277" s="1"/>
  <c r="G94" i="277"/>
  <c r="E94" i="277" s="1"/>
  <c r="F95" i="277"/>
  <c r="E95" i="277" s="1"/>
  <c r="F96" i="277"/>
  <c r="E96" i="277" s="1"/>
  <c r="F97" i="277"/>
  <c r="E97" i="277" s="1"/>
  <c r="G99" i="277"/>
  <c r="H99" i="277"/>
  <c r="I99" i="277"/>
  <c r="J99" i="277"/>
  <c r="J100" i="277" s="1"/>
  <c r="H36" i="279" s="1"/>
  <c r="D100" i="277"/>
  <c r="M97" i="277" s="1"/>
  <c r="E103" i="277"/>
  <c r="E104" i="277" s="1"/>
  <c r="D104" i="277"/>
  <c r="F104" i="277"/>
  <c r="D40" i="279" s="1"/>
  <c r="G104" i="277"/>
  <c r="E40" i="279" s="1"/>
  <c r="E53" i="279" s="1"/>
  <c r="E54" i="279" s="1"/>
  <c r="E55" i="279" s="1"/>
  <c r="H104" i="277"/>
  <c r="F40" i="279" s="1"/>
  <c r="F53" i="279" s="1"/>
  <c r="F54" i="279" s="1"/>
  <c r="F55" i="279" s="1"/>
  <c r="I104" i="277"/>
  <c r="G40" i="279" s="1"/>
  <c r="G53" i="279" s="1"/>
  <c r="G54" i="279" s="1"/>
  <c r="G55" i="279" s="1"/>
  <c r="J104" i="277"/>
  <c r="H40" i="279" s="1"/>
  <c r="H53" i="279" s="1"/>
  <c r="F106" i="277"/>
  <c r="E107" i="277"/>
  <c r="E108" i="277" s="1"/>
  <c r="D108" i="277"/>
  <c r="F108" i="277"/>
  <c r="G108" i="277"/>
  <c r="H108" i="277"/>
  <c r="I108" i="277"/>
  <c r="J108" i="277"/>
  <c r="F109" i="277"/>
  <c r="F110" i="277"/>
  <c r="E111" i="277"/>
  <c r="E112" i="277" s="1"/>
  <c r="D112" i="277"/>
  <c r="F112" i="277"/>
  <c r="G112" i="277"/>
  <c r="H112" i="277"/>
  <c r="I112" i="277"/>
  <c r="J112" i="277"/>
  <c r="F115" i="277"/>
  <c r="F117" i="277" s="1"/>
  <c r="G115" i="277"/>
  <c r="G117" i="277" s="1"/>
  <c r="H115" i="277"/>
  <c r="H117" i="277" s="1"/>
  <c r="F120" i="277"/>
  <c r="E121" i="277"/>
  <c r="D122" i="277"/>
  <c r="G122" i="277"/>
  <c r="E41" i="279" s="1"/>
  <c r="H122" i="277"/>
  <c r="F41" i="279" s="1"/>
  <c r="I122" i="277"/>
  <c r="G41" i="279" s="1"/>
  <c r="J122" i="277"/>
  <c r="H41" i="279" s="1"/>
  <c r="D126" i="277"/>
  <c r="E126" i="277"/>
  <c r="F126" i="277"/>
  <c r="D42" i="279" s="1"/>
  <c r="G126" i="277"/>
  <c r="E42" i="279" s="1"/>
  <c r="E60" i="279" s="1"/>
  <c r="H126" i="277"/>
  <c r="F42" i="279" s="1"/>
  <c r="F60" i="279" s="1"/>
  <c r="I126" i="277"/>
  <c r="G42" i="279" s="1"/>
  <c r="G60" i="279" s="1"/>
  <c r="J126" i="277"/>
  <c r="H42" i="279" s="1"/>
  <c r="H60" i="279" s="1"/>
  <c r="F129" i="277"/>
  <c r="E129" i="277" s="1"/>
  <c r="F130" i="277"/>
  <c r="E130" i="277" s="1"/>
  <c r="D132" i="277"/>
  <c r="E135" i="277"/>
  <c r="E136" i="277" s="1"/>
  <c r="D136" i="277"/>
  <c r="F136" i="277"/>
  <c r="D44" i="279" s="1"/>
  <c r="G136" i="277"/>
  <c r="E44" i="279" s="1"/>
  <c r="H136" i="277"/>
  <c r="F44" i="279" s="1"/>
  <c r="I136" i="277"/>
  <c r="G44" i="279" s="1"/>
  <c r="J136" i="277"/>
  <c r="H44" i="279" s="1"/>
  <c r="E139" i="277"/>
  <c r="E140" i="277" s="1"/>
  <c r="D140" i="277"/>
  <c r="F140" i="277"/>
  <c r="G140" i="277"/>
  <c r="H140" i="277"/>
  <c r="I140" i="277"/>
  <c r="G43" i="279" s="1"/>
  <c r="J140" i="277"/>
  <c r="F143" i="277"/>
  <c r="E145" i="277"/>
  <c r="D146" i="277"/>
  <c r="G146" i="277"/>
  <c r="H146" i="277"/>
  <c r="I146" i="277"/>
  <c r="J146" i="277"/>
  <c r="E149" i="277"/>
  <c r="E150" i="277"/>
  <c r="D151" i="277"/>
  <c r="F151" i="277"/>
  <c r="D39" i="279" s="1"/>
  <c r="G151" i="277"/>
  <c r="E39" i="279" s="1"/>
  <c r="H151" i="277"/>
  <c r="F39" i="279" s="1"/>
  <c r="I151" i="277"/>
  <c r="G39" i="279" s="1"/>
  <c r="J151" i="277"/>
  <c r="H39" i="279" s="1"/>
  <c r="E154" i="277"/>
  <c r="E155" i="277" s="1"/>
  <c r="D155" i="277"/>
  <c r="F155" i="277"/>
  <c r="G155" i="277"/>
  <c r="H155" i="277"/>
  <c r="I155" i="277"/>
  <c r="J155" i="277"/>
  <c r="F158" i="277"/>
  <c r="E158" i="277" s="1"/>
  <c r="F159" i="277"/>
  <c r="E162" i="277"/>
  <c r="D163" i="277"/>
  <c r="G163" i="277"/>
  <c r="H163" i="277"/>
  <c r="I163" i="277"/>
  <c r="J163" i="277"/>
  <c r="F166" i="277"/>
  <c r="E169" i="277"/>
  <c r="D170" i="277"/>
  <c r="G170" i="277"/>
  <c r="H170" i="277"/>
  <c r="I170" i="277"/>
  <c r="J170" i="277"/>
  <c r="F173" i="277"/>
  <c r="E178" i="277"/>
  <c r="D179" i="277"/>
  <c r="G179" i="277"/>
  <c r="H179" i="277"/>
  <c r="I179" i="277"/>
  <c r="J179" i="277"/>
  <c r="F182" i="277"/>
  <c r="E183" i="277"/>
  <c r="D184" i="277"/>
  <c r="G184" i="277"/>
  <c r="H184" i="277"/>
  <c r="I184" i="277"/>
  <c r="J184" i="277"/>
  <c r="F187" i="277"/>
  <c r="F188" i="277"/>
  <c r="E188" i="277" s="1"/>
  <c r="E191" i="277"/>
  <c r="D192" i="277"/>
  <c r="G192" i="277"/>
  <c r="E34" i="279" s="1"/>
  <c r="H192" i="277"/>
  <c r="F34" i="279" s="1"/>
  <c r="I192" i="277"/>
  <c r="G34" i="279" s="1"/>
  <c r="J192" i="277"/>
  <c r="H34" i="279" s="1"/>
  <c r="D196" i="277"/>
  <c r="AC23" i="272" l="1"/>
  <c r="AC36" i="272" s="1"/>
  <c r="E37" i="279"/>
  <c r="E43" i="279"/>
  <c r="I39" i="279"/>
  <c r="G37" i="279"/>
  <c r="H54" i="279"/>
  <c r="H55" i="279" s="1"/>
  <c r="H37" i="279"/>
  <c r="H43" i="279"/>
  <c r="F37" i="279"/>
  <c r="G38" i="279"/>
  <c r="F43" i="279"/>
  <c r="H38" i="279"/>
  <c r="F38" i="279"/>
  <c r="I44" i="279"/>
  <c r="D53" i="279"/>
  <c r="D54" i="279" s="1"/>
  <c r="D55" i="279" s="1"/>
  <c r="I40" i="279"/>
  <c r="E38" i="279"/>
  <c r="D60" i="279"/>
  <c r="I42" i="279"/>
  <c r="M105" i="277"/>
  <c r="M98" i="277"/>
  <c r="M100" i="277" s="1"/>
  <c r="M102" i="277" s="1"/>
  <c r="C49" i="278"/>
  <c r="O26" i="278"/>
  <c r="O28" i="278" s="1"/>
  <c r="N34" i="278"/>
  <c r="N35" i="278" s="1"/>
  <c r="Q35" i="278" s="1"/>
  <c r="P5" i="278"/>
  <c r="P12" i="278"/>
  <c r="P23" i="278"/>
  <c r="F170" i="277"/>
  <c r="E166" i="277"/>
  <c r="E170" i="277" s="1"/>
  <c r="F184" i="277"/>
  <c r="E182" i="277"/>
  <c r="E184" i="277" s="1"/>
  <c r="G22" i="277"/>
  <c r="E35" i="279" s="1"/>
  <c r="D37" i="279"/>
  <c r="E115" i="277"/>
  <c r="E117" i="277" s="1"/>
  <c r="G100" i="277"/>
  <c r="E36" i="279" s="1"/>
  <c r="E87" i="277"/>
  <c r="D199" i="277"/>
  <c r="F192" i="277"/>
  <c r="D34" i="279" s="1"/>
  <c r="I34" i="279" s="1"/>
  <c r="E187" i="277"/>
  <c r="E192" i="277" s="1"/>
  <c r="E146" i="277"/>
  <c r="J22" i="277"/>
  <c r="H35" i="279" s="1"/>
  <c r="H50" i="279" s="1"/>
  <c r="F179" i="277"/>
  <c r="E173" i="277"/>
  <c r="H22" i="277"/>
  <c r="F35" i="279" s="1"/>
  <c r="F122" i="277"/>
  <c r="D41" i="279" s="1"/>
  <c r="I41" i="279" s="1"/>
  <c r="E120" i="277"/>
  <c r="E122" i="277" s="1"/>
  <c r="F163" i="277"/>
  <c r="E159" i="277"/>
  <c r="E163" i="277" s="1"/>
  <c r="F146" i="277"/>
  <c r="D43" i="279" s="1"/>
  <c r="E143" i="277"/>
  <c r="I22" i="277"/>
  <c r="G35" i="279" s="1"/>
  <c r="E151" i="277"/>
  <c r="E99" i="277"/>
  <c r="E21" i="277"/>
  <c r="E22" i="277" s="1"/>
  <c r="E179" i="277"/>
  <c r="I100" i="277"/>
  <c r="G36" i="279" s="1"/>
  <c r="H100" i="277"/>
  <c r="F36" i="279" s="1"/>
  <c r="D198" i="277"/>
  <c r="F22" i="277"/>
  <c r="D35" i="279" s="1"/>
  <c r="H20" i="275"/>
  <c r="H22" i="275" s="1"/>
  <c r="H131" i="277" s="1"/>
  <c r="H132" i="277" s="1"/>
  <c r="F45" i="279" s="1"/>
  <c r="I20" i="275"/>
  <c r="I22" i="275" s="1"/>
  <c r="I131" i="277" s="1"/>
  <c r="I132" i="277" s="1"/>
  <c r="G45" i="279" s="1"/>
  <c r="J20" i="275"/>
  <c r="G22" i="275"/>
  <c r="G131" i="277" s="1"/>
  <c r="G132" i="277" s="1"/>
  <c r="E45" i="279" s="1"/>
  <c r="J22" i="275"/>
  <c r="J131" i="277" s="1"/>
  <c r="J132" i="277" s="1"/>
  <c r="H45" i="279" s="1"/>
  <c r="F22" i="275"/>
  <c r="F131" i="277" s="1"/>
  <c r="F132" i="277" s="1"/>
  <c r="D45" i="279" s="1"/>
  <c r="J18" i="275"/>
  <c r="J7" i="275" s="1"/>
  <c r="I18" i="275"/>
  <c r="H18" i="275"/>
  <c r="H7" i="275" s="1"/>
  <c r="G18" i="275"/>
  <c r="G7" i="275" s="1"/>
  <c r="F18" i="275"/>
  <c r="F7" i="275" s="1"/>
  <c r="J13" i="275"/>
  <c r="J14" i="275" s="1"/>
  <c r="I13" i="275"/>
  <c r="I14" i="275" s="1"/>
  <c r="H13" i="275"/>
  <c r="H14" i="275" s="1"/>
  <c r="G13" i="275"/>
  <c r="F13" i="275"/>
  <c r="F14" i="275" s="1"/>
  <c r="G12" i="275"/>
  <c r="G14" i="275" s="1"/>
  <c r="I7" i="275"/>
  <c r="C6" i="275"/>
  <c r="J5" i="275" s="1"/>
  <c r="F5" i="275"/>
  <c r="F3" i="275"/>
  <c r="G3" i="275" s="1"/>
  <c r="C25" i="274"/>
  <c r="C24" i="274"/>
  <c r="C23" i="274"/>
  <c r="C17" i="274"/>
  <c r="C16" i="274"/>
  <c r="C15" i="274"/>
  <c r="C14" i="274"/>
  <c r="C10" i="274"/>
  <c r="C9" i="274"/>
  <c r="C8" i="274"/>
  <c r="C17" i="273"/>
  <c r="C21" i="273"/>
  <c r="C27" i="273"/>
  <c r="C28" i="273"/>
  <c r="C45" i="273"/>
  <c r="C46" i="273" s="1"/>
  <c r="C54" i="273"/>
  <c r="X25" i="272"/>
  <c r="X30" i="272" s="1"/>
  <c r="X19" i="272"/>
  <c r="X18" i="272"/>
  <c r="X15" i="272"/>
  <c r="X14" i="272"/>
  <c r="W30" i="272"/>
  <c r="V30" i="272"/>
  <c r="U30" i="272"/>
  <c r="E27" i="272"/>
  <c r="E26" i="272"/>
  <c r="Y26" i="272" s="1"/>
  <c r="E25" i="272"/>
  <c r="Y25" i="272" s="1"/>
  <c r="Z23" i="272"/>
  <c r="Y23" i="272"/>
  <c r="P23" i="272"/>
  <c r="O23" i="272"/>
  <c r="N23" i="272"/>
  <c r="M23" i="272"/>
  <c r="L23" i="272"/>
  <c r="K23" i="272"/>
  <c r="K36" i="272" s="1"/>
  <c r="J23" i="272"/>
  <c r="J36" i="272" s="1"/>
  <c r="H23" i="272"/>
  <c r="H36" i="272" s="1"/>
  <c r="G23" i="272"/>
  <c r="D23" i="272"/>
  <c r="C23" i="272"/>
  <c r="AB22" i="272"/>
  <c r="AD22" i="272" s="1"/>
  <c r="E22" i="272"/>
  <c r="AB21" i="272"/>
  <c r="AA21" i="272"/>
  <c r="AA23" i="272" s="1"/>
  <c r="E21" i="272"/>
  <c r="AD20" i="272"/>
  <c r="E20" i="272"/>
  <c r="W19" i="272"/>
  <c r="V19" i="272"/>
  <c r="T19" i="272"/>
  <c r="S19" i="272"/>
  <c r="E19" i="272"/>
  <c r="W18" i="272"/>
  <c r="V18" i="272"/>
  <c r="T18" i="272"/>
  <c r="S18" i="272"/>
  <c r="E18" i="272"/>
  <c r="AD17" i="272"/>
  <c r="AD16" i="272"/>
  <c r="W15" i="272"/>
  <c r="V15" i="272"/>
  <c r="T15" i="272"/>
  <c r="S15" i="272"/>
  <c r="R15" i="272"/>
  <c r="Q15" i="272"/>
  <c r="E15" i="272"/>
  <c r="W14" i="272"/>
  <c r="V14" i="272"/>
  <c r="T14" i="272"/>
  <c r="S14" i="272"/>
  <c r="R14" i="272"/>
  <c r="Q14" i="272"/>
  <c r="E14" i="272"/>
  <c r="AB13" i="272"/>
  <c r="AA13" i="272"/>
  <c r="Z13" i="272"/>
  <c r="Z36" i="272" s="1"/>
  <c r="Y13" i="272"/>
  <c r="Y36" i="272" s="1"/>
  <c r="X13" i="272"/>
  <c r="W13" i="272"/>
  <c r="V13" i="272"/>
  <c r="E13" i="272"/>
  <c r="D13" i="272"/>
  <c r="T12" i="272"/>
  <c r="K12" i="272"/>
  <c r="O12" i="272" s="1"/>
  <c r="G12" i="272"/>
  <c r="T11" i="272"/>
  <c r="K11" i="272"/>
  <c r="O11" i="272" s="1"/>
  <c r="G11" i="272"/>
  <c r="P11" i="272" s="1"/>
  <c r="Q11" i="272" s="1"/>
  <c r="R11" i="272" s="1"/>
  <c r="AH10" i="272"/>
  <c r="T10" i="272"/>
  <c r="S10" i="272"/>
  <c r="S13" i="272" s="1"/>
  <c r="R10" i="272"/>
  <c r="K10" i="272"/>
  <c r="G10" i="272"/>
  <c r="C10" i="272"/>
  <c r="C13" i="272" s="1"/>
  <c r="AH9" i="272"/>
  <c r="T9" i="272"/>
  <c r="O9" i="272"/>
  <c r="P9" i="272" s="1"/>
  <c r="Q9" i="272" s="1"/>
  <c r="R9" i="272" s="1"/>
  <c r="K9" i="272"/>
  <c r="N9" i="272" s="1"/>
  <c r="G9" i="272"/>
  <c r="AH8" i="272"/>
  <c r="T8" i="272"/>
  <c r="K8" i="272"/>
  <c r="M8" i="272" s="1"/>
  <c r="G8" i="272"/>
  <c r="O8" i="272" s="1"/>
  <c r="T7" i="272"/>
  <c r="K7" i="272"/>
  <c r="L7" i="272" s="1"/>
  <c r="G7" i="272"/>
  <c r="M7" i="272" s="1"/>
  <c r="J28" i="271"/>
  <c r="J32" i="271" s="1"/>
  <c r="J25" i="271"/>
  <c r="J23" i="271"/>
  <c r="J19" i="271"/>
  <c r="J18" i="271"/>
  <c r="J16" i="271"/>
  <c r="J15" i="271"/>
  <c r="G21" i="264"/>
  <c r="F21" i="264"/>
  <c r="E21" i="264"/>
  <c r="D21" i="264"/>
  <c r="C21" i="264"/>
  <c r="B21" i="264"/>
  <c r="I16" i="271"/>
  <c r="I29" i="271"/>
  <c r="I28" i="271"/>
  <c r="I32" i="271" s="1"/>
  <c r="I25" i="271"/>
  <c r="I15" i="271"/>
  <c r="Z31" i="271"/>
  <c r="G31" i="271" s="1"/>
  <c r="Z30" i="271"/>
  <c r="G30" i="271" s="1"/>
  <c r="Z29" i="271"/>
  <c r="G29" i="271" s="1"/>
  <c r="Z28" i="271"/>
  <c r="Z32" i="271" s="1"/>
  <c r="Z26" i="271"/>
  <c r="G26" i="271" s="1"/>
  <c r="D26" i="271" s="1"/>
  <c r="Z25" i="271"/>
  <c r="Z27" i="271" s="1"/>
  <c r="Z24" i="271"/>
  <c r="G24" i="271" s="1"/>
  <c r="Z23" i="271"/>
  <c r="G23" i="271" s="1"/>
  <c r="Z22" i="271"/>
  <c r="G22" i="271" s="1"/>
  <c r="Z20" i="271"/>
  <c r="G20" i="271" s="1"/>
  <c r="Z19" i="271"/>
  <c r="G19" i="271" s="1"/>
  <c r="Z18" i="271"/>
  <c r="G18" i="271" s="1"/>
  <c r="Z17" i="271"/>
  <c r="G17" i="271" s="1"/>
  <c r="Z16" i="271"/>
  <c r="G16" i="271" s="1"/>
  <c r="Z15" i="271"/>
  <c r="Z14" i="271"/>
  <c r="G14" i="271" s="1"/>
  <c r="H32" i="271"/>
  <c r="Y31" i="271"/>
  <c r="X31" i="271"/>
  <c r="W31" i="271"/>
  <c r="V31" i="271"/>
  <c r="U31" i="271"/>
  <c r="T31" i="271"/>
  <c r="S31" i="271"/>
  <c r="R31" i="271"/>
  <c r="Q31" i="271"/>
  <c r="P31" i="271"/>
  <c r="O31" i="271"/>
  <c r="N31" i="271"/>
  <c r="M31" i="271"/>
  <c r="L31" i="271"/>
  <c r="K31" i="271"/>
  <c r="C31" i="271"/>
  <c r="Y30" i="271"/>
  <c r="X30" i="271"/>
  <c r="W30" i="271"/>
  <c r="V30" i="271"/>
  <c r="AA30" i="271" s="1"/>
  <c r="U30" i="271"/>
  <c r="T30" i="271"/>
  <c r="S30" i="271"/>
  <c r="R30" i="271"/>
  <c r="Q30" i="271"/>
  <c r="P30" i="271"/>
  <c r="O30" i="271"/>
  <c r="N30" i="271"/>
  <c r="M30" i="271"/>
  <c r="L30" i="271"/>
  <c r="K30" i="271"/>
  <c r="C30" i="271"/>
  <c r="Y29" i="271"/>
  <c r="X29" i="271"/>
  <c r="V29" i="271"/>
  <c r="U29" i="271"/>
  <c r="T29" i="271"/>
  <c r="S29" i="271"/>
  <c r="R29" i="271"/>
  <c r="Q29" i="271"/>
  <c r="P29" i="271"/>
  <c r="O29" i="271"/>
  <c r="N29" i="271"/>
  <c r="M29" i="271"/>
  <c r="L29" i="271"/>
  <c r="K29" i="271"/>
  <c r="C29" i="271"/>
  <c r="Y28" i="271"/>
  <c r="Y32" i="271" s="1"/>
  <c r="X28" i="271"/>
  <c r="W28" i="271"/>
  <c r="V28" i="271"/>
  <c r="U28" i="271"/>
  <c r="T28" i="271"/>
  <c r="S28" i="271"/>
  <c r="R28" i="271"/>
  <c r="R32" i="271" s="1"/>
  <c r="Q28" i="271"/>
  <c r="Q32" i="271" s="1"/>
  <c r="P28" i="271"/>
  <c r="O28" i="271"/>
  <c r="N28" i="271"/>
  <c r="M28" i="271"/>
  <c r="L28" i="271"/>
  <c r="K28" i="271"/>
  <c r="C28" i="271"/>
  <c r="H27" i="271"/>
  <c r="Y26" i="271"/>
  <c r="X26" i="271"/>
  <c r="W26" i="271"/>
  <c r="V26" i="271"/>
  <c r="T26" i="271"/>
  <c r="S26" i="271"/>
  <c r="R26" i="271"/>
  <c r="Q26" i="271"/>
  <c r="P26" i="271"/>
  <c r="O26" i="271"/>
  <c r="N26" i="271"/>
  <c r="M26" i="271"/>
  <c r="L26" i="271"/>
  <c r="K26" i="271"/>
  <c r="C26" i="271"/>
  <c r="Y25" i="271"/>
  <c r="X25" i="271"/>
  <c r="W25" i="271"/>
  <c r="V25" i="271"/>
  <c r="U25" i="271"/>
  <c r="T25" i="271"/>
  <c r="S25" i="271"/>
  <c r="R25" i="271"/>
  <c r="Q25" i="271"/>
  <c r="P25" i="271"/>
  <c r="O25" i="271"/>
  <c r="N25" i="271"/>
  <c r="M25" i="271"/>
  <c r="L25" i="271"/>
  <c r="K25" i="271"/>
  <c r="I27" i="271"/>
  <c r="C25" i="271"/>
  <c r="Y24" i="271"/>
  <c r="X24" i="271"/>
  <c r="W24" i="271"/>
  <c r="V24" i="271"/>
  <c r="U24" i="271"/>
  <c r="T24" i="271"/>
  <c r="S24" i="271"/>
  <c r="R24" i="271"/>
  <c r="Q24" i="271"/>
  <c r="P24" i="271"/>
  <c r="O24" i="271"/>
  <c r="N24" i="271"/>
  <c r="M24" i="271"/>
  <c r="L24" i="271"/>
  <c r="K24" i="271"/>
  <c r="C24" i="271"/>
  <c r="Y23" i="271"/>
  <c r="X23" i="271"/>
  <c r="W23" i="271"/>
  <c r="V23" i="271"/>
  <c r="U23" i="271"/>
  <c r="AA23" i="271" s="1"/>
  <c r="T23" i="271"/>
  <c r="S23" i="271"/>
  <c r="R23" i="271"/>
  <c r="Q23" i="271"/>
  <c r="P23" i="271"/>
  <c r="O23" i="271"/>
  <c r="N23" i="271"/>
  <c r="M23" i="271"/>
  <c r="L23" i="271"/>
  <c r="K23" i="271"/>
  <c r="C23" i="271"/>
  <c r="Y22" i="271"/>
  <c r="X22" i="271"/>
  <c r="W22" i="271"/>
  <c r="W27" i="271" s="1"/>
  <c r="V22" i="271"/>
  <c r="V27" i="271" s="1"/>
  <c r="U22" i="271"/>
  <c r="T22" i="271"/>
  <c r="S22" i="271"/>
  <c r="R22" i="271"/>
  <c r="Q22" i="271"/>
  <c r="P22" i="271"/>
  <c r="O22" i="271"/>
  <c r="O27" i="271" s="1"/>
  <c r="N22" i="271"/>
  <c r="N27" i="271" s="1"/>
  <c r="M22" i="271"/>
  <c r="L22" i="271"/>
  <c r="K22" i="271"/>
  <c r="C22" i="271"/>
  <c r="H21" i="271"/>
  <c r="Y20" i="271"/>
  <c r="X20" i="271"/>
  <c r="W20" i="271"/>
  <c r="V20" i="271"/>
  <c r="U20" i="271"/>
  <c r="T20" i="271"/>
  <c r="S20" i="271"/>
  <c r="R20" i="271"/>
  <c r="Q20" i="271"/>
  <c r="P20" i="271"/>
  <c r="O20" i="271"/>
  <c r="N20" i="271"/>
  <c r="M20" i="271"/>
  <c r="L20" i="271"/>
  <c r="K20" i="271"/>
  <c r="C20" i="271"/>
  <c r="Y19" i="271"/>
  <c r="X19" i="271"/>
  <c r="W19" i="271"/>
  <c r="V19" i="271"/>
  <c r="U19" i="271"/>
  <c r="T19" i="271"/>
  <c r="S19" i="271"/>
  <c r="R19" i="271"/>
  <c r="Q19" i="271"/>
  <c r="P19" i="271"/>
  <c r="O19" i="271"/>
  <c r="N19" i="271"/>
  <c r="M19" i="271"/>
  <c r="L19" i="271"/>
  <c r="K19" i="271"/>
  <c r="C19" i="271"/>
  <c r="Y18" i="271"/>
  <c r="X18" i="271"/>
  <c r="W18" i="271"/>
  <c r="V18" i="271"/>
  <c r="U18" i="271"/>
  <c r="T18" i="271"/>
  <c r="S18" i="271"/>
  <c r="R18" i="271"/>
  <c r="Q18" i="271"/>
  <c r="P18" i="271"/>
  <c r="O18" i="271"/>
  <c r="N18" i="271"/>
  <c r="M18" i="271"/>
  <c r="L18" i="271"/>
  <c r="K18" i="271"/>
  <c r="C18" i="271"/>
  <c r="Y17" i="271"/>
  <c r="X17" i="271"/>
  <c r="W17" i="271"/>
  <c r="V17" i="271"/>
  <c r="U17" i="271"/>
  <c r="T17" i="271"/>
  <c r="S17" i="271"/>
  <c r="R17" i="271"/>
  <c r="Q17" i="271"/>
  <c r="P17" i="271"/>
  <c r="O17" i="271"/>
  <c r="N17" i="271"/>
  <c r="M17" i="271"/>
  <c r="L17" i="271"/>
  <c r="K17" i="271"/>
  <c r="C17" i="271"/>
  <c r="Y16" i="271"/>
  <c r="X16" i="271"/>
  <c r="W16" i="271"/>
  <c r="V16" i="271"/>
  <c r="U16" i="271"/>
  <c r="AA16" i="271" s="1"/>
  <c r="T16" i="271"/>
  <c r="S16" i="271"/>
  <c r="R16" i="271"/>
  <c r="Q16" i="271"/>
  <c r="P16" i="271"/>
  <c r="O16" i="271"/>
  <c r="N16" i="271"/>
  <c r="M16" i="271"/>
  <c r="L16" i="271"/>
  <c r="K16" i="271"/>
  <c r="C16" i="271"/>
  <c r="Y15" i="271"/>
  <c r="X15" i="271"/>
  <c r="W15" i="271"/>
  <c r="V15" i="271"/>
  <c r="U15" i="271"/>
  <c r="AA15" i="271" s="1"/>
  <c r="T15" i="271"/>
  <c r="T21" i="271" s="1"/>
  <c r="S15" i="271"/>
  <c r="S21" i="271" s="1"/>
  <c r="R15" i="271"/>
  <c r="Q15" i="271"/>
  <c r="P15" i="271"/>
  <c r="O15" i="271"/>
  <c r="N15" i="271"/>
  <c r="M15" i="271"/>
  <c r="L15" i="271"/>
  <c r="L21" i="271" s="1"/>
  <c r="K15" i="271"/>
  <c r="K21" i="271" s="1"/>
  <c r="I21" i="271"/>
  <c r="C15" i="271"/>
  <c r="Y14" i="271"/>
  <c r="X14" i="271"/>
  <c r="W14" i="271"/>
  <c r="V14" i="271"/>
  <c r="U14" i="271"/>
  <c r="AA14" i="271" s="1"/>
  <c r="T14" i="271"/>
  <c r="S14" i="271"/>
  <c r="R14" i="271"/>
  <c r="Q14" i="271"/>
  <c r="P14" i="271"/>
  <c r="O14" i="271"/>
  <c r="N14" i="271"/>
  <c r="M14" i="271"/>
  <c r="L14" i="271"/>
  <c r="K14" i="271"/>
  <c r="C14" i="271"/>
  <c r="D8" i="271"/>
  <c r="F8" i="271" s="1"/>
  <c r="C8" i="271"/>
  <c r="D6" i="271"/>
  <c r="C6" i="271"/>
  <c r="AA6" i="271" s="1"/>
  <c r="D5" i="271"/>
  <c r="AA5" i="271" s="1"/>
  <c r="R51" i="270"/>
  <c r="Q50" i="270"/>
  <c r="P50" i="270"/>
  <c r="O50" i="270"/>
  <c r="N50" i="270"/>
  <c r="M50" i="270"/>
  <c r="L50" i="270"/>
  <c r="K50" i="270"/>
  <c r="J50" i="270"/>
  <c r="I50" i="270"/>
  <c r="H50" i="270"/>
  <c r="G50" i="270"/>
  <c r="F50" i="270"/>
  <c r="E50" i="270"/>
  <c r="D50" i="270"/>
  <c r="C50" i="270"/>
  <c r="B50" i="270"/>
  <c r="R50" i="270" s="1"/>
  <c r="R49" i="270"/>
  <c r="Q48" i="270"/>
  <c r="P48" i="270"/>
  <c r="O48" i="270"/>
  <c r="N48" i="270"/>
  <c r="M48" i="270"/>
  <c r="L48" i="270"/>
  <c r="K48" i="270"/>
  <c r="J48" i="270"/>
  <c r="I48" i="270"/>
  <c r="H48" i="270"/>
  <c r="G48" i="270"/>
  <c r="F48" i="270"/>
  <c r="E48" i="270"/>
  <c r="D48" i="270"/>
  <c r="C48" i="270"/>
  <c r="B48" i="270"/>
  <c r="R48" i="270" s="1"/>
  <c r="R47" i="270"/>
  <c r="Q47" i="270"/>
  <c r="Q46" i="270" s="1"/>
  <c r="K47" i="270"/>
  <c r="P46" i="270"/>
  <c r="O46" i="270"/>
  <c r="N46" i="270"/>
  <c r="M46" i="270"/>
  <c r="M52" i="270" s="1"/>
  <c r="L46" i="270"/>
  <c r="K46" i="270"/>
  <c r="J46" i="270"/>
  <c r="I46" i="270"/>
  <c r="H46" i="270"/>
  <c r="G46" i="270"/>
  <c r="F46" i="270"/>
  <c r="E46" i="270"/>
  <c r="E52" i="270" s="1"/>
  <c r="D46" i="270"/>
  <c r="C46" i="270"/>
  <c r="B46" i="270"/>
  <c r="R46" i="270" s="1"/>
  <c r="R45" i="270"/>
  <c r="R44" i="270"/>
  <c r="Q43" i="270"/>
  <c r="P43" i="270"/>
  <c r="O43" i="270"/>
  <c r="N43" i="270"/>
  <c r="M43" i="270"/>
  <c r="L43" i="270"/>
  <c r="K43" i="270"/>
  <c r="J43" i="270"/>
  <c r="I43" i="270"/>
  <c r="H43" i="270"/>
  <c r="G43" i="270"/>
  <c r="F43" i="270"/>
  <c r="E43" i="270"/>
  <c r="D43" i="270"/>
  <c r="C43" i="270"/>
  <c r="B43" i="270"/>
  <c r="R43" i="270" s="1"/>
  <c r="Q42" i="270"/>
  <c r="Q34" i="270" s="1"/>
  <c r="R41" i="270"/>
  <c r="R40" i="270"/>
  <c r="R39" i="270"/>
  <c r="O38" i="270"/>
  <c r="R38" i="270" s="1"/>
  <c r="R37" i="270"/>
  <c r="R36" i="270"/>
  <c r="R35" i="270"/>
  <c r="P34" i="270"/>
  <c r="N34" i="270"/>
  <c r="M34" i="270"/>
  <c r="L34" i="270"/>
  <c r="K34" i="270"/>
  <c r="J34" i="270"/>
  <c r="I34" i="270"/>
  <c r="H34" i="270"/>
  <c r="G34" i="270"/>
  <c r="F34" i="270"/>
  <c r="E34" i="270"/>
  <c r="D34" i="270"/>
  <c r="C34" i="270"/>
  <c r="B34" i="270"/>
  <c r="R33" i="270"/>
  <c r="R32" i="270"/>
  <c r="Q31" i="270"/>
  <c r="P31" i="270"/>
  <c r="O31" i="270"/>
  <c r="N31" i="270"/>
  <c r="M31" i="270"/>
  <c r="L31" i="270"/>
  <c r="K31" i="270"/>
  <c r="J31" i="270"/>
  <c r="I31" i="270"/>
  <c r="H31" i="270"/>
  <c r="G31" i="270"/>
  <c r="F31" i="270"/>
  <c r="E31" i="270"/>
  <c r="D31" i="270"/>
  <c r="C31" i="270"/>
  <c r="B31" i="270"/>
  <c r="R31" i="270" s="1"/>
  <c r="R30" i="270"/>
  <c r="R29" i="270"/>
  <c r="R28" i="270"/>
  <c r="R27" i="270"/>
  <c r="O27" i="270"/>
  <c r="O26" i="270" s="1"/>
  <c r="Q26" i="270"/>
  <c r="P26" i="270"/>
  <c r="N26" i="270"/>
  <c r="M26" i="270"/>
  <c r="L26" i="270"/>
  <c r="K26" i="270"/>
  <c r="J26" i="270"/>
  <c r="I26" i="270"/>
  <c r="H26" i="270"/>
  <c r="G26" i="270"/>
  <c r="F26" i="270"/>
  <c r="E26" i="270"/>
  <c r="D26" i="270"/>
  <c r="C26" i="270"/>
  <c r="B26" i="270"/>
  <c r="R26" i="270" s="1"/>
  <c r="R25" i="270"/>
  <c r="Q24" i="270"/>
  <c r="P24" i="270"/>
  <c r="O24" i="270"/>
  <c r="N24" i="270"/>
  <c r="M24" i="270"/>
  <c r="L24" i="270"/>
  <c r="K24" i="270"/>
  <c r="J24" i="270"/>
  <c r="I24" i="270"/>
  <c r="H24" i="270"/>
  <c r="G24" i="270"/>
  <c r="F24" i="270"/>
  <c r="E24" i="270"/>
  <c r="D24" i="270"/>
  <c r="C24" i="270"/>
  <c r="B24" i="270"/>
  <c r="R24" i="270" s="1"/>
  <c r="R23" i="270"/>
  <c r="Q22" i="270"/>
  <c r="P22" i="270"/>
  <c r="O22" i="270"/>
  <c r="N22" i="270"/>
  <c r="M22" i="270"/>
  <c r="L22" i="270"/>
  <c r="K22" i="270"/>
  <c r="J22" i="270"/>
  <c r="I22" i="270"/>
  <c r="H22" i="270"/>
  <c r="G22" i="270"/>
  <c r="F22" i="270"/>
  <c r="E22" i="270"/>
  <c r="D22" i="270"/>
  <c r="C22" i="270"/>
  <c r="B22" i="270"/>
  <c r="R22" i="270" s="1"/>
  <c r="R21" i="270"/>
  <c r="Q20" i="270"/>
  <c r="P20" i="270"/>
  <c r="O20" i="270"/>
  <c r="N20" i="270"/>
  <c r="M20" i="270"/>
  <c r="L20" i="270"/>
  <c r="K20" i="270"/>
  <c r="J20" i="270"/>
  <c r="I20" i="270"/>
  <c r="H20" i="270"/>
  <c r="G20" i="270"/>
  <c r="F20" i="270"/>
  <c r="E20" i="270"/>
  <c r="D20" i="270"/>
  <c r="C20" i="270"/>
  <c r="B20" i="270"/>
  <c r="R20" i="270" s="1"/>
  <c r="R19" i="270"/>
  <c r="R18" i="270"/>
  <c r="R17" i="270"/>
  <c r="R16" i="270"/>
  <c r="R15" i="270"/>
  <c r="R14" i="270"/>
  <c r="R13" i="270"/>
  <c r="Q12" i="270"/>
  <c r="P12" i="270"/>
  <c r="O12" i="270"/>
  <c r="N12" i="270"/>
  <c r="M12" i="270"/>
  <c r="L12" i="270"/>
  <c r="K12" i="270"/>
  <c r="J12" i="270"/>
  <c r="I12" i="270"/>
  <c r="H12" i="270"/>
  <c r="G12" i="270"/>
  <c r="F12" i="270"/>
  <c r="E12" i="270"/>
  <c r="D12" i="270"/>
  <c r="C12" i="270"/>
  <c r="B12" i="270"/>
  <c r="R12" i="270" s="1"/>
  <c r="R11" i="270"/>
  <c r="Q10" i="270"/>
  <c r="P10" i="270"/>
  <c r="O10" i="270"/>
  <c r="N10" i="270"/>
  <c r="M10" i="270"/>
  <c r="L10" i="270"/>
  <c r="K10" i="270"/>
  <c r="J10" i="270"/>
  <c r="I10" i="270"/>
  <c r="H10" i="270"/>
  <c r="G10" i="270"/>
  <c r="F10" i="270"/>
  <c r="E10" i="270"/>
  <c r="D10" i="270"/>
  <c r="C10" i="270"/>
  <c r="B10" i="270"/>
  <c r="R10" i="270" s="1"/>
  <c r="R9" i="270"/>
  <c r="Q8" i="270"/>
  <c r="P8" i="270"/>
  <c r="O8" i="270"/>
  <c r="N8" i="270"/>
  <c r="M8" i="270"/>
  <c r="L8" i="270"/>
  <c r="K8" i="270"/>
  <c r="J8" i="270"/>
  <c r="I8" i="270"/>
  <c r="H8" i="270"/>
  <c r="G8" i="270"/>
  <c r="F8" i="270"/>
  <c r="E8" i="270"/>
  <c r="D8" i="270"/>
  <c r="C8" i="270"/>
  <c r="B8" i="270"/>
  <c r="U6" i="270"/>
  <c r="T6" i="270"/>
  <c r="S6" i="270"/>
  <c r="Q6" i="270"/>
  <c r="P6" i="270"/>
  <c r="O6" i="270"/>
  <c r="N6" i="270"/>
  <c r="M6" i="270"/>
  <c r="L6" i="270"/>
  <c r="K6" i="270"/>
  <c r="J6" i="270"/>
  <c r="I6" i="270"/>
  <c r="H6" i="270"/>
  <c r="G6" i="270"/>
  <c r="F6" i="270"/>
  <c r="E6" i="270"/>
  <c r="D6" i="270"/>
  <c r="C6" i="270"/>
  <c r="B6" i="270"/>
  <c r="Q5" i="270"/>
  <c r="Q4" i="270" s="1"/>
  <c r="P4" i="270"/>
  <c r="O4" i="270"/>
  <c r="N4" i="270"/>
  <c r="N52" i="270" s="1"/>
  <c r="M4" i="270"/>
  <c r="L4" i="270"/>
  <c r="K4" i="270"/>
  <c r="J4" i="270"/>
  <c r="I4" i="270"/>
  <c r="H4" i="270"/>
  <c r="G4" i="270"/>
  <c r="F4" i="270"/>
  <c r="F52" i="270" s="1"/>
  <c r="E4" i="270"/>
  <c r="D4" i="270"/>
  <c r="C4" i="270"/>
  <c r="B4" i="270"/>
  <c r="Q2" i="270"/>
  <c r="P2" i="270"/>
  <c r="P52" i="270" s="1"/>
  <c r="O2" i="270"/>
  <c r="N2" i="270"/>
  <c r="M2" i="270"/>
  <c r="L2" i="270"/>
  <c r="L52" i="270" s="1"/>
  <c r="K2" i="270"/>
  <c r="K52" i="270" s="1"/>
  <c r="J2" i="270"/>
  <c r="J52" i="270" s="1"/>
  <c r="I2" i="270"/>
  <c r="I52" i="270" s="1"/>
  <c r="H2" i="270"/>
  <c r="H52" i="270" s="1"/>
  <c r="G2" i="270"/>
  <c r="G52" i="270" s="1"/>
  <c r="F2" i="270"/>
  <c r="E2" i="270"/>
  <c r="D2" i="270"/>
  <c r="D52" i="270" s="1"/>
  <c r="C2" i="270"/>
  <c r="C52" i="270" s="1"/>
  <c r="B2" i="270"/>
  <c r="B52" i="270" s="1"/>
  <c r="Q11" i="252"/>
  <c r="Q13" i="252"/>
  <c r="Q14" i="252"/>
  <c r="Q15" i="252"/>
  <c r="Q16" i="252"/>
  <c r="Q17" i="252"/>
  <c r="Q18" i="252"/>
  <c r="Q19" i="252"/>
  <c r="Q21" i="252"/>
  <c r="Q23" i="252"/>
  <c r="Q25" i="252"/>
  <c r="Q28" i="252"/>
  <c r="Q29" i="252"/>
  <c r="Q30" i="252"/>
  <c r="Q32" i="252"/>
  <c r="Q33" i="252"/>
  <c r="Q35" i="252"/>
  <c r="Q36" i="252"/>
  <c r="Q37" i="252"/>
  <c r="Q39" i="252"/>
  <c r="Q40" i="252"/>
  <c r="Q41" i="252"/>
  <c r="Q42" i="252"/>
  <c r="Q44" i="252"/>
  <c r="Q45" i="252"/>
  <c r="Q49" i="252"/>
  <c r="Q51" i="252"/>
  <c r="Q9" i="252"/>
  <c r="G3" i="269"/>
  <c r="K3" i="269" s="1"/>
  <c r="H3" i="269"/>
  <c r="I3" i="269"/>
  <c r="F4" i="269"/>
  <c r="I4" i="269" s="1"/>
  <c r="H4" i="269"/>
  <c r="G5" i="269"/>
  <c r="K5" i="269" s="1"/>
  <c r="H5" i="269"/>
  <c r="I5" i="269"/>
  <c r="K6" i="269"/>
  <c r="K7" i="269"/>
  <c r="K8" i="269"/>
  <c r="K9" i="269"/>
  <c r="K10" i="269"/>
  <c r="D10" i="268"/>
  <c r="D20" i="268"/>
  <c r="C20" i="268"/>
  <c r="B20" i="268"/>
  <c r="D16" i="268"/>
  <c r="C16" i="268"/>
  <c r="B16" i="268"/>
  <c r="C10" i="268"/>
  <c r="B10" i="268"/>
  <c r="B21" i="268" s="1"/>
  <c r="E4" i="268"/>
  <c r="AA36" i="272" l="1"/>
  <c r="U19" i="272"/>
  <c r="U18" i="272"/>
  <c r="AD18" i="272" s="1"/>
  <c r="AA27" i="272"/>
  <c r="AB27" i="272"/>
  <c r="I196" i="277" s="1"/>
  <c r="AC27" i="272"/>
  <c r="Z27" i="272"/>
  <c r="AB23" i="272"/>
  <c r="AB36" i="272" s="1"/>
  <c r="W23" i="272"/>
  <c r="F196" i="277"/>
  <c r="D46" i="279" s="1"/>
  <c r="U15" i="272"/>
  <c r="AD15" i="272" s="1"/>
  <c r="I43" i="279"/>
  <c r="D38" i="279"/>
  <c r="I38" i="279" s="1"/>
  <c r="I35" i="279"/>
  <c r="I37" i="279"/>
  <c r="H196" i="277"/>
  <c r="F46" i="279" s="1"/>
  <c r="F28" i="279" s="1"/>
  <c r="E131" i="277"/>
  <c r="E132" i="277" s="1"/>
  <c r="M104" i="277"/>
  <c r="M106" i="277" s="1"/>
  <c r="F98" i="277"/>
  <c r="F50" i="279"/>
  <c r="G50" i="279"/>
  <c r="E50" i="279"/>
  <c r="H59" i="279"/>
  <c r="H61" i="279" s="1"/>
  <c r="H52" i="279"/>
  <c r="H56" i="279" s="1"/>
  <c r="I45" i="279"/>
  <c r="C21" i="268"/>
  <c r="P24" i="278"/>
  <c r="C50" i="278"/>
  <c r="H50" i="278" s="1"/>
  <c r="H49" i="278"/>
  <c r="D200" i="277"/>
  <c r="G25" i="271"/>
  <c r="G28" i="271"/>
  <c r="D30" i="271"/>
  <c r="Z21" i="271"/>
  <c r="G15" i="271"/>
  <c r="E23" i="272"/>
  <c r="N8" i="272"/>
  <c r="T23" i="272"/>
  <c r="AD21" i="272"/>
  <c r="R23" i="272"/>
  <c r="S23" i="272"/>
  <c r="S36" i="272" s="1"/>
  <c r="V23" i="272"/>
  <c r="V36" i="272" s="1"/>
  <c r="F8" i="275"/>
  <c r="H3" i="275"/>
  <c r="H6" i="275"/>
  <c r="G6" i="275"/>
  <c r="G5" i="275"/>
  <c r="G8" i="275" s="1"/>
  <c r="H5" i="275"/>
  <c r="H8" i="275" s="1"/>
  <c r="I5" i="275"/>
  <c r="C26" i="274"/>
  <c r="C28" i="274" s="1"/>
  <c r="C18" i="274"/>
  <c r="C11" i="274"/>
  <c r="C20" i="274" s="1"/>
  <c r="C48" i="273"/>
  <c r="G11" i="273"/>
  <c r="G12" i="273" s="1"/>
  <c r="AD19" i="272"/>
  <c r="X23" i="272"/>
  <c r="X36" i="272" s="1"/>
  <c r="W36" i="272"/>
  <c r="U10" i="272"/>
  <c r="AD10" i="272" s="1"/>
  <c r="U11" i="272"/>
  <c r="AD11" i="272" s="1"/>
  <c r="P8" i="272"/>
  <c r="Q8" i="272" s="1"/>
  <c r="R8" i="272" s="1"/>
  <c r="T13" i="272"/>
  <c r="U9" i="272"/>
  <c r="AD9" i="272" s="1"/>
  <c r="G13" i="272"/>
  <c r="G36" i="272" s="1"/>
  <c r="M13" i="272"/>
  <c r="M36" i="272" s="1"/>
  <c r="N7" i="272"/>
  <c r="L13" i="272"/>
  <c r="L36" i="272" s="1"/>
  <c r="Q23" i="272"/>
  <c r="U14" i="272"/>
  <c r="P12" i="272"/>
  <c r="Q12" i="272" s="1"/>
  <c r="R12" i="272" s="1"/>
  <c r="J27" i="271"/>
  <c r="Z33" i="271"/>
  <c r="P21" i="271"/>
  <c r="AA18" i="271"/>
  <c r="D14" i="271"/>
  <c r="E14" i="271" s="1"/>
  <c r="S33" i="271"/>
  <c r="I33" i="271"/>
  <c r="I35" i="271" s="1"/>
  <c r="Q21" i="271"/>
  <c r="Y21" i="271"/>
  <c r="D17" i="271"/>
  <c r="E17" i="271" s="1"/>
  <c r="AA19" i="271"/>
  <c r="AA20" i="271"/>
  <c r="L27" i="271"/>
  <c r="T27" i="271"/>
  <c r="T33" i="271" s="1"/>
  <c r="K27" i="271"/>
  <c r="S27" i="271"/>
  <c r="O32" i="271"/>
  <c r="O33" i="271" s="1"/>
  <c r="W32" i="271"/>
  <c r="AA29" i="271"/>
  <c r="O21" i="271"/>
  <c r="X21" i="271"/>
  <c r="J21" i="271"/>
  <c r="R21" i="271"/>
  <c r="V21" i="271"/>
  <c r="V33" i="271" s="1"/>
  <c r="M27" i="271"/>
  <c r="U27" i="271"/>
  <c r="E26" i="271"/>
  <c r="P32" i="271"/>
  <c r="P33" i="271" s="1"/>
  <c r="X32" i="271"/>
  <c r="X33" i="271" s="1"/>
  <c r="AA31" i="271"/>
  <c r="AA24" i="271"/>
  <c r="M21" i="271"/>
  <c r="U21" i="271"/>
  <c r="U33" i="271" s="1"/>
  <c r="P27" i="271"/>
  <c r="X27" i="271"/>
  <c r="AA25" i="271"/>
  <c r="K32" i="271"/>
  <c r="S32" i="271"/>
  <c r="D18" i="271"/>
  <c r="E18" i="271" s="1"/>
  <c r="D24" i="271"/>
  <c r="E24" i="271" s="1"/>
  <c r="AA8" i="271"/>
  <c r="H33" i="271"/>
  <c r="H35" i="271" s="1"/>
  <c r="Q27" i="271"/>
  <c r="Y27" i="271"/>
  <c r="AA26" i="271"/>
  <c r="L32" i="271"/>
  <c r="T32" i="271"/>
  <c r="W21" i="271"/>
  <c r="W33" i="271" s="1"/>
  <c r="R27" i="271"/>
  <c r="F28" i="271"/>
  <c r="AA28" i="271"/>
  <c r="AA32" i="271" s="1"/>
  <c r="C21" i="271"/>
  <c r="AA17" i="271"/>
  <c r="F22" i="271"/>
  <c r="C27" i="271"/>
  <c r="C33" i="271" s="1"/>
  <c r="N32" i="271"/>
  <c r="V32" i="271"/>
  <c r="G32" i="271"/>
  <c r="F20" i="271"/>
  <c r="D20" i="271"/>
  <c r="E20" i="271" s="1"/>
  <c r="F25" i="271"/>
  <c r="D25" i="271"/>
  <c r="E25" i="271" s="1"/>
  <c r="F14" i="271"/>
  <c r="F16" i="271"/>
  <c r="D16" i="271"/>
  <c r="E16" i="271" s="1"/>
  <c r="E30" i="271"/>
  <c r="F17" i="271"/>
  <c r="L33" i="271"/>
  <c r="Q33" i="271"/>
  <c r="Y33" i="271"/>
  <c r="F19" i="271"/>
  <c r="D19" i="271"/>
  <c r="E19" i="271" s="1"/>
  <c r="D28" i="271"/>
  <c r="AA21" i="271"/>
  <c r="R33" i="271"/>
  <c r="F29" i="271"/>
  <c r="D29" i="271"/>
  <c r="E29" i="271" s="1"/>
  <c r="D31" i="271"/>
  <c r="E31" i="271" s="1"/>
  <c r="U32" i="271"/>
  <c r="C32" i="271"/>
  <c r="K33" i="271"/>
  <c r="N21" i="271"/>
  <c r="N33" i="271" s="1"/>
  <c r="M32" i="271"/>
  <c r="F26" i="271"/>
  <c r="F30" i="271"/>
  <c r="AA22" i="271"/>
  <c r="Q52" i="270"/>
  <c r="R42" i="270"/>
  <c r="O34" i="270"/>
  <c r="O52" i="270" s="1"/>
  <c r="R52" i="270" s="1"/>
  <c r="R54" i="270" s="1"/>
  <c r="G4" i="269"/>
  <c r="K4" i="269" s="1"/>
  <c r="D21" i="268"/>
  <c r="J196" i="277" l="1"/>
  <c r="H46" i="279" s="1"/>
  <c r="H28" i="279" s="1"/>
  <c r="T36" i="272"/>
  <c r="H198" i="277"/>
  <c r="H199" i="277"/>
  <c r="I198" i="277"/>
  <c r="G46" i="279"/>
  <c r="G28" i="279" s="1"/>
  <c r="J198" i="277"/>
  <c r="F52" i="279"/>
  <c r="F56" i="279" s="1"/>
  <c r="F59" i="279"/>
  <c r="F61" i="279" s="1"/>
  <c r="E98" i="277"/>
  <c r="E100" i="277" s="1"/>
  <c r="F100" i="277"/>
  <c r="G52" i="279"/>
  <c r="G56" i="279" s="1"/>
  <c r="G59" i="279"/>
  <c r="G61" i="279" s="1"/>
  <c r="E52" i="279"/>
  <c r="E56" i="279" s="1"/>
  <c r="E59" i="279"/>
  <c r="E61" i="279" s="1"/>
  <c r="G196" i="277"/>
  <c r="E195" i="277"/>
  <c r="I199" i="277"/>
  <c r="J199" i="277"/>
  <c r="I6" i="275"/>
  <c r="I8" i="275" s="1"/>
  <c r="I3" i="275"/>
  <c r="U8" i="272"/>
  <c r="AD8" i="272" s="1"/>
  <c r="O7" i="272"/>
  <c r="N13" i="272"/>
  <c r="N36" i="272" s="1"/>
  <c r="AD14" i="272"/>
  <c r="AD23" i="272" s="1"/>
  <c r="AD36" i="272" s="1"/>
  <c r="U23" i="272"/>
  <c r="U36" i="272" s="1"/>
  <c r="U12" i="272"/>
  <c r="AD12" i="272" s="1"/>
  <c r="J33" i="271"/>
  <c r="J36" i="271" s="1"/>
  <c r="M33" i="271"/>
  <c r="F24" i="271"/>
  <c r="F31" i="271"/>
  <c r="F32" i="271" s="1"/>
  <c r="F18" i="271"/>
  <c r="D32" i="271"/>
  <c r="D22" i="271"/>
  <c r="E22" i="271" s="1"/>
  <c r="AA27" i="271"/>
  <c r="AA33" i="271" s="1"/>
  <c r="F15" i="271"/>
  <c r="D15" i="271"/>
  <c r="G21" i="271"/>
  <c r="F23" i="271"/>
  <c r="F27" i="271" s="1"/>
  <c r="D23" i="271"/>
  <c r="E23" i="271" s="1"/>
  <c r="E28" i="271"/>
  <c r="E32" i="271" s="1"/>
  <c r="G27" i="271"/>
  <c r="R34" i="270"/>
  <c r="E13" i="265"/>
  <c r="E8" i="265"/>
  <c r="E15" i="265" s="1"/>
  <c r="I200" i="277" l="1"/>
  <c r="H200" i="277"/>
  <c r="J200" i="277"/>
  <c r="G198" i="277"/>
  <c r="E46" i="279"/>
  <c r="D36" i="279"/>
  <c r="D15" i="274" s="1"/>
  <c r="D16" i="274" s="1"/>
  <c r="D17" i="274" s="1"/>
  <c r="D19" i="274" s="1"/>
  <c r="F199" i="277"/>
  <c r="F198" i="277"/>
  <c r="E196" i="277"/>
  <c r="E198" i="277" s="1"/>
  <c r="G199" i="277"/>
  <c r="J6" i="275"/>
  <c r="J8" i="275" s="1"/>
  <c r="J3" i="275"/>
  <c r="O13" i="272"/>
  <c r="O36" i="272" s="1"/>
  <c r="P7" i="272"/>
  <c r="F21" i="271"/>
  <c r="F33" i="271" s="1"/>
  <c r="F35" i="271" s="1"/>
  <c r="E27" i="271"/>
  <c r="D27" i="271"/>
  <c r="G33" i="271"/>
  <c r="G35" i="271" s="1"/>
  <c r="D21" i="271"/>
  <c r="E15" i="271"/>
  <c r="E21" i="271" s="1"/>
  <c r="H137" i="263"/>
  <c r="G137" i="263"/>
  <c r="F137" i="263"/>
  <c r="E137" i="263"/>
  <c r="B19" i="264"/>
  <c r="C19" i="264"/>
  <c r="D19" i="264"/>
  <c r="E19" i="264"/>
  <c r="F19" i="264"/>
  <c r="G19" i="264"/>
  <c r="H19" i="264"/>
  <c r="H21" i="264"/>
  <c r="E20" i="263"/>
  <c r="F20" i="263"/>
  <c r="G20" i="263"/>
  <c r="H20" i="263"/>
  <c r="E96" i="263"/>
  <c r="F96" i="263"/>
  <c r="G96" i="263"/>
  <c r="H96" i="263"/>
  <c r="E100" i="263"/>
  <c r="F100" i="263"/>
  <c r="G100" i="263"/>
  <c r="H100" i="263"/>
  <c r="E104" i="263"/>
  <c r="F104" i="263"/>
  <c r="G104" i="263"/>
  <c r="H104" i="263"/>
  <c r="E109" i="263"/>
  <c r="F109" i="263"/>
  <c r="G109" i="263"/>
  <c r="H109" i="263"/>
  <c r="E113" i="263"/>
  <c r="F113" i="263"/>
  <c r="G113" i="263"/>
  <c r="H113" i="263"/>
  <c r="E118" i="263"/>
  <c r="F118" i="263"/>
  <c r="G118" i="263"/>
  <c r="H118" i="263"/>
  <c r="E122" i="263"/>
  <c r="F122" i="263"/>
  <c r="G122" i="263"/>
  <c r="H122" i="263"/>
  <c r="E126" i="263"/>
  <c r="F126" i="263"/>
  <c r="G126" i="263"/>
  <c r="H126" i="263"/>
  <c r="E130" i="263"/>
  <c r="F130" i="263"/>
  <c r="G130" i="263"/>
  <c r="H130" i="263"/>
  <c r="E135" i="263"/>
  <c r="F135" i="263"/>
  <c r="G135" i="263"/>
  <c r="H135" i="263"/>
  <c r="D16" i="262"/>
  <c r="C16" i="262"/>
  <c r="D8" i="262"/>
  <c r="D15" i="262"/>
  <c r="C15" i="262"/>
  <c r="D13" i="262"/>
  <c r="C13" i="262"/>
  <c r="D5" i="262"/>
  <c r="C5" i="262"/>
  <c r="D3" i="262"/>
  <c r="C3" i="262"/>
  <c r="G6" i="261"/>
  <c r="I5" i="261"/>
  <c r="K5" i="261" s="1"/>
  <c r="E14" i="261"/>
  <c r="E32" i="261" s="1"/>
  <c r="D14" i="261"/>
  <c r="J4" i="261" s="1"/>
  <c r="E25" i="261"/>
  <c r="D25" i="261"/>
  <c r="D32" i="261" s="1"/>
  <c r="H3" i="261"/>
  <c r="J3" i="261" s="1"/>
  <c r="H2" i="261"/>
  <c r="E23" i="254"/>
  <c r="C23" i="254"/>
  <c r="V23" i="254"/>
  <c r="W23" i="254"/>
  <c r="X23" i="254"/>
  <c r="Y23" i="254"/>
  <c r="Z23" i="254"/>
  <c r="AA23" i="254"/>
  <c r="AB23" i="254"/>
  <c r="U23" i="254"/>
  <c r="AB22" i="254"/>
  <c r="AC22" i="254" s="1"/>
  <c r="E22" i="254"/>
  <c r="C29" i="254"/>
  <c r="AC28" i="254"/>
  <c r="AB28" i="254"/>
  <c r="AA28" i="254"/>
  <c r="E28" i="254"/>
  <c r="C29" i="260"/>
  <c r="C17" i="260"/>
  <c r="AC16" i="254"/>
  <c r="AC17" i="254"/>
  <c r="AC20" i="254"/>
  <c r="D23" i="254"/>
  <c r="G23" i="254"/>
  <c r="H23" i="254"/>
  <c r="J23" i="254"/>
  <c r="K23" i="254"/>
  <c r="L23" i="254"/>
  <c r="M23" i="254"/>
  <c r="N23" i="254"/>
  <c r="O23" i="254"/>
  <c r="P23" i="254"/>
  <c r="E20" i="254"/>
  <c r="E21" i="254"/>
  <c r="AB21" i="254"/>
  <c r="AA21" i="254"/>
  <c r="E26" i="254"/>
  <c r="E27" i="254"/>
  <c r="E36" i="260"/>
  <c r="F36" i="260"/>
  <c r="G36" i="260"/>
  <c r="H36" i="260"/>
  <c r="D36" i="260"/>
  <c r="E33" i="260"/>
  <c r="F33" i="260"/>
  <c r="G33" i="260"/>
  <c r="H33" i="260"/>
  <c r="D33" i="260"/>
  <c r="E32" i="260"/>
  <c r="F32" i="260"/>
  <c r="G32" i="260"/>
  <c r="H32" i="260"/>
  <c r="D32" i="260"/>
  <c r="I8" i="264" l="1"/>
  <c r="I9" i="264"/>
  <c r="I17" i="264"/>
  <c r="I7" i="264"/>
  <c r="I10" i="264"/>
  <c r="I11" i="264"/>
  <c r="I12" i="264"/>
  <c r="I16" i="264"/>
  <c r="I13" i="264"/>
  <c r="I14" i="264"/>
  <c r="I15" i="264"/>
  <c r="E199" i="277"/>
  <c r="E200" i="277" s="1"/>
  <c r="G200" i="277"/>
  <c r="E28" i="279"/>
  <c r="I46" i="279"/>
  <c r="F200" i="277"/>
  <c r="I36" i="279"/>
  <c r="D50" i="279"/>
  <c r="D28" i="279"/>
  <c r="Q7" i="272"/>
  <c r="P13" i="272"/>
  <c r="P36" i="272" s="1"/>
  <c r="E33" i="271"/>
  <c r="D33" i="271"/>
  <c r="D36" i="271" s="1"/>
  <c r="H4" i="261"/>
  <c r="H6" i="261" s="1"/>
  <c r="K3" i="261"/>
  <c r="I2" i="261"/>
  <c r="J2" i="261"/>
  <c r="J6" i="261" s="1"/>
  <c r="AC21" i="254"/>
  <c r="AC23" i="254" s="1"/>
  <c r="Q9" i="259"/>
  <c r="Q10" i="259"/>
  <c r="Q11" i="259"/>
  <c r="J25" i="253"/>
  <c r="N16" i="259"/>
  <c r="G21" i="248"/>
  <c r="F21" i="248"/>
  <c r="E21" i="248"/>
  <c r="D21" i="248"/>
  <c r="C21" i="248"/>
  <c r="B21" i="248"/>
  <c r="I19" i="264" l="1"/>
  <c r="I28" i="279"/>
  <c r="D27" i="279"/>
  <c r="E27" i="279" s="1"/>
  <c r="F27" i="279" s="1"/>
  <c r="G27" i="279" s="1"/>
  <c r="H27" i="279" s="1"/>
  <c r="D52" i="279"/>
  <c r="D56" i="279" s="1"/>
  <c r="D57" i="279" s="1"/>
  <c r="E57" i="279" s="1"/>
  <c r="F57" i="279" s="1"/>
  <c r="G57" i="279" s="1"/>
  <c r="H57" i="279" s="1"/>
  <c r="D59" i="279"/>
  <c r="D61" i="279" s="1"/>
  <c r="D62" i="279" s="1"/>
  <c r="E62" i="279" s="1"/>
  <c r="F62" i="279" s="1"/>
  <c r="G62" i="279" s="1"/>
  <c r="H62" i="279" s="1"/>
  <c r="R7" i="272"/>
  <c r="Q13" i="272"/>
  <c r="Q36" i="272" s="1"/>
  <c r="D35" i="271"/>
  <c r="I4" i="261"/>
  <c r="I6" i="261" s="1"/>
  <c r="K4" i="261"/>
  <c r="K2" i="261"/>
  <c r="I86" i="258"/>
  <c r="H86" i="258"/>
  <c r="G86" i="258"/>
  <c r="G88" i="258"/>
  <c r="E35" i="260" s="1"/>
  <c r="E34" i="260"/>
  <c r="F34" i="260"/>
  <c r="G34" i="260"/>
  <c r="H34" i="260"/>
  <c r="G35" i="260"/>
  <c r="H35" i="260"/>
  <c r="E96" i="258"/>
  <c r="F17" i="250"/>
  <c r="J30" i="259"/>
  <c r="X25" i="254"/>
  <c r="X29" i="254" s="1"/>
  <c r="X15" i="254"/>
  <c r="X14" i="254"/>
  <c r="W19" i="254"/>
  <c r="W18" i="254"/>
  <c r="W15" i="254"/>
  <c r="W14" i="254"/>
  <c r="V15" i="254"/>
  <c r="V14" i="254"/>
  <c r="V18" i="254"/>
  <c r="V19" i="254"/>
  <c r="X19" i="254"/>
  <c r="X18" i="254"/>
  <c r="E17" i="260"/>
  <c r="F17" i="260"/>
  <c r="G17" i="260"/>
  <c r="H17" i="260"/>
  <c r="D17" i="260"/>
  <c r="C28" i="260"/>
  <c r="G62" i="255"/>
  <c r="O20" i="259"/>
  <c r="N20" i="259"/>
  <c r="N19" i="259"/>
  <c r="N18" i="259"/>
  <c r="N6" i="259"/>
  <c r="M20" i="259"/>
  <c r="M16" i="259"/>
  <c r="M14" i="259"/>
  <c r="O14" i="259" s="1"/>
  <c r="M10" i="259"/>
  <c r="M9" i="259"/>
  <c r="O9" i="259" s="1"/>
  <c r="C40" i="260" s="1"/>
  <c r="M7" i="259"/>
  <c r="M6" i="259"/>
  <c r="O6" i="259" s="1"/>
  <c r="C34" i="260" s="1"/>
  <c r="L19" i="259"/>
  <c r="L16" i="259"/>
  <c r="C30" i="260"/>
  <c r="G60" i="255"/>
  <c r="G54" i="255"/>
  <c r="C45" i="260"/>
  <c r="C41" i="260"/>
  <c r="C39" i="260"/>
  <c r="C33" i="260"/>
  <c r="C31" i="260"/>
  <c r="I31" i="260" s="1"/>
  <c r="AB13" i="254"/>
  <c r="AB25" i="254"/>
  <c r="AB26" i="254"/>
  <c r="AB27" i="254"/>
  <c r="G41" i="260"/>
  <c r="G59" i="260" s="1"/>
  <c r="G43" i="260"/>
  <c r="D38" i="260"/>
  <c r="I25" i="260"/>
  <c r="C24" i="260"/>
  <c r="I24" i="260" s="1"/>
  <c r="C23" i="260"/>
  <c r="I23" i="260" s="1"/>
  <c r="I22" i="260"/>
  <c r="C21" i="260"/>
  <c r="I20" i="260"/>
  <c r="J25" i="259"/>
  <c r="J22" i="259"/>
  <c r="O22" i="259" s="1"/>
  <c r="Q22" i="259" s="1"/>
  <c r="J21" i="259"/>
  <c r="J20" i="259"/>
  <c r="J19" i="259"/>
  <c r="J16" i="259"/>
  <c r="J15" i="259"/>
  <c r="J14" i="259"/>
  <c r="J13" i="259"/>
  <c r="J11" i="259"/>
  <c r="J10" i="259"/>
  <c r="J9" i="259"/>
  <c r="J8" i="259"/>
  <c r="J7" i="259"/>
  <c r="J6" i="259"/>
  <c r="J5" i="259"/>
  <c r="O5" i="259" s="1"/>
  <c r="I22" i="259"/>
  <c r="I21" i="259"/>
  <c r="I20" i="259"/>
  <c r="I19" i="259"/>
  <c r="I16" i="259"/>
  <c r="R16" i="259" s="1"/>
  <c r="I15" i="259"/>
  <c r="I14" i="259"/>
  <c r="I28" i="259" s="1"/>
  <c r="I13" i="259"/>
  <c r="I11" i="259"/>
  <c r="I10" i="259"/>
  <c r="I9" i="259"/>
  <c r="I8" i="259"/>
  <c r="Q8" i="259" s="1"/>
  <c r="I7" i="259"/>
  <c r="Q7" i="259" s="1"/>
  <c r="I6" i="259"/>
  <c r="I5" i="259"/>
  <c r="O35" i="259"/>
  <c r="N32" i="259"/>
  <c r="N30" i="259"/>
  <c r="N29" i="259"/>
  <c r="N28" i="259"/>
  <c r="C28" i="259"/>
  <c r="N27" i="259"/>
  <c r="N33" i="259" s="1"/>
  <c r="E27" i="259"/>
  <c r="D27" i="259"/>
  <c r="D28" i="259" s="1"/>
  <c r="N26" i="259"/>
  <c r="G23" i="259"/>
  <c r="D23" i="259"/>
  <c r="G22" i="259"/>
  <c r="F22" i="259"/>
  <c r="E22" i="259"/>
  <c r="C22" i="259"/>
  <c r="O21" i="259"/>
  <c r="G21" i="259"/>
  <c r="H21" i="259" s="1"/>
  <c r="F21" i="259"/>
  <c r="E21" i="259"/>
  <c r="C21" i="259"/>
  <c r="K20" i="259"/>
  <c r="K23" i="259" s="1"/>
  <c r="K24" i="259" s="1"/>
  <c r="C32" i="260"/>
  <c r="H20" i="259"/>
  <c r="G20" i="259"/>
  <c r="R20" i="259" s="1"/>
  <c r="F20" i="259"/>
  <c r="E20" i="259"/>
  <c r="C20" i="259"/>
  <c r="N23" i="259"/>
  <c r="M23" i="259"/>
  <c r="O19" i="259"/>
  <c r="H19" i="259"/>
  <c r="G19" i="259"/>
  <c r="F19" i="259"/>
  <c r="F23" i="259" s="1"/>
  <c r="E19" i="259"/>
  <c r="E23" i="259" s="1"/>
  <c r="C19" i="259"/>
  <c r="C23" i="259" s="1"/>
  <c r="K18" i="259"/>
  <c r="D18" i="259"/>
  <c r="R17" i="259"/>
  <c r="O17" i="259"/>
  <c r="Q17" i="259" s="1"/>
  <c r="H17" i="259"/>
  <c r="G17" i="259"/>
  <c r="F17" i="259"/>
  <c r="E17" i="259"/>
  <c r="C17" i="259"/>
  <c r="L18" i="259"/>
  <c r="G16" i="259"/>
  <c r="H16" i="259" s="1"/>
  <c r="F16" i="259"/>
  <c r="E16" i="259"/>
  <c r="C16" i="259"/>
  <c r="J18" i="259"/>
  <c r="G15" i="259"/>
  <c r="H15" i="259" s="1"/>
  <c r="F15" i="259"/>
  <c r="E15" i="259"/>
  <c r="E18" i="259" s="1"/>
  <c r="C15" i="259"/>
  <c r="M18" i="259"/>
  <c r="H14" i="259"/>
  <c r="G14" i="259"/>
  <c r="F14" i="259"/>
  <c r="E14" i="259"/>
  <c r="C14" i="259"/>
  <c r="R13" i="259"/>
  <c r="O13" i="259"/>
  <c r="H13" i="259"/>
  <c r="G13" i="259"/>
  <c r="G18" i="259" s="1"/>
  <c r="F13" i="259"/>
  <c r="F18" i="259" s="1"/>
  <c r="E13" i="259"/>
  <c r="C13" i="259"/>
  <c r="C18" i="259" s="1"/>
  <c r="L12" i="259"/>
  <c r="K12" i="259"/>
  <c r="C12" i="259"/>
  <c r="O11" i="259"/>
  <c r="H11" i="259"/>
  <c r="G11" i="259"/>
  <c r="F11" i="259"/>
  <c r="E11" i="259"/>
  <c r="H10" i="259"/>
  <c r="G10" i="259"/>
  <c r="F10" i="259"/>
  <c r="E10" i="259"/>
  <c r="C10" i="259"/>
  <c r="R9" i="259"/>
  <c r="H9" i="259"/>
  <c r="G9" i="259"/>
  <c r="F9" i="259"/>
  <c r="O8" i="259"/>
  <c r="G8" i="259"/>
  <c r="H8" i="259" s="1"/>
  <c r="F8" i="259"/>
  <c r="E8" i="259"/>
  <c r="E12" i="259" s="1"/>
  <c r="C8" i="259"/>
  <c r="H7" i="259"/>
  <c r="G7" i="259"/>
  <c r="F7" i="259"/>
  <c r="E7" i="259"/>
  <c r="D7" i="259"/>
  <c r="D12" i="259" s="1"/>
  <c r="D24" i="259" s="1"/>
  <c r="C7" i="259"/>
  <c r="N12" i="259"/>
  <c r="J12" i="259"/>
  <c r="G6" i="259"/>
  <c r="G12" i="259" s="1"/>
  <c r="F6" i="259"/>
  <c r="F12" i="259" s="1"/>
  <c r="E6" i="259"/>
  <c r="C6" i="259"/>
  <c r="K5" i="259"/>
  <c r="H5" i="259"/>
  <c r="G5" i="259"/>
  <c r="R5" i="259" s="1"/>
  <c r="F5" i="259"/>
  <c r="E5" i="259"/>
  <c r="C5" i="259"/>
  <c r="M35" i="258"/>
  <c r="H30" i="258"/>
  <c r="I30" i="258"/>
  <c r="J30" i="258"/>
  <c r="J31" i="258" s="1"/>
  <c r="G30" i="258"/>
  <c r="H87" i="258"/>
  <c r="I87" i="258"/>
  <c r="J87" i="258"/>
  <c r="J88" i="258" s="1"/>
  <c r="G87" i="258"/>
  <c r="H31" i="258"/>
  <c r="I31" i="258"/>
  <c r="H88" i="258"/>
  <c r="F35" i="260" s="1"/>
  <c r="I88" i="258"/>
  <c r="F30" i="258"/>
  <c r="F87" i="258"/>
  <c r="H120" i="258"/>
  <c r="H121" i="258" s="1"/>
  <c r="F44" i="260" s="1"/>
  <c r="I120" i="258"/>
  <c r="J120" i="258"/>
  <c r="M33" i="258"/>
  <c r="F9" i="258"/>
  <c r="F10" i="258"/>
  <c r="E10" i="258" s="1"/>
  <c r="D11" i="258"/>
  <c r="G11" i="258"/>
  <c r="H11" i="258"/>
  <c r="I11" i="258"/>
  <c r="J11" i="258"/>
  <c r="F12" i="258"/>
  <c r="F13" i="258"/>
  <c r="F14" i="258"/>
  <c r="E14" i="258" s="1"/>
  <c r="F15" i="258"/>
  <c r="E15" i="258" s="1"/>
  <c r="F16" i="258"/>
  <c r="E16" i="258" s="1"/>
  <c r="F17" i="258"/>
  <c r="E17" i="258" s="1"/>
  <c r="E18" i="258"/>
  <c r="F18" i="258"/>
  <c r="F19" i="258"/>
  <c r="E19" i="258" s="1"/>
  <c r="F20" i="258"/>
  <c r="E20" i="258" s="1"/>
  <c r="F21" i="258"/>
  <c r="E21" i="258" s="1"/>
  <c r="F22" i="258"/>
  <c r="E22" i="258" s="1"/>
  <c r="F23" i="258"/>
  <c r="E23" i="258" s="1"/>
  <c r="F24" i="258"/>
  <c r="E24" i="258" s="1"/>
  <c r="F25" i="258"/>
  <c r="E25" i="258" s="1"/>
  <c r="F26" i="258"/>
  <c r="E26" i="258" s="1"/>
  <c r="F27" i="258"/>
  <c r="E27" i="258" s="1"/>
  <c r="F28" i="258"/>
  <c r="E28" i="258" s="1"/>
  <c r="G31" i="258"/>
  <c r="D31" i="258"/>
  <c r="F32" i="258"/>
  <c r="F33" i="258"/>
  <c r="F34" i="258"/>
  <c r="F35" i="258"/>
  <c r="E35" i="258" s="1"/>
  <c r="F36" i="258"/>
  <c r="E36" i="258" s="1"/>
  <c r="F37" i="258"/>
  <c r="E37" i="258" s="1"/>
  <c r="E38" i="258"/>
  <c r="F38" i="258"/>
  <c r="F39" i="258"/>
  <c r="E39" i="258" s="1"/>
  <c r="F40" i="258"/>
  <c r="E40" i="258" s="1"/>
  <c r="F41" i="258"/>
  <c r="E41" i="258" s="1"/>
  <c r="F42" i="258"/>
  <c r="E42" i="258" s="1"/>
  <c r="F43" i="258"/>
  <c r="E43" i="258" s="1"/>
  <c r="F44" i="258"/>
  <c r="E44" i="258" s="1"/>
  <c r="F45" i="258"/>
  <c r="E45" i="258" s="1"/>
  <c r="F46" i="258"/>
  <c r="E46" i="258" s="1"/>
  <c r="F47" i="258"/>
  <c r="E47" i="258" s="1"/>
  <c r="F48" i="258"/>
  <c r="E48" i="258" s="1"/>
  <c r="F49" i="258"/>
  <c r="E49" i="258" s="1"/>
  <c r="F50" i="258"/>
  <c r="E50" i="258" s="1"/>
  <c r="F51" i="258"/>
  <c r="E51" i="258" s="1"/>
  <c r="F52" i="258"/>
  <c r="E52" i="258" s="1"/>
  <c r="F53" i="258"/>
  <c r="E53" i="258" s="1"/>
  <c r="F54" i="258"/>
  <c r="E54" i="258" s="1"/>
  <c r="F55" i="258"/>
  <c r="E55" i="258" s="1"/>
  <c r="F56" i="258"/>
  <c r="E56" i="258" s="1"/>
  <c r="F57" i="258"/>
  <c r="E57" i="258" s="1"/>
  <c r="F58" i="258"/>
  <c r="E58" i="258" s="1"/>
  <c r="F59" i="258"/>
  <c r="E59" i="258" s="1"/>
  <c r="F60" i="258"/>
  <c r="E60" i="258" s="1"/>
  <c r="F61" i="258"/>
  <c r="E61" i="258" s="1"/>
  <c r="F62" i="258"/>
  <c r="E62" i="258" s="1"/>
  <c r="F63" i="258"/>
  <c r="E63" i="258" s="1"/>
  <c r="F64" i="258"/>
  <c r="E64" i="258" s="1"/>
  <c r="F65" i="258"/>
  <c r="E65" i="258" s="1"/>
  <c r="F66" i="258"/>
  <c r="E66" i="258" s="1"/>
  <c r="F67" i="258"/>
  <c r="E67" i="258" s="1"/>
  <c r="F68" i="258"/>
  <c r="E68" i="258" s="1"/>
  <c r="F69" i="258"/>
  <c r="E69" i="258" s="1"/>
  <c r="F70" i="258"/>
  <c r="E70" i="258" s="1"/>
  <c r="F71" i="258"/>
  <c r="E71" i="258" s="1"/>
  <c r="F72" i="258"/>
  <c r="E72" i="258" s="1"/>
  <c r="F73" i="258"/>
  <c r="E73" i="258" s="1"/>
  <c r="F74" i="258"/>
  <c r="E74" i="258" s="1"/>
  <c r="F75" i="258"/>
  <c r="E75" i="258" s="1"/>
  <c r="F76" i="258"/>
  <c r="E76" i="258" s="1"/>
  <c r="F77" i="258"/>
  <c r="E77" i="258" s="1"/>
  <c r="F78" i="258"/>
  <c r="E78" i="258" s="1"/>
  <c r="F79" i="258"/>
  <c r="E79" i="258" s="1"/>
  <c r="F80" i="258"/>
  <c r="E80" i="258" s="1"/>
  <c r="F81" i="258"/>
  <c r="E81" i="258" s="1"/>
  <c r="F82" i="258"/>
  <c r="E82" i="258" s="1"/>
  <c r="F83" i="258"/>
  <c r="E83" i="258" s="1"/>
  <c r="F84" i="258"/>
  <c r="E84" i="258" s="1"/>
  <c r="F85" i="258"/>
  <c r="E85" i="258" s="1"/>
  <c r="D88" i="258"/>
  <c r="M89" i="258" s="1"/>
  <c r="F89" i="258"/>
  <c r="E91" i="258"/>
  <c r="E92" i="258" s="1"/>
  <c r="D92" i="258"/>
  <c r="F92" i="258"/>
  <c r="D39" i="260" s="1"/>
  <c r="D52" i="260" s="1"/>
  <c r="G92" i="258"/>
  <c r="E39" i="260" s="1"/>
  <c r="E52" i="260" s="1"/>
  <c r="H92" i="258"/>
  <c r="F39" i="260" s="1"/>
  <c r="F52" i="260" s="1"/>
  <c r="I92" i="258"/>
  <c r="G39" i="260" s="1"/>
  <c r="G52" i="260" s="1"/>
  <c r="J92" i="258"/>
  <c r="H39" i="260" s="1"/>
  <c r="H52" i="260" s="1"/>
  <c r="F94" i="258"/>
  <c r="F95" i="258"/>
  <c r="E95" i="258" s="1"/>
  <c r="E97" i="258"/>
  <c r="D98" i="258"/>
  <c r="G98" i="258"/>
  <c r="H98" i="258"/>
  <c r="I98" i="258"/>
  <c r="J98" i="258"/>
  <c r="F99" i="258"/>
  <c r="F100" i="258"/>
  <c r="F101" i="258"/>
  <c r="E101" i="258" s="1"/>
  <c r="F102" i="258"/>
  <c r="E102" i="258" s="1"/>
  <c r="E103" i="258"/>
  <c r="D104" i="258"/>
  <c r="G104" i="258"/>
  <c r="H104" i="258"/>
  <c r="I104" i="258"/>
  <c r="J104" i="258"/>
  <c r="F105" i="258"/>
  <c r="F106" i="258"/>
  <c r="F107" i="258"/>
  <c r="F108" i="258"/>
  <c r="E108" i="258" s="1"/>
  <c r="E109" i="258"/>
  <c r="D110" i="258"/>
  <c r="G110" i="258"/>
  <c r="E40" i="260" s="1"/>
  <c r="H110" i="258"/>
  <c r="F40" i="260" s="1"/>
  <c r="I110" i="258"/>
  <c r="G40" i="260" s="1"/>
  <c r="J110" i="258"/>
  <c r="H40" i="260" s="1"/>
  <c r="F111" i="258"/>
  <c r="D114" i="258"/>
  <c r="E114" i="258"/>
  <c r="F114" i="258"/>
  <c r="D41" i="260" s="1"/>
  <c r="D59" i="260" s="1"/>
  <c r="G114" i="258"/>
  <c r="E41" i="260" s="1"/>
  <c r="E59" i="260" s="1"/>
  <c r="H114" i="258"/>
  <c r="F41" i="260" s="1"/>
  <c r="F59" i="260" s="1"/>
  <c r="I114" i="258"/>
  <c r="J114" i="258"/>
  <c r="H41" i="260" s="1"/>
  <c r="H59" i="260" s="1"/>
  <c r="F116" i="258"/>
  <c r="F117" i="258"/>
  <c r="F121" i="258" s="1"/>
  <c r="D44" i="260" s="1"/>
  <c r="E119" i="258"/>
  <c r="I121" i="258"/>
  <c r="G44" i="260" s="1"/>
  <c r="J121" i="258"/>
  <c r="H44" i="260" s="1"/>
  <c r="D121" i="258"/>
  <c r="F122" i="258"/>
  <c r="E124" i="258"/>
  <c r="E125" i="258" s="1"/>
  <c r="D125" i="258"/>
  <c r="F125" i="258"/>
  <c r="D43" i="260" s="1"/>
  <c r="G125" i="258"/>
  <c r="E43" i="260" s="1"/>
  <c r="H125" i="258"/>
  <c r="F43" i="260" s="1"/>
  <c r="I125" i="258"/>
  <c r="J125" i="258"/>
  <c r="H43" i="260" s="1"/>
  <c r="E128" i="258"/>
  <c r="E129" i="258" s="1"/>
  <c r="D129" i="258"/>
  <c r="F129" i="258"/>
  <c r="G129" i="258"/>
  <c r="E42" i="260" s="1"/>
  <c r="H129" i="258"/>
  <c r="F42" i="260" s="1"/>
  <c r="I129" i="258"/>
  <c r="G42" i="260" s="1"/>
  <c r="J129" i="258"/>
  <c r="H42" i="260" s="1"/>
  <c r="F131" i="258"/>
  <c r="F132" i="258"/>
  <c r="E132" i="258" s="1"/>
  <c r="F133" i="258"/>
  <c r="E133" i="258" s="1"/>
  <c r="F134" i="258"/>
  <c r="E134" i="258" s="1"/>
  <c r="F135" i="258"/>
  <c r="E135" i="258" s="1"/>
  <c r="E136" i="258"/>
  <c r="E137" i="258"/>
  <c r="D138" i="258"/>
  <c r="G138" i="258"/>
  <c r="H138" i="258"/>
  <c r="I138" i="258"/>
  <c r="J138" i="258"/>
  <c r="E141" i="258"/>
  <c r="E142" i="258" s="1"/>
  <c r="D142" i="258"/>
  <c r="F142" i="258"/>
  <c r="G142" i="258"/>
  <c r="E38" i="260" s="1"/>
  <c r="H142" i="258"/>
  <c r="F38" i="260" s="1"/>
  <c r="I142" i="258"/>
  <c r="G38" i="260" s="1"/>
  <c r="J142" i="258"/>
  <c r="H38" i="260" s="1"/>
  <c r="E145" i="258"/>
  <c r="E146" i="258" s="1"/>
  <c r="D146" i="258"/>
  <c r="F146" i="258"/>
  <c r="G146" i="258"/>
  <c r="H146" i="258"/>
  <c r="F37" i="260" s="1"/>
  <c r="I146" i="258"/>
  <c r="G37" i="260" s="1"/>
  <c r="J146" i="258"/>
  <c r="H37" i="260" s="1"/>
  <c r="F148" i="258"/>
  <c r="F149" i="258"/>
  <c r="E149" i="258" s="1"/>
  <c r="F150" i="258"/>
  <c r="E150" i="258" s="1"/>
  <c r="E151" i="258"/>
  <c r="E152" i="258"/>
  <c r="F153" i="258"/>
  <c r="E153" i="258" s="1"/>
  <c r="D154" i="258"/>
  <c r="G154" i="258"/>
  <c r="E37" i="260" s="1"/>
  <c r="H154" i="258"/>
  <c r="I154" i="258"/>
  <c r="J154" i="258"/>
  <c r="F155" i="258"/>
  <c r="F156" i="258"/>
  <c r="F157" i="258"/>
  <c r="E157" i="258" s="1"/>
  <c r="F158" i="258"/>
  <c r="E158" i="258" s="1"/>
  <c r="F159" i="258"/>
  <c r="E159" i="258" s="1"/>
  <c r="E160" i="258"/>
  <c r="E161" i="258"/>
  <c r="E162" i="258"/>
  <c r="D163" i="258"/>
  <c r="G163" i="258"/>
  <c r="H163" i="258"/>
  <c r="I163" i="258"/>
  <c r="J163" i="258"/>
  <c r="F164" i="258"/>
  <c r="E166" i="258"/>
  <c r="E167" i="258"/>
  <c r="E168" i="258"/>
  <c r="E169" i="258"/>
  <c r="D170" i="258"/>
  <c r="F170" i="258"/>
  <c r="G170" i="258"/>
  <c r="H170" i="258"/>
  <c r="I170" i="258"/>
  <c r="J170" i="258"/>
  <c r="F172" i="258"/>
  <c r="F173" i="258"/>
  <c r="F174" i="258"/>
  <c r="E174" i="258" s="1"/>
  <c r="E175" i="258"/>
  <c r="D176" i="258"/>
  <c r="G176" i="258"/>
  <c r="H176" i="258"/>
  <c r="I176" i="258"/>
  <c r="J176" i="258"/>
  <c r="F177" i="258"/>
  <c r="E179" i="258"/>
  <c r="E180" i="258"/>
  <c r="E181" i="258"/>
  <c r="D182" i="258"/>
  <c r="F182" i="258"/>
  <c r="G182" i="258"/>
  <c r="H182" i="258"/>
  <c r="I182" i="258"/>
  <c r="J182" i="258"/>
  <c r="F18" i="257"/>
  <c r="F7" i="257" s="1"/>
  <c r="J22" i="257"/>
  <c r="J20" i="257"/>
  <c r="I20" i="257"/>
  <c r="I22" i="257" s="1"/>
  <c r="H20" i="257"/>
  <c r="H22" i="257" s="1"/>
  <c r="G20" i="257"/>
  <c r="G22" i="257" s="1"/>
  <c r="F20" i="257"/>
  <c r="F22" i="257" s="1"/>
  <c r="G120" i="258" s="1"/>
  <c r="G121" i="258" s="1"/>
  <c r="E44" i="260" s="1"/>
  <c r="J18" i="257"/>
  <c r="J7" i="257" s="1"/>
  <c r="I18" i="257"/>
  <c r="I7" i="257" s="1"/>
  <c r="H18" i="257"/>
  <c r="H7" i="257" s="1"/>
  <c r="G18" i="257"/>
  <c r="G7" i="257" s="1"/>
  <c r="J14" i="257"/>
  <c r="I14" i="257"/>
  <c r="J13" i="257"/>
  <c r="I13" i="257"/>
  <c r="H13" i="257"/>
  <c r="H14" i="257" s="1"/>
  <c r="G13" i="257"/>
  <c r="F13" i="257"/>
  <c r="F14" i="257" s="1"/>
  <c r="G12" i="257"/>
  <c r="G14" i="257" s="1"/>
  <c r="G6" i="257"/>
  <c r="C6" i="257"/>
  <c r="J5" i="257" s="1"/>
  <c r="F3" i="257"/>
  <c r="G3" i="257" s="1"/>
  <c r="C25" i="256"/>
  <c r="C24" i="256"/>
  <c r="C23" i="256"/>
  <c r="C17" i="256"/>
  <c r="C16" i="256"/>
  <c r="C15" i="256"/>
  <c r="C14" i="256"/>
  <c r="C20" i="255"/>
  <c r="C9" i="256" s="1"/>
  <c r="C16" i="255"/>
  <c r="C8" i="256" s="1"/>
  <c r="C26" i="255"/>
  <c r="C10" i="256" s="1"/>
  <c r="C43" i="255"/>
  <c r="C44" i="255" s="1"/>
  <c r="C52" i="255"/>
  <c r="W29" i="254"/>
  <c r="V29" i="254"/>
  <c r="U29" i="254"/>
  <c r="AA27" i="254"/>
  <c r="Z27" i="254"/>
  <c r="AA26" i="254"/>
  <c r="Z26" i="254"/>
  <c r="Y26" i="254"/>
  <c r="AA25" i="254"/>
  <c r="AA29" i="254" s="1"/>
  <c r="Z25" i="254"/>
  <c r="Z29" i="254" s="1"/>
  <c r="Y25" i="254"/>
  <c r="E25" i="254"/>
  <c r="E29" i="254" s="1"/>
  <c r="K31" i="254"/>
  <c r="J31" i="254"/>
  <c r="H31" i="254"/>
  <c r="T19" i="254"/>
  <c r="S19" i="254"/>
  <c r="E19" i="254"/>
  <c r="T18" i="254"/>
  <c r="S18" i="254"/>
  <c r="E18" i="254"/>
  <c r="T15" i="254"/>
  <c r="S15" i="254"/>
  <c r="R15" i="254"/>
  <c r="Q15" i="254"/>
  <c r="E15" i="254"/>
  <c r="T14" i="254"/>
  <c r="S14" i="254"/>
  <c r="R14" i="254"/>
  <c r="Q14" i="254"/>
  <c r="E14" i="254"/>
  <c r="AA13" i="254"/>
  <c r="Z13" i="254"/>
  <c r="Y13" i="254"/>
  <c r="X13" i="254"/>
  <c r="W13" i="254"/>
  <c r="V13" i="254"/>
  <c r="E13" i="254"/>
  <c r="D13" i="254"/>
  <c r="T12" i="254"/>
  <c r="K12" i="254"/>
  <c r="O12" i="254" s="1"/>
  <c r="G12" i="254"/>
  <c r="P12" i="254" s="1"/>
  <c r="Q12" i="254" s="1"/>
  <c r="R12" i="254" s="1"/>
  <c r="T11" i="254"/>
  <c r="K11" i="254"/>
  <c r="O11" i="254" s="1"/>
  <c r="G11" i="254"/>
  <c r="P11" i="254" s="1"/>
  <c r="Q11" i="254" s="1"/>
  <c r="R11" i="254" s="1"/>
  <c r="AG10" i="254"/>
  <c r="T10" i="254"/>
  <c r="S10" i="254"/>
  <c r="S13" i="254" s="1"/>
  <c r="R10" i="254"/>
  <c r="K10" i="254"/>
  <c r="G10" i="254"/>
  <c r="C10" i="254"/>
  <c r="C13" i="254" s="1"/>
  <c r="AG9" i="254"/>
  <c r="T9" i="254"/>
  <c r="O9" i="254"/>
  <c r="P9" i="254" s="1"/>
  <c r="Q9" i="254" s="1"/>
  <c r="R9" i="254" s="1"/>
  <c r="K9" i="254"/>
  <c r="N9" i="254" s="1"/>
  <c r="G9" i="254"/>
  <c r="AG8" i="254"/>
  <c r="T8" i="254"/>
  <c r="K8" i="254"/>
  <c r="M8" i="254" s="1"/>
  <c r="G8" i="254"/>
  <c r="P8" i="254" s="1"/>
  <c r="Q8" i="254" s="1"/>
  <c r="R8" i="254" s="1"/>
  <c r="T7" i="254"/>
  <c r="K7" i="254"/>
  <c r="L7" i="254" s="1"/>
  <c r="L13" i="254" s="1"/>
  <c r="G7" i="254"/>
  <c r="M7" i="254" s="1"/>
  <c r="K6" i="261" l="1"/>
  <c r="E19" i="279"/>
  <c r="R13" i="272"/>
  <c r="R36" i="272" s="1"/>
  <c r="U7" i="272"/>
  <c r="AD7" i="272" s="1"/>
  <c r="E31" i="254"/>
  <c r="R23" i="254"/>
  <c r="AB29" i="254"/>
  <c r="Y29" i="254"/>
  <c r="Y31" i="254" s="1"/>
  <c r="E45" i="260" s="1"/>
  <c r="AC25" i="254"/>
  <c r="AC26" i="254"/>
  <c r="AC27" i="254"/>
  <c r="S23" i="254"/>
  <c r="S31" i="254" s="1"/>
  <c r="T23" i="254"/>
  <c r="Q23" i="254"/>
  <c r="L31" i="254"/>
  <c r="O8" i="254"/>
  <c r="U11" i="254"/>
  <c r="AC11" i="254" s="1"/>
  <c r="U18" i="254"/>
  <c r="AC18" i="254" s="1"/>
  <c r="U19" i="254"/>
  <c r="AC19" i="254" s="1"/>
  <c r="U12" i="254"/>
  <c r="AC12" i="254" s="1"/>
  <c r="U15" i="254"/>
  <c r="AC15" i="254" s="1"/>
  <c r="F53" i="260"/>
  <c r="F54" i="260"/>
  <c r="E53" i="260"/>
  <c r="E54" i="260"/>
  <c r="G53" i="260"/>
  <c r="G54" i="260"/>
  <c r="D53" i="260"/>
  <c r="D54" i="260"/>
  <c r="H53" i="260"/>
  <c r="H54" i="260"/>
  <c r="C59" i="260"/>
  <c r="H49" i="260"/>
  <c r="F49" i="260"/>
  <c r="C52" i="260"/>
  <c r="G49" i="260"/>
  <c r="E49" i="260"/>
  <c r="AB31" i="254"/>
  <c r="H45" i="260" s="1"/>
  <c r="Z31" i="254"/>
  <c r="F45" i="260" s="1"/>
  <c r="O10" i="259"/>
  <c r="C36" i="260" s="1"/>
  <c r="C31" i="254"/>
  <c r="W31" i="254"/>
  <c r="G11" i="255"/>
  <c r="N24" i="259"/>
  <c r="M12" i="259"/>
  <c r="M24" i="259" s="1"/>
  <c r="O7" i="259"/>
  <c r="C35" i="260"/>
  <c r="C49" i="260" s="1"/>
  <c r="D18" i="260"/>
  <c r="E18" i="260" s="1"/>
  <c r="F18" i="260" s="1"/>
  <c r="I21" i="260"/>
  <c r="I41" i="260"/>
  <c r="AA31" i="254"/>
  <c r="G45" i="260" s="1"/>
  <c r="D31" i="254"/>
  <c r="U10" i="254"/>
  <c r="AC10" i="254" s="1"/>
  <c r="U14" i="254"/>
  <c r="V31" i="254"/>
  <c r="N8" i="254"/>
  <c r="U8" i="254" s="1"/>
  <c r="AC8" i="254" s="1"/>
  <c r="T13" i="254"/>
  <c r="X31" i="254"/>
  <c r="I39" i="260"/>
  <c r="I33" i="260"/>
  <c r="I17" i="260"/>
  <c r="J23" i="259"/>
  <c r="Q5" i="259"/>
  <c r="R22" i="259"/>
  <c r="I23" i="259"/>
  <c r="R14" i="259"/>
  <c r="I18" i="259"/>
  <c r="R11" i="259"/>
  <c r="I12" i="259"/>
  <c r="R10" i="259"/>
  <c r="R7" i="259"/>
  <c r="Q21" i="259"/>
  <c r="E30" i="259"/>
  <c r="E31" i="259" s="1"/>
  <c r="H18" i="259"/>
  <c r="C24" i="259"/>
  <c r="E24" i="259"/>
  <c r="Q20" i="259"/>
  <c r="Q6" i="259"/>
  <c r="F24" i="259"/>
  <c r="O23" i="259"/>
  <c r="P19" i="259" s="1"/>
  <c r="G24" i="259"/>
  <c r="J24" i="259"/>
  <c r="J26" i="259" s="1"/>
  <c r="O16" i="259"/>
  <c r="C37" i="260" s="1"/>
  <c r="L23" i="259"/>
  <c r="L24" i="259" s="1"/>
  <c r="H22" i="259"/>
  <c r="H23" i="259" s="1"/>
  <c r="D30" i="259"/>
  <c r="D31" i="259" s="1"/>
  <c r="Q14" i="259"/>
  <c r="O15" i="259"/>
  <c r="Q19" i="259"/>
  <c r="R19" i="259"/>
  <c r="H6" i="259"/>
  <c r="H12" i="259" s="1"/>
  <c r="R6" i="259"/>
  <c r="R8" i="259"/>
  <c r="Q13" i="259"/>
  <c r="R21" i="259"/>
  <c r="R15" i="259"/>
  <c r="R18" i="259" s="1"/>
  <c r="E104" i="258"/>
  <c r="E34" i="258"/>
  <c r="F176" i="258"/>
  <c r="E163" i="258"/>
  <c r="E173" i="258"/>
  <c r="E176" i="258" s="1"/>
  <c r="F98" i="258"/>
  <c r="F11" i="258"/>
  <c r="I185" i="258"/>
  <c r="F154" i="258"/>
  <c r="D37" i="260" s="1"/>
  <c r="E138" i="258"/>
  <c r="F163" i="258"/>
  <c r="E30" i="258"/>
  <c r="E9" i="258"/>
  <c r="E11" i="258" s="1"/>
  <c r="G184" i="258" a="1"/>
  <c r="G184" i="258" s="1"/>
  <c r="E182" i="258"/>
  <c r="E170" i="258"/>
  <c r="D185" i="258"/>
  <c r="E98" i="258"/>
  <c r="E117" i="258"/>
  <c r="E154" i="258"/>
  <c r="F110" i="258"/>
  <c r="D40" i="260" s="1"/>
  <c r="I40" i="260" s="1"/>
  <c r="J185" i="258"/>
  <c r="H184" i="258" a="1"/>
  <c r="H184" i="258" s="1"/>
  <c r="H185" i="258"/>
  <c r="F104" i="258"/>
  <c r="I184" i="258" a="1"/>
  <c r="I184" i="258" s="1"/>
  <c r="E120" i="258"/>
  <c r="E107" i="258"/>
  <c r="E110" i="258" s="1"/>
  <c r="G185" i="258"/>
  <c r="D184" i="258" a="1"/>
  <c r="D184" i="258" s="1"/>
  <c r="E87" i="258"/>
  <c r="J184" i="258" a="1"/>
  <c r="J184" i="258" s="1"/>
  <c r="F138" i="258"/>
  <c r="D42" i="260" s="1"/>
  <c r="H3" i="257"/>
  <c r="H6" i="257"/>
  <c r="F5" i="257"/>
  <c r="F8" i="257" s="1"/>
  <c r="H5" i="257"/>
  <c r="I5" i="257"/>
  <c r="G5" i="257"/>
  <c r="G8" i="257" s="1"/>
  <c r="C26" i="256"/>
  <c r="C28" i="256" s="1"/>
  <c r="C18" i="256"/>
  <c r="C11" i="256"/>
  <c r="C27" i="255"/>
  <c r="C46" i="255" s="1"/>
  <c r="N7" i="254"/>
  <c r="M13" i="254"/>
  <c r="M31" i="254" s="1"/>
  <c r="U9" i="254"/>
  <c r="AC9" i="254" s="1"/>
  <c r="G13" i="254"/>
  <c r="G31" i="254" s="1"/>
  <c r="J19" i="253"/>
  <c r="J29" i="253"/>
  <c r="J23" i="253"/>
  <c r="J27" i="253" s="1"/>
  <c r="J18" i="253"/>
  <c r="J16" i="253"/>
  <c r="J15" i="253"/>
  <c r="J21" i="253" s="1"/>
  <c r="I29" i="253"/>
  <c r="I32" i="253" s="1"/>
  <c r="I28" i="253"/>
  <c r="I25" i="253"/>
  <c r="I15" i="253"/>
  <c r="Z14" i="253"/>
  <c r="Z15" i="253"/>
  <c r="Z16" i="253"/>
  <c r="Z17" i="253"/>
  <c r="Z18" i="253"/>
  <c r="Z19" i="253"/>
  <c r="Z20" i="253"/>
  <c r="Z22" i="253"/>
  <c r="Z23" i="253"/>
  <c r="Z24" i="253"/>
  <c r="Z25" i="253"/>
  <c r="Z26" i="253"/>
  <c r="Z28" i="253"/>
  <c r="Z29" i="253"/>
  <c r="Z30" i="253"/>
  <c r="Z31" i="253"/>
  <c r="H32" i="253"/>
  <c r="X31" i="253"/>
  <c r="W31" i="253"/>
  <c r="V31" i="253"/>
  <c r="U31" i="253"/>
  <c r="T31" i="253"/>
  <c r="S31" i="253"/>
  <c r="R31" i="253"/>
  <c r="Q31" i="253"/>
  <c r="P31" i="253"/>
  <c r="O31" i="253"/>
  <c r="N31" i="253"/>
  <c r="M31" i="253"/>
  <c r="L31" i="253"/>
  <c r="K31" i="253"/>
  <c r="C31" i="253"/>
  <c r="X30" i="253"/>
  <c r="W30" i="253"/>
  <c r="V30" i="253"/>
  <c r="U30" i="253"/>
  <c r="T30" i="253"/>
  <c r="S30" i="253"/>
  <c r="R30" i="253"/>
  <c r="Q30" i="253"/>
  <c r="P30" i="253"/>
  <c r="O30" i="253"/>
  <c r="N30" i="253"/>
  <c r="M30" i="253"/>
  <c r="L30" i="253"/>
  <c r="K30" i="253"/>
  <c r="C30" i="253"/>
  <c r="X29" i="253"/>
  <c r="V29" i="253"/>
  <c r="U29" i="253"/>
  <c r="T29" i="253"/>
  <c r="S29" i="253"/>
  <c r="R29" i="253"/>
  <c r="Q29" i="253"/>
  <c r="P29" i="253"/>
  <c r="O29" i="253"/>
  <c r="N29" i="253"/>
  <c r="M29" i="253"/>
  <c r="L29" i="253"/>
  <c r="K29" i="253"/>
  <c r="C29" i="253"/>
  <c r="X28" i="253"/>
  <c r="X32" i="253" s="1"/>
  <c r="W28" i="253"/>
  <c r="V28" i="253"/>
  <c r="V32" i="253" s="1"/>
  <c r="U28" i="253"/>
  <c r="T28" i="253"/>
  <c r="T32" i="253" s="1"/>
  <c r="S28" i="253"/>
  <c r="S32" i="253" s="1"/>
  <c r="R28" i="253"/>
  <c r="R32" i="253" s="1"/>
  <c r="Q28" i="253"/>
  <c r="Q32" i="253" s="1"/>
  <c r="P28" i="253"/>
  <c r="P32" i="253" s="1"/>
  <c r="O28" i="253"/>
  <c r="N28" i="253"/>
  <c r="N32" i="253" s="1"/>
  <c r="M28" i="253"/>
  <c r="L28" i="253"/>
  <c r="L32" i="253" s="1"/>
  <c r="K28" i="253"/>
  <c r="K32" i="253" s="1"/>
  <c r="J32" i="253"/>
  <c r="C28" i="253"/>
  <c r="H27" i="253"/>
  <c r="X26" i="253"/>
  <c r="W26" i="253"/>
  <c r="V26" i="253"/>
  <c r="T26" i="253"/>
  <c r="S26" i="253"/>
  <c r="R26" i="253"/>
  <c r="Q26" i="253"/>
  <c r="P26" i="253"/>
  <c r="O26" i="253"/>
  <c r="N26" i="253"/>
  <c r="M26" i="253"/>
  <c r="L26" i="253"/>
  <c r="K26" i="253"/>
  <c r="C26" i="253"/>
  <c r="X25" i="253"/>
  <c r="W25" i="253"/>
  <c r="V25" i="253"/>
  <c r="U25" i="253"/>
  <c r="T25" i="253"/>
  <c r="S25" i="253"/>
  <c r="R25" i="253"/>
  <c r="Q25" i="253"/>
  <c r="P25" i="253"/>
  <c r="O25" i="253"/>
  <c r="N25" i="253"/>
  <c r="M25" i="253"/>
  <c r="L25" i="253"/>
  <c r="K25" i="253"/>
  <c r="I27" i="253"/>
  <c r="C25" i="253"/>
  <c r="X24" i="253"/>
  <c r="W24" i="253"/>
  <c r="V24" i="253"/>
  <c r="U24" i="253"/>
  <c r="T24" i="253"/>
  <c r="S24" i="253"/>
  <c r="R24" i="253"/>
  <c r="R27" i="253" s="1"/>
  <c r="Q24" i="253"/>
  <c r="P24" i="253"/>
  <c r="O24" i="253"/>
  <c r="N24" i="253"/>
  <c r="M24" i="253"/>
  <c r="L24" i="253"/>
  <c r="K24" i="253"/>
  <c r="C24" i="253"/>
  <c r="X23" i="253"/>
  <c r="W23" i="253"/>
  <c r="V23" i="253"/>
  <c r="U23" i="253"/>
  <c r="T23" i="253"/>
  <c r="S23" i="253"/>
  <c r="R23" i="253"/>
  <c r="Q23" i="253"/>
  <c r="P23" i="253"/>
  <c r="O23" i="253"/>
  <c r="N23" i="253"/>
  <c r="M23" i="253"/>
  <c r="L23" i="253"/>
  <c r="K23" i="253"/>
  <c r="C23" i="253"/>
  <c r="X22" i="253"/>
  <c r="X27" i="253" s="1"/>
  <c r="W22" i="253"/>
  <c r="W27" i="253" s="1"/>
  <c r="V22" i="253"/>
  <c r="U22" i="253"/>
  <c r="T22" i="253"/>
  <c r="T27" i="253" s="1"/>
  <c r="S22" i="253"/>
  <c r="S27" i="253" s="1"/>
  <c r="R22" i="253"/>
  <c r="Q22" i="253"/>
  <c r="P22" i="253"/>
  <c r="P27" i="253" s="1"/>
  <c r="O22" i="253"/>
  <c r="O27" i="253" s="1"/>
  <c r="N22" i="253"/>
  <c r="M22" i="253"/>
  <c r="M27" i="253" s="1"/>
  <c r="L22" i="253"/>
  <c r="L27" i="253" s="1"/>
  <c r="K22" i="253"/>
  <c r="C22" i="253"/>
  <c r="I21" i="253"/>
  <c r="H21" i="253"/>
  <c r="H33" i="253" s="1"/>
  <c r="H35" i="253" s="1"/>
  <c r="X20" i="253"/>
  <c r="W20" i="253"/>
  <c r="V20" i="253"/>
  <c r="U20" i="253"/>
  <c r="T20" i="253"/>
  <c r="S20" i="253"/>
  <c r="R20" i="253"/>
  <c r="Q20" i="253"/>
  <c r="P20" i="253"/>
  <c r="O20" i="253"/>
  <c r="N20" i="253"/>
  <c r="M20" i="253"/>
  <c r="L20" i="253"/>
  <c r="K20" i="253"/>
  <c r="C20" i="253"/>
  <c r="X19" i="253"/>
  <c r="W19" i="253"/>
  <c r="V19" i="253"/>
  <c r="U19" i="253"/>
  <c r="T19" i="253"/>
  <c r="S19" i="253"/>
  <c r="R19" i="253"/>
  <c r="Q19" i="253"/>
  <c r="P19" i="253"/>
  <c r="O19" i="253"/>
  <c r="N19" i="253"/>
  <c r="M19" i="253"/>
  <c r="L19" i="253"/>
  <c r="K19" i="253"/>
  <c r="C19" i="253"/>
  <c r="X18" i="253"/>
  <c r="W18" i="253"/>
  <c r="V18" i="253"/>
  <c r="U18" i="253"/>
  <c r="T18" i="253"/>
  <c r="S18" i="253"/>
  <c r="R18" i="253"/>
  <c r="Q18" i="253"/>
  <c r="P18" i="253"/>
  <c r="O18" i="253"/>
  <c r="N18" i="253"/>
  <c r="M18" i="253"/>
  <c r="L18" i="253"/>
  <c r="K18" i="253"/>
  <c r="C18" i="253"/>
  <c r="X17" i="253"/>
  <c r="W17" i="253"/>
  <c r="V17" i="253"/>
  <c r="U17" i="253"/>
  <c r="T17" i="253"/>
  <c r="S17" i="253"/>
  <c r="R17" i="253"/>
  <c r="Q17" i="253"/>
  <c r="P17" i="253"/>
  <c r="O17" i="253"/>
  <c r="N17" i="253"/>
  <c r="M17" i="253"/>
  <c r="L17" i="253"/>
  <c r="K17" i="253"/>
  <c r="C17" i="253"/>
  <c r="X16" i="253"/>
  <c r="W16" i="253"/>
  <c r="V16" i="253"/>
  <c r="U16" i="253"/>
  <c r="T16" i="253"/>
  <c r="S16" i="253"/>
  <c r="R16" i="253"/>
  <c r="Q16" i="253"/>
  <c r="P16" i="253"/>
  <c r="O16" i="253"/>
  <c r="N16" i="253"/>
  <c r="M16" i="253"/>
  <c r="L16" i="253"/>
  <c r="K16" i="253"/>
  <c r="C16" i="253"/>
  <c r="X15" i="253"/>
  <c r="W15" i="253"/>
  <c r="V15" i="253"/>
  <c r="V21" i="253" s="1"/>
  <c r="U15" i="253"/>
  <c r="U21" i="253" s="1"/>
  <c r="T15" i="253"/>
  <c r="T21" i="253" s="1"/>
  <c r="S15" i="253"/>
  <c r="S21" i="253" s="1"/>
  <c r="R15" i="253"/>
  <c r="Q15" i="253"/>
  <c r="P15" i="253"/>
  <c r="O15" i="253"/>
  <c r="N15" i="253"/>
  <c r="N21" i="253" s="1"/>
  <c r="M15" i="253"/>
  <c r="M21" i="253" s="1"/>
  <c r="L15" i="253"/>
  <c r="L21" i="253" s="1"/>
  <c r="K15" i="253"/>
  <c r="K21" i="253" s="1"/>
  <c r="C15" i="253"/>
  <c r="C21" i="253" s="1"/>
  <c r="X14" i="253"/>
  <c r="W14" i="253"/>
  <c r="V14" i="253"/>
  <c r="U14" i="253"/>
  <c r="T14" i="253"/>
  <c r="T33" i="253" s="1"/>
  <c r="S14" i="253"/>
  <c r="S33" i="253" s="1"/>
  <c r="R14" i="253"/>
  <c r="Q14" i="253"/>
  <c r="P14" i="253"/>
  <c r="O14" i="253"/>
  <c r="N14" i="253"/>
  <c r="M14" i="253"/>
  <c r="L14" i="253"/>
  <c r="L33" i="253" s="1"/>
  <c r="K14" i="253"/>
  <c r="C14" i="253"/>
  <c r="D8" i="253"/>
  <c r="F8" i="253" s="1"/>
  <c r="C8" i="253"/>
  <c r="D6" i="253"/>
  <c r="C6" i="253"/>
  <c r="Z6" i="253" s="1"/>
  <c r="D5" i="253"/>
  <c r="Z5" i="253" s="1"/>
  <c r="Q3" i="252"/>
  <c r="Q5" i="252"/>
  <c r="Q7" i="252"/>
  <c r="C43" i="260"/>
  <c r="I43" i="260" s="1"/>
  <c r="P2" i="252"/>
  <c r="Y14" i="253" s="1"/>
  <c r="G14" i="253" s="1"/>
  <c r="P4" i="252"/>
  <c r="Y29" i="253" s="1"/>
  <c r="G29" i="253" s="1"/>
  <c r="P6" i="252"/>
  <c r="T6" i="252" s="1"/>
  <c r="P8" i="252"/>
  <c r="Y16" i="253" s="1"/>
  <c r="G16" i="253" s="1"/>
  <c r="P10" i="252"/>
  <c r="Y17" i="253" s="1"/>
  <c r="G17" i="253" s="1"/>
  <c r="P12" i="252"/>
  <c r="Y19" i="253" s="1"/>
  <c r="G19" i="253" s="1"/>
  <c r="P20" i="252"/>
  <c r="Y20" i="253" s="1"/>
  <c r="G20" i="253" s="1"/>
  <c r="P22" i="252"/>
  <c r="Y18" i="253" s="1"/>
  <c r="G18" i="253" s="1"/>
  <c r="P24" i="252"/>
  <c r="Y22" i="253" s="1"/>
  <c r="G22" i="253" s="1"/>
  <c r="P26" i="252"/>
  <c r="Y23" i="253" s="1"/>
  <c r="P31" i="252"/>
  <c r="Y24" i="253" s="1"/>
  <c r="G24" i="253" s="1"/>
  <c r="P34" i="252"/>
  <c r="Y25" i="253" s="1"/>
  <c r="G25" i="253" s="1"/>
  <c r="P43" i="252"/>
  <c r="Y26" i="253" s="1"/>
  <c r="G26" i="253" s="1"/>
  <c r="P46" i="252"/>
  <c r="Y28" i="253" s="1"/>
  <c r="P48" i="252"/>
  <c r="Y31" i="253" s="1"/>
  <c r="G31" i="253" s="1"/>
  <c r="P50" i="252"/>
  <c r="Y30" i="253" s="1"/>
  <c r="G30" i="253" s="1"/>
  <c r="O50" i="252"/>
  <c r="N50" i="252"/>
  <c r="M50" i="252"/>
  <c r="L50" i="252"/>
  <c r="K50" i="252"/>
  <c r="J50" i="252"/>
  <c r="I50" i="252"/>
  <c r="H50" i="252"/>
  <c r="G50" i="252"/>
  <c r="F50" i="252"/>
  <c r="E50" i="252"/>
  <c r="D50" i="252"/>
  <c r="C50" i="252"/>
  <c r="B50" i="252"/>
  <c r="O48" i="252"/>
  <c r="N48" i="252"/>
  <c r="M48" i="252"/>
  <c r="L48" i="252"/>
  <c r="K48" i="252"/>
  <c r="J48" i="252"/>
  <c r="I48" i="252"/>
  <c r="H48" i="252"/>
  <c r="G48" i="252"/>
  <c r="F48" i="252"/>
  <c r="E48" i="252"/>
  <c r="D48" i="252"/>
  <c r="C48" i="252"/>
  <c r="B48" i="252"/>
  <c r="K47" i="252"/>
  <c r="O46" i="252"/>
  <c r="N46" i="252"/>
  <c r="M46" i="252"/>
  <c r="L46" i="252"/>
  <c r="J46" i="252"/>
  <c r="I46" i="252"/>
  <c r="H46" i="252"/>
  <c r="G46" i="252"/>
  <c r="F46" i="252"/>
  <c r="E46" i="252"/>
  <c r="D46" i="252"/>
  <c r="C46" i="252"/>
  <c r="B46" i="252"/>
  <c r="O43" i="252"/>
  <c r="N43" i="252"/>
  <c r="M43" i="252"/>
  <c r="L43" i="252"/>
  <c r="K43" i="252"/>
  <c r="J43" i="252"/>
  <c r="I43" i="252"/>
  <c r="H43" i="252"/>
  <c r="G43" i="252"/>
  <c r="F43" i="252"/>
  <c r="E43" i="252"/>
  <c r="D43" i="252"/>
  <c r="C43" i="252"/>
  <c r="B43" i="252"/>
  <c r="O38" i="252"/>
  <c r="N34" i="252"/>
  <c r="M34" i="252"/>
  <c r="L34" i="252"/>
  <c r="K34" i="252"/>
  <c r="J34" i="252"/>
  <c r="I34" i="252"/>
  <c r="H34" i="252"/>
  <c r="G34" i="252"/>
  <c r="F34" i="252"/>
  <c r="E34" i="252"/>
  <c r="D34" i="252"/>
  <c r="C34" i="252"/>
  <c r="B34" i="252"/>
  <c r="O31" i="252"/>
  <c r="N31" i="252"/>
  <c r="M31" i="252"/>
  <c r="L31" i="252"/>
  <c r="K31" i="252"/>
  <c r="J31" i="252"/>
  <c r="I31" i="252"/>
  <c r="H31" i="252"/>
  <c r="G31" i="252"/>
  <c r="F31" i="252"/>
  <c r="E31" i="252"/>
  <c r="D31" i="252"/>
  <c r="C31" i="252"/>
  <c r="B31" i="252"/>
  <c r="O27" i="252"/>
  <c r="N26" i="252"/>
  <c r="M26" i="252"/>
  <c r="L26" i="252"/>
  <c r="K26" i="252"/>
  <c r="J26" i="252"/>
  <c r="I26" i="252"/>
  <c r="H26" i="252"/>
  <c r="G26" i="252"/>
  <c r="F26" i="252"/>
  <c r="E26" i="252"/>
  <c r="D26" i="252"/>
  <c r="C26" i="252"/>
  <c r="B26" i="252"/>
  <c r="O24" i="252"/>
  <c r="N24" i="252"/>
  <c r="M24" i="252"/>
  <c r="L24" i="252"/>
  <c r="K24" i="252"/>
  <c r="J24" i="252"/>
  <c r="I24" i="252"/>
  <c r="H24" i="252"/>
  <c r="G24" i="252"/>
  <c r="F24" i="252"/>
  <c r="E24" i="252"/>
  <c r="D24" i="252"/>
  <c r="C24" i="252"/>
  <c r="B24" i="252"/>
  <c r="O22" i="252"/>
  <c r="N22" i="252"/>
  <c r="M22" i="252"/>
  <c r="L22" i="252"/>
  <c r="K22" i="252"/>
  <c r="J22" i="252"/>
  <c r="I22" i="252"/>
  <c r="H22" i="252"/>
  <c r="G22" i="252"/>
  <c r="F22" i="252"/>
  <c r="E22" i="252"/>
  <c r="D22" i="252"/>
  <c r="C22" i="252"/>
  <c r="B22" i="252"/>
  <c r="O20" i="252"/>
  <c r="N20" i="252"/>
  <c r="M20" i="252"/>
  <c r="L20" i="252"/>
  <c r="K20" i="252"/>
  <c r="J20" i="252"/>
  <c r="I20" i="252"/>
  <c r="H20" i="252"/>
  <c r="G20" i="252"/>
  <c r="F20" i="252"/>
  <c r="E20" i="252"/>
  <c r="D20" i="252"/>
  <c r="C20" i="252"/>
  <c r="B20" i="252"/>
  <c r="O12" i="252"/>
  <c r="N12" i="252"/>
  <c r="M12" i="252"/>
  <c r="L12" i="252"/>
  <c r="K12" i="252"/>
  <c r="J12" i="252"/>
  <c r="I12" i="252"/>
  <c r="H12" i="252"/>
  <c r="G12" i="252"/>
  <c r="F12" i="252"/>
  <c r="E12" i="252"/>
  <c r="D12" i="252"/>
  <c r="C12" i="252"/>
  <c r="B12" i="252"/>
  <c r="O10" i="252"/>
  <c r="N10" i="252"/>
  <c r="M10" i="252"/>
  <c r="L10" i="252"/>
  <c r="K10" i="252"/>
  <c r="J10" i="252"/>
  <c r="I10" i="252"/>
  <c r="H10" i="252"/>
  <c r="G10" i="252"/>
  <c r="F10" i="252"/>
  <c r="E10" i="252"/>
  <c r="D10" i="252"/>
  <c r="C10" i="252"/>
  <c r="B10" i="252"/>
  <c r="O8" i="252"/>
  <c r="N8" i="252"/>
  <c r="M8" i="252"/>
  <c r="L8" i="252"/>
  <c r="K8" i="252"/>
  <c r="J8" i="252"/>
  <c r="I8" i="252"/>
  <c r="H8" i="252"/>
  <c r="G8" i="252"/>
  <c r="F8" i="252"/>
  <c r="E8" i="252"/>
  <c r="D8" i="252"/>
  <c r="C8" i="252"/>
  <c r="B8" i="252"/>
  <c r="O6" i="252"/>
  <c r="S6" i="252" s="1"/>
  <c r="N6" i="252"/>
  <c r="R6" i="252" s="1"/>
  <c r="M6" i="252"/>
  <c r="L6" i="252"/>
  <c r="K6" i="252"/>
  <c r="J6" i="252"/>
  <c r="I6" i="252"/>
  <c r="H6" i="252"/>
  <c r="G6" i="252"/>
  <c r="F6" i="252"/>
  <c r="E6" i="252"/>
  <c r="D6" i="252"/>
  <c r="C6" i="252"/>
  <c r="B6" i="252"/>
  <c r="O4" i="252"/>
  <c r="N4" i="252"/>
  <c r="M4" i="252"/>
  <c r="L4" i="252"/>
  <c r="K4" i="252"/>
  <c r="J4" i="252"/>
  <c r="I4" i="252"/>
  <c r="H4" i="252"/>
  <c r="G4" i="252"/>
  <c r="F4" i="252"/>
  <c r="E4" i="252"/>
  <c r="D4" i="252"/>
  <c r="C4" i="252"/>
  <c r="B4" i="252"/>
  <c r="O2" i="252"/>
  <c r="N2" i="252"/>
  <c r="M2" i="252"/>
  <c r="L2" i="252"/>
  <c r="K2" i="252"/>
  <c r="J2" i="252"/>
  <c r="I2" i="252"/>
  <c r="H2" i="252"/>
  <c r="G2" i="252"/>
  <c r="F2" i="252"/>
  <c r="E2" i="252"/>
  <c r="D2" i="252"/>
  <c r="C2" i="252"/>
  <c r="B2" i="252"/>
  <c r="D20" i="250"/>
  <c r="C20" i="250"/>
  <c r="B20" i="250"/>
  <c r="D16" i="250"/>
  <c r="C16" i="250"/>
  <c r="B16" i="250"/>
  <c r="D10" i="250"/>
  <c r="C10" i="250"/>
  <c r="B10" i="250"/>
  <c r="B21" i="250" s="1"/>
  <c r="E4" i="250"/>
  <c r="E15" i="249"/>
  <c r="E13" i="249"/>
  <c r="E8" i="249"/>
  <c r="I10" i="248"/>
  <c r="I11" i="248"/>
  <c r="I17" i="248"/>
  <c r="B19" i="248"/>
  <c r="C19" i="248"/>
  <c r="D19" i="248"/>
  <c r="E19" i="248"/>
  <c r="F19" i="248"/>
  <c r="G19" i="248"/>
  <c r="H19" i="248"/>
  <c r="I9" i="248" s="1"/>
  <c r="H21" i="248"/>
  <c r="D11" i="247"/>
  <c r="E11" i="247"/>
  <c r="E131" i="247" s="1"/>
  <c r="F11" i="247"/>
  <c r="H11" i="247"/>
  <c r="D29" i="247"/>
  <c r="E29" i="247"/>
  <c r="F29" i="247"/>
  <c r="F131" i="247" s="1"/>
  <c r="G29" i="247"/>
  <c r="H29" i="247"/>
  <c r="D84" i="247"/>
  <c r="D131" i="247" s="1"/>
  <c r="E84" i="247"/>
  <c r="F84" i="247"/>
  <c r="G84" i="247"/>
  <c r="H84" i="247"/>
  <c r="D88" i="247"/>
  <c r="E88" i="247"/>
  <c r="F88" i="247"/>
  <c r="H88" i="247"/>
  <c r="H131" i="247" s="1"/>
  <c r="D93" i="247"/>
  <c r="E93" i="247"/>
  <c r="F93" i="247"/>
  <c r="H93" i="247"/>
  <c r="D98" i="247"/>
  <c r="E98" i="247"/>
  <c r="F98" i="247"/>
  <c r="H98" i="247"/>
  <c r="D102" i="247"/>
  <c r="E102" i="247"/>
  <c r="F102" i="247"/>
  <c r="H102" i="247"/>
  <c r="D109" i="247"/>
  <c r="E109" i="247"/>
  <c r="F109" i="247"/>
  <c r="H109" i="247"/>
  <c r="D113" i="247"/>
  <c r="E113" i="247"/>
  <c r="F113" i="247"/>
  <c r="H113" i="247"/>
  <c r="D118" i="247"/>
  <c r="E118" i="247"/>
  <c r="F118" i="247"/>
  <c r="H118" i="247"/>
  <c r="D124" i="247"/>
  <c r="E124" i="247"/>
  <c r="F124" i="247"/>
  <c r="H124" i="247"/>
  <c r="D129" i="247"/>
  <c r="E129" i="247"/>
  <c r="F129" i="247"/>
  <c r="H129" i="247"/>
  <c r="D10" i="246"/>
  <c r="D12" i="246"/>
  <c r="C12" i="246"/>
  <c r="C10" i="246"/>
  <c r="D5" i="246"/>
  <c r="C5" i="246"/>
  <c r="D3" i="246"/>
  <c r="C3" i="246"/>
  <c r="E23" i="245"/>
  <c r="D23" i="245"/>
  <c r="D25" i="245" s="1"/>
  <c r="E12" i="245"/>
  <c r="E25" i="245" s="1"/>
  <c r="D12" i="245"/>
  <c r="H7" i="245"/>
  <c r="G7" i="245"/>
  <c r="I6" i="245"/>
  <c r="H6" i="245"/>
  <c r="K6" i="245" s="1"/>
  <c r="H5" i="245"/>
  <c r="J5" i="245" s="1"/>
  <c r="H4" i="245"/>
  <c r="J4" i="245" s="1"/>
  <c r="G12" i="237"/>
  <c r="E27" i="232"/>
  <c r="C27" i="232"/>
  <c r="V29" i="232"/>
  <c r="W29" i="232"/>
  <c r="AA29" i="232"/>
  <c r="H45" i="244" s="1"/>
  <c r="U29" i="232"/>
  <c r="V27" i="232"/>
  <c r="W27" i="232"/>
  <c r="X27" i="232"/>
  <c r="Y27" i="232"/>
  <c r="Z27" i="232"/>
  <c r="AA27" i="232"/>
  <c r="U27" i="232"/>
  <c r="AA26" i="232"/>
  <c r="AB26" i="232" s="1"/>
  <c r="AA23" i="232"/>
  <c r="AA24" i="232"/>
  <c r="AA25" i="232"/>
  <c r="E26" i="232"/>
  <c r="Z25" i="232"/>
  <c r="AB25" i="232" s="1"/>
  <c r="E25" i="232"/>
  <c r="Z24" i="232"/>
  <c r="Y24" i="232"/>
  <c r="E24" i="232"/>
  <c r="Z23" i="232"/>
  <c r="Y23" i="232"/>
  <c r="X23" i="232"/>
  <c r="E23" i="232"/>
  <c r="F19" i="279" l="1"/>
  <c r="Q20" i="252"/>
  <c r="Q31" i="252"/>
  <c r="Q48" i="252"/>
  <c r="Q22" i="252"/>
  <c r="Q50" i="252"/>
  <c r="K46" i="252"/>
  <c r="Q47" i="252"/>
  <c r="C44" i="260"/>
  <c r="I44" i="260" s="1"/>
  <c r="Q27" i="252"/>
  <c r="Q12" i="252"/>
  <c r="Q46" i="252"/>
  <c r="O34" i="252"/>
  <c r="Q34" i="252" s="1"/>
  <c r="Q38" i="252"/>
  <c r="Q10" i="252"/>
  <c r="Q24" i="252"/>
  <c r="Q43" i="252"/>
  <c r="Y27" i="253"/>
  <c r="G23" i="253"/>
  <c r="G27" i="253" s="1"/>
  <c r="Y32" i="253"/>
  <c r="G28" i="253"/>
  <c r="Y15" i="253"/>
  <c r="C42" i="260"/>
  <c r="C27" i="260" s="1"/>
  <c r="U6" i="252"/>
  <c r="M31" i="258" s="1"/>
  <c r="M32" i="258" s="1"/>
  <c r="M34" i="258" s="1"/>
  <c r="M36" i="258" s="1"/>
  <c r="F29" i="258" s="1"/>
  <c r="E29" i="258" s="1"/>
  <c r="E31" i="258" s="1"/>
  <c r="AC29" i="254"/>
  <c r="T31" i="254"/>
  <c r="AC14" i="254"/>
  <c r="U31" i="254"/>
  <c r="D45" i="260" s="1"/>
  <c r="I45" i="260" s="1"/>
  <c r="C53" i="260"/>
  <c r="C54" i="260"/>
  <c r="F51" i="260"/>
  <c r="F55" i="260" s="1"/>
  <c r="F58" i="260"/>
  <c r="F60" i="260" s="1"/>
  <c r="H51" i="260"/>
  <c r="H55" i="260" s="1"/>
  <c r="H58" i="260"/>
  <c r="H60" i="260" s="1"/>
  <c r="C51" i="260"/>
  <c r="C58" i="260"/>
  <c r="C60" i="260" s="1"/>
  <c r="C61" i="260" s="1"/>
  <c r="E51" i="260"/>
  <c r="E55" i="260" s="1"/>
  <c r="E58" i="260"/>
  <c r="E60" i="260" s="1"/>
  <c r="G51" i="260"/>
  <c r="G55" i="260" s="1"/>
  <c r="G58" i="260"/>
  <c r="G60" i="260" s="1"/>
  <c r="I15" i="248"/>
  <c r="I14" i="248"/>
  <c r="I13" i="248"/>
  <c r="J35" i="253"/>
  <c r="I8" i="248"/>
  <c r="I7" i="248"/>
  <c r="O12" i="259"/>
  <c r="P10" i="259" s="1"/>
  <c r="H8" i="257"/>
  <c r="Q15" i="259"/>
  <c r="C38" i="260"/>
  <c r="I38" i="260" s="1"/>
  <c r="I37" i="260"/>
  <c r="G18" i="260"/>
  <c r="P6" i="259"/>
  <c r="P7" i="259"/>
  <c r="R23" i="259"/>
  <c r="I24" i="259"/>
  <c r="R12" i="259"/>
  <c r="H24" i="259"/>
  <c r="Q16" i="259"/>
  <c r="Q18" i="259" s="1"/>
  <c r="O18" i="259"/>
  <c r="P21" i="259"/>
  <c r="P20" i="259"/>
  <c r="Q23" i="259"/>
  <c r="Q12" i="259"/>
  <c r="U28" i="259"/>
  <c r="U29" i="259" s="1"/>
  <c r="C30" i="259"/>
  <c r="C31" i="259" s="1"/>
  <c r="E121" i="258"/>
  <c r="I6" i="257"/>
  <c r="I8" i="257" s="1"/>
  <c r="I3" i="257"/>
  <c r="C20" i="256"/>
  <c r="O7" i="254"/>
  <c r="N13" i="254"/>
  <c r="N31" i="254" s="1"/>
  <c r="W32" i="253"/>
  <c r="Q21" i="253"/>
  <c r="I33" i="253"/>
  <c r="I35" i="253" s="1"/>
  <c r="O32" i="253"/>
  <c r="J33" i="253"/>
  <c r="R21" i="253"/>
  <c r="D17" i="253"/>
  <c r="E17" i="253" s="1"/>
  <c r="F31" i="253"/>
  <c r="F30" i="253"/>
  <c r="F20" i="253"/>
  <c r="N27" i="253"/>
  <c r="N33" i="253" s="1"/>
  <c r="V27" i="253"/>
  <c r="Q27" i="253"/>
  <c r="Q33" i="253" s="1"/>
  <c r="F29" i="253"/>
  <c r="D18" i="253"/>
  <c r="E18" i="253" s="1"/>
  <c r="F26" i="253"/>
  <c r="M32" i="253"/>
  <c r="M33" i="253" s="1"/>
  <c r="U32" i="253"/>
  <c r="D16" i="253"/>
  <c r="E16" i="253" s="1"/>
  <c r="F16" i="253"/>
  <c r="C33" i="253"/>
  <c r="D29" i="253"/>
  <c r="E29" i="253" s="1"/>
  <c r="F14" i="253"/>
  <c r="D14" i="253"/>
  <c r="R33" i="253"/>
  <c r="F19" i="253"/>
  <c r="D19" i="253"/>
  <c r="E19" i="253" s="1"/>
  <c r="F22" i="253"/>
  <c r="D22" i="253"/>
  <c r="F23" i="253"/>
  <c r="D23" i="253"/>
  <c r="E23" i="253" s="1"/>
  <c r="D30" i="253"/>
  <c r="E30" i="253" s="1"/>
  <c r="D20" i="253"/>
  <c r="E20" i="253" s="1"/>
  <c r="V33" i="253"/>
  <c r="O21" i="253"/>
  <c r="O33" i="253" s="1"/>
  <c r="X21" i="253"/>
  <c r="X33" i="253" s="1"/>
  <c r="C27" i="253"/>
  <c r="W21" i="253"/>
  <c r="W33" i="253" s="1"/>
  <c r="P21" i="253"/>
  <c r="P33" i="253" s="1"/>
  <c r="Z27" i="253"/>
  <c r="U27" i="253"/>
  <c r="U33" i="253" s="1"/>
  <c r="C32" i="253"/>
  <c r="Z8" i="253"/>
  <c r="K27" i="253"/>
  <c r="K33" i="253" s="1"/>
  <c r="O26" i="252"/>
  <c r="Q26" i="252" s="1"/>
  <c r="Q2" i="252"/>
  <c r="Q8" i="252"/>
  <c r="M87" i="258" s="1"/>
  <c r="M88" i="258" s="1"/>
  <c r="M90" i="258" s="1"/>
  <c r="Q6" i="252"/>
  <c r="Q4" i="252"/>
  <c r="J52" i="252"/>
  <c r="D52" i="252"/>
  <c r="L52" i="252"/>
  <c r="P52" i="252"/>
  <c r="C52" i="252"/>
  <c r="K52" i="252"/>
  <c r="F52" i="252"/>
  <c r="N52" i="252"/>
  <c r="H52" i="252"/>
  <c r="I52" i="252"/>
  <c r="E52" i="252"/>
  <c r="M52" i="252"/>
  <c r="G52" i="252"/>
  <c r="B52" i="252"/>
  <c r="C21" i="250"/>
  <c r="I25" i="259" s="1"/>
  <c r="D21" i="250"/>
  <c r="I12" i="248"/>
  <c r="I16" i="248"/>
  <c r="D13" i="246"/>
  <c r="C13" i="246"/>
  <c r="J7" i="245"/>
  <c r="K4" i="245"/>
  <c r="K7" i="245" s="1"/>
  <c r="K5" i="245"/>
  <c r="J8" i="245"/>
  <c r="I4" i="245"/>
  <c r="I7" i="245" s="1"/>
  <c r="AB23" i="232"/>
  <c r="AB24" i="232"/>
  <c r="AB27" i="232" s="1"/>
  <c r="H76" i="238"/>
  <c r="I76" i="238"/>
  <c r="J76" i="238"/>
  <c r="J20" i="228"/>
  <c r="J22" i="228" s="1"/>
  <c r="P24" i="243"/>
  <c r="P20" i="243"/>
  <c r="P21" i="243"/>
  <c r="P19" i="243"/>
  <c r="P14" i="243"/>
  <c r="P15" i="243"/>
  <c r="P16" i="243"/>
  <c r="P13" i="243"/>
  <c r="P7" i="243"/>
  <c r="P8" i="243"/>
  <c r="P9" i="243"/>
  <c r="P10" i="243"/>
  <c r="P6" i="243"/>
  <c r="P23" i="243"/>
  <c r="P18" i="243"/>
  <c r="P12" i="243"/>
  <c r="P5" i="243"/>
  <c r="G19" i="279" l="1"/>
  <c r="I42" i="260"/>
  <c r="Y21" i="253"/>
  <c r="Y33" i="253" s="1"/>
  <c r="G15" i="253"/>
  <c r="M92" i="258"/>
  <c r="F86" i="258"/>
  <c r="F88" i="258" s="1"/>
  <c r="D35" i="260" s="1"/>
  <c r="D49" i="260" s="1"/>
  <c r="I26" i="259"/>
  <c r="C55" i="260"/>
  <c r="C56" i="260" s="1"/>
  <c r="O25" i="259"/>
  <c r="P8" i="259"/>
  <c r="I19" i="248"/>
  <c r="J36" i="253"/>
  <c r="P9" i="259"/>
  <c r="F31" i="258"/>
  <c r="D34" i="260" s="1"/>
  <c r="I32" i="260"/>
  <c r="I36" i="260"/>
  <c r="H18" i="260"/>
  <c r="R24" i="259"/>
  <c r="P13" i="259"/>
  <c r="P14" i="259"/>
  <c r="P16" i="259"/>
  <c r="P15" i="259"/>
  <c r="O24" i="259"/>
  <c r="Q24" i="259"/>
  <c r="J6" i="257"/>
  <c r="J8" i="257" s="1"/>
  <c r="J3" i="257"/>
  <c r="O13" i="254"/>
  <c r="O31" i="254" s="1"/>
  <c r="P7" i="254"/>
  <c r="D26" i="253"/>
  <c r="E26" i="253" s="1"/>
  <c r="F25" i="253"/>
  <c r="D25" i="253"/>
  <c r="E25" i="253" s="1"/>
  <c r="F18" i="253"/>
  <c r="D31" i="253"/>
  <c r="E31" i="253" s="1"/>
  <c r="Z32" i="253"/>
  <c r="Z21" i="253"/>
  <c r="F17" i="253"/>
  <c r="D15" i="253"/>
  <c r="F15" i="253"/>
  <c r="G21" i="253"/>
  <c r="G32" i="253"/>
  <c r="D28" i="253"/>
  <c r="F28" i="253"/>
  <c r="F32" i="253" s="1"/>
  <c r="F24" i="253"/>
  <c r="D24" i="253"/>
  <c r="E24" i="253" s="1"/>
  <c r="E22" i="253"/>
  <c r="E14" i="253"/>
  <c r="O52" i="252"/>
  <c r="I21" i="248"/>
  <c r="J9" i="245"/>
  <c r="M15" i="243"/>
  <c r="D145" i="238"/>
  <c r="G99" i="238"/>
  <c r="H99" i="238"/>
  <c r="I99" i="238"/>
  <c r="J99" i="238"/>
  <c r="F99" i="238"/>
  <c r="E99" i="238"/>
  <c r="D99" i="238"/>
  <c r="F97" i="238"/>
  <c r="F22" i="236"/>
  <c r="E22" i="236"/>
  <c r="D22" i="236"/>
  <c r="C22" i="236"/>
  <c r="B22" i="236"/>
  <c r="G22" i="236"/>
  <c r="H15" i="236"/>
  <c r="D88" i="235"/>
  <c r="D70" i="235"/>
  <c r="G20" i="228"/>
  <c r="H20" i="228"/>
  <c r="I20" i="228"/>
  <c r="F20" i="228"/>
  <c r="E17" i="244"/>
  <c r="F17" i="244"/>
  <c r="G17" i="244"/>
  <c r="H17" i="244"/>
  <c r="D17" i="244"/>
  <c r="I27" i="279" l="1"/>
  <c r="H19" i="279"/>
  <c r="Q52" i="252"/>
  <c r="Q54" i="252" s="1"/>
  <c r="E86" i="258"/>
  <c r="C26" i="260"/>
  <c r="G10" i="255" s="1"/>
  <c r="D51" i="260"/>
  <c r="D58" i="260"/>
  <c r="D60" i="260" s="1"/>
  <c r="D61" i="260" s="1"/>
  <c r="E61" i="260" s="1"/>
  <c r="F61" i="260" s="1"/>
  <c r="G61" i="260" s="1"/>
  <c r="H61" i="260" s="1"/>
  <c r="I35" i="260"/>
  <c r="E27" i="260"/>
  <c r="F27" i="260"/>
  <c r="G27" i="260"/>
  <c r="H27" i="260"/>
  <c r="F185" i="258"/>
  <c r="F184" i="258" a="1"/>
  <c r="F184" i="258" s="1"/>
  <c r="AC31" i="254"/>
  <c r="C49" i="259"/>
  <c r="O26" i="259"/>
  <c r="N34" i="259"/>
  <c r="N35" i="259" s="1"/>
  <c r="Q35" i="259" s="1"/>
  <c r="P5" i="259"/>
  <c r="P23" i="259"/>
  <c r="P12" i="259"/>
  <c r="P18" i="259"/>
  <c r="P13" i="254"/>
  <c r="P31" i="254" s="1"/>
  <c r="Q7" i="254"/>
  <c r="F27" i="253"/>
  <c r="Z33" i="253"/>
  <c r="E27" i="253"/>
  <c r="F21" i="253"/>
  <c r="D27" i="253"/>
  <c r="D21" i="253"/>
  <c r="E15" i="253"/>
  <c r="E21" i="253" s="1"/>
  <c r="D32" i="253"/>
  <c r="E28" i="253"/>
  <c r="E32" i="253" s="1"/>
  <c r="G33" i="253"/>
  <c r="G35" i="253" s="1"/>
  <c r="C16" i="241"/>
  <c r="C20" i="241"/>
  <c r="C26" i="241"/>
  <c r="C27" i="241"/>
  <c r="C39" i="241"/>
  <c r="C40" i="241" s="1"/>
  <c r="C48" i="241"/>
  <c r="E14" i="230"/>
  <c r="E88" i="258" l="1"/>
  <c r="E185" i="258" s="1"/>
  <c r="E184" i="258" a="1"/>
  <c r="E184" i="258" s="1"/>
  <c r="D55" i="260"/>
  <c r="D56" i="260" s="1"/>
  <c r="E56" i="260" s="1"/>
  <c r="F56" i="260" s="1"/>
  <c r="G56" i="260" s="1"/>
  <c r="H56" i="260" s="1"/>
  <c r="F33" i="253"/>
  <c r="F35" i="253" s="1"/>
  <c r="I34" i="260"/>
  <c r="D27" i="260"/>
  <c r="P24" i="259"/>
  <c r="C50" i="259"/>
  <c r="H50" i="259" s="1"/>
  <c r="H49" i="259"/>
  <c r="R7" i="254"/>
  <c r="R13" i="254" s="1"/>
  <c r="R31" i="254" s="1"/>
  <c r="Q13" i="254"/>
  <c r="Q31" i="254" s="1"/>
  <c r="E33" i="253"/>
  <c r="D33" i="253"/>
  <c r="C42" i="241"/>
  <c r="I27" i="260" l="1"/>
  <c r="D26" i="260"/>
  <c r="E26" i="260" s="1"/>
  <c r="U7" i="254"/>
  <c r="AC7" i="254" s="1"/>
  <c r="D36" i="253"/>
  <c r="D35" i="253"/>
  <c r="F74" i="238"/>
  <c r="F26" i="260" l="1"/>
  <c r="E19" i="260"/>
  <c r="F22" i="228"/>
  <c r="G22" i="228"/>
  <c r="I77" i="238" s="1"/>
  <c r="G44" i="244" s="1"/>
  <c r="H22" i="228"/>
  <c r="I22" i="228"/>
  <c r="F128" i="238"/>
  <c r="J125" i="238"/>
  <c r="I125" i="238"/>
  <c r="H125" i="238"/>
  <c r="G125" i="238"/>
  <c r="F125" i="238"/>
  <c r="D125" i="238"/>
  <c r="E124" i="238"/>
  <c r="E125" i="238" s="1"/>
  <c r="E4" i="230"/>
  <c r="C30" i="244"/>
  <c r="C28" i="244"/>
  <c r="G11" i="241"/>
  <c r="C9" i="242"/>
  <c r="C44" i="244"/>
  <c r="C43" i="244"/>
  <c r="C42" i="244"/>
  <c r="C45" i="244"/>
  <c r="C41" i="244"/>
  <c r="C40" i="244"/>
  <c r="I25" i="244"/>
  <c r="I22" i="244"/>
  <c r="C24" i="244"/>
  <c r="I24" i="244" s="1"/>
  <c r="C23" i="244"/>
  <c r="I23" i="244" s="1"/>
  <c r="C21" i="244"/>
  <c r="I21" i="244" s="1"/>
  <c r="I20" i="244"/>
  <c r="N20" i="243"/>
  <c r="N19" i="243"/>
  <c r="N23" i="243" s="1"/>
  <c r="N16" i="243"/>
  <c r="N18" i="243" s="1"/>
  <c r="N6" i="243"/>
  <c r="N12" i="243" s="1"/>
  <c r="M20" i="243"/>
  <c r="M23" i="243" s="1"/>
  <c r="M19" i="243"/>
  <c r="M16" i="243"/>
  <c r="M18" i="243" s="1"/>
  <c r="M14" i="243"/>
  <c r="M10" i="243"/>
  <c r="M9" i="243"/>
  <c r="M7" i="243"/>
  <c r="M6" i="243"/>
  <c r="L19" i="243"/>
  <c r="L23" i="243" s="1"/>
  <c r="L16" i="243"/>
  <c r="L18" i="243" s="1"/>
  <c r="J5" i="243"/>
  <c r="J6" i="243"/>
  <c r="J7" i="243"/>
  <c r="J8" i="243"/>
  <c r="O8" i="243" s="1"/>
  <c r="J9" i="243"/>
  <c r="J10" i="243"/>
  <c r="J11" i="243"/>
  <c r="O11" i="243" s="1"/>
  <c r="J13" i="243"/>
  <c r="J14" i="243"/>
  <c r="J15" i="243"/>
  <c r="J16" i="243"/>
  <c r="J17" i="243"/>
  <c r="J18" i="243"/>
  <c r="J19" i="243"/>
  <c r="J20" i="243"/>
  <c r="J23" i="243" s="1"/>
  <c r="J21" i="243"/>
  <c r="J22" i="243"/>
  <c r="O22" i="243" s="1"/>
  <c r="Q22" i="243" s="1"/>
  <c r="I22" i="243"/>
  <c r="I21" i="243"/>
  <c r="I20" i="243"/>
  <c r="I19" i="243"/>
  <c r="I16" i="243"/>
  <c r="I15" i="243"/>
  <c r="I14" i="243"/>
  <c r="I13" i="243"/>
  <c r="I11" i="243"/>
  <c r="I10" i="243"/>
  <c r="I9" i="243"/>
  <c r="I8" i="243"/>
  <c r="I7" i="243"/>
  <c r="I5" i="243"/>
  <c r="I6" i="243"/>
  <c r="O21" i="243"/>
  <c r="O5" i="243"/>
  <c r="C31" i="244" s="1"/>
  <c r="I31" i="244" s="1"/>
  <c r="O13" i="243"/>
  <c r="O17" i="243"/>
  <c r="C10" i="230"/>
  <c r="D10" i="230"/>
  <c r="C16" i="230"/>
  <c r="D16" i="230"/>
  <c r="C20" i="230"/>
  <c r="D20" i="230"/>
  <c r="D21" i="230" s="1"/>
  <c r="J25" i="243" s="1"/>
  <c r="B20" i="230"/>
  <c r="B10" i="230"/>
  <c r="R11" i="243"/>
  <c r="O35" i="243"/>
  <c r="N32" i="243"/>
  <c r="N30" i="243"/>
  <c r="N29" i="243"/>
  <c r="N28" i="243"/>
  <c r="D28" i="243"/>
  <c r="C28" i="243"/>
  <c r="N27" i="243"/>
  <c r="E27" i="243"/>
  <c r="D27" i="243"/>
  <c r="N26" i="243"/>
  <c r="D23" i="243"/>
  <c r="G22" i="243"/>
  <c r="H22" i="243" s="1"/>
  <c r="F22" i="243"/>
  <c r="E22" i="243"/>
  <c r="C22" i="243"/>
  <c r="G21" i="243"/>
  <c r="H21" i="243" s="1"/>
  <c r="F21" i="243"/>
  <c r="E21" i="243"/>
  <c r="E23" i="243" s="1"/>
  <c r="C21" i="243"/>
  <c r="K20" i="243"/>
  <c r="K23" i="243" s="1"/>
  <c r="G20" i="243"/>
  <c r="F20" i="243"/>
  <c r="E20" i="243"/>
  <c r="C20" i="243"/>
  <c r="G19" i="243"/>
  <c r="R19" i="243" s="1"/>
  <c r="F19" i="243"/>
  <c r="E19" i="243"/>
  <c r="C19" i="243"/>
  <c r="K18" i="243"/>
  <c r="D18" i="243"/>
  <c r="R17" i="243"/>
  <c r="I17" i="243"/>
  <c r="H17" i="243"/>
  <c r="G17" i="243"/>
  <c r="F17" i="243"/>
  <c r="E17" i="243"/>
  <c r="C17" i="243"/>
  <c r="H16" i="243"/>
  <c r="G16" i="243"/>
  <c r="R16" i="243" s="1"/>
  <c r="F16" i="243"/>
  <c r="E16" i="243"/>
  <c r="C16" i="243"/>
  <c r="O15" i="243"/>
  <c r="G15" i="243"/>
  <c r="R15" i="243" s="1"/>
  <c r="F15" i="243"/>
  <c r="E15" i="243"/>
  <c r="C15" i="243"/>
  <c r="R14" i="243"/>
  <c r="G14" i="243"/>
  <c r="H14" i="243" s="1"/>
  <c r="F14" i="243"/>
  <c r="E14" i="243"/>
  <c r="C14" i="243"/>
  <c r="G13" i="243"/>
  <c r="G18" i="243" s="1"/>
  <c r="F13" i="243"/>
  <c r="E13" i="243"/>
  <c r="C13" i="243"/>
  <c r="L12" i="243"/>
  <c r="K12" i="243"/>
  <c r="G11" i="243"/>
  <c r="H11" i="243" s="1"/>
  <c r="F11" i="243"/>
  <c r="E11" i="243"/>
  <c r="G10" i="243"/>
  <c r="R10" i="243" s="1"/>
  <c r="F10" i="243"/>
  <c r="E10" i="243"/>
  <c r="C10" i="243"/>
  <c r="O9" i="243"/>
  <c r="G9" i="243"/>
  <c r="H9" i="243" s="1"/>
  <c r="F9" i="243"/>
  <c r="G8" i="243"/>
  <c r="H8" i="243" s="1"/>
  <c r="F8" i="243"/>
  <c r="F12" i="243" s="1"/>
  <c r="E8" i="243"/>
  <c r="C8" i="243"/>
  <c r="O7" i="243"/>
  <c r="C35" i="244" s="1"/>
  <c r="G7" i="243"/>
  <c r="F7" i="243"/>
  <c r="E7" i="243"/>
  <c r="D7" i="243"/>
  <c r="D12" i="243" s="1"/>
  <c r="C7" i="243"/>
  <c r="M12" i="243"/>
  <c r="G6" i="243"/>
  <c r="H6" i="243" s="1"/>
  <c r="F6" i="243"/>
  <c r="E6" i="243"/>
  <c r="E12" i="243" s="1"/>
  <c r="C6" i="243"/>
  <c r="C12" i="243" s="1"/>
  <c r="K5" i="243"/>
  <c r="G5" i="243"/>
  <c r="F5" i="243"/>
  <c r="E5" i="243"/>
  <c r="C5" i="243"/>
  <c r="C25" i="242"/>
  <c r="C24" i="242"/>
  <c r="C23" i="242"/>
  <c r="C17" i="242"/>
  <c r="C29" i="244" s="1"/>
  <c r="C15" i="242"/>
  <c r="C14" i="242"/>
  <c r="E34" i="241"/>
  <c r="C17" i="244" s="1"/>
  <c r="C10" i="242"/>
  <c r="J28" i="240"/>
  <c r="J25" i="240"/>
  <c r="H32" i="240"/>
  <c r="H27" i="240"/>
  <c r="H21" i="240"/>
  <c r="H33" i="240" s="1"/>
  <c r="H35" i="240" s="1"/>
  <c r="J29" i="240"/>
  <c r="J23" i="240"/>
  <c r="J27" i="240" s="1"/>
  <c r="J19" i="240"/>
  <c r="J18" i="240"/>
  <c r="J16" i="240"/>
  <c r="J15" i="240"/>
  <c r="I15" i="240"/>
  <c r="I29" i="240"/>
  <c r="I32" i="240" s="1"/>
  <c r="I28" i="240"/>
  <c r="I25" i="240"/>
  <c r="I27" i="240" s="1"/>
  <c r="X29" i="240"/>
  <c r="X25" i="240"/>
  <c r="X31" i="240"/>
  <c r="W31" i="240"/>
  <c r="X30" i="240"/>
  <c r="W30" i="240"/>
  <c r="X28" i="240"/>
  <c r="W28" i="240"/>
  <c r="X26" i="240"/>
  <c r="W26" i="240"/>
  <c r="W25" i="240"/>
  <c r="W24" i="240"/>
  <c r="X23" i="240"/>
  <c r="W23" i="240"/>
  <c r="X22" i="240"/>
  <c r="W22" i="240"/>
  <c r="X20" i="240"/>
  <c r="W20" i="240"/>
  <c r="X19" i="240"/>
  <c r="W19" i="240"/>
  <c r="X18" i="240"/>
  <c r="W18" i="240"/>
  <c r="X17" i="240"/>
  <c r="W17" i="240"/>
  <c r="X16" i="240"/>
  <c r="W16" i="240"/>
  <c r="X15" i="240"/>
  <c r="W15" i="240"/>
  <c r="X14" i="240"/>
  <c r="W14" i="240"/>
  <c r="V31" i="240"/>
  <c r="U31" i="240"/>
  <c r="T31" i="240"/>
  <c r="S31" i="240"/>
  <c r="R31" i="240"/>
  <c r="Q31" i="240"/>
  <c r="P31" i="240"/>
  <c r="O31" i="240"/>
  <c r="N31" i="240"/>
  <c r="M31" i="240"/>
  <c r="L31" i="240"/>
  <c r="K31" i="240"/>
  <c r="C31" i="240"/>
  <c r="V30" i="240"/>
  <c r="U30" i="240"/>
  <c r="T30" i="240"/>
  <c r="S30" i="240"/>
  <c r="R30" i="240"/>
  <c r="Q30" i="240"/>
  <c r="P30" i="240"/>
  <c r="O30" i="240"/>
  <c r="N30" i="240"/>
  <c r="M30" i="240"/>
  <c r="L30" i="240"/>
  <c r="K30" i="240"/>
  <c r="C30" i="240"/>
  <c r="V29" i="240"/>
  <c r="U29" i="240"/>
  <c r="T29" i="240"/>
  <c r="S29" i="240"/>
  <c r="R29" i="240"/>
  <c r="Q29" i="240"/>
  <c r="P29" i="240"/>
  <c r="O29" i="240"/>
  <c r="N29" i="240"/>
  <c r="M29" i="240"/>
  <c r="L29" i="240"/>
  <c r="K29" i="240"/>
  <c r="C29" i="240"/>
  <c r="V28" i="240"/>
  <c r="U28" i="240"/>
  <c r="T28" i="240"/>
  <c r="S28" i="240"/>
  <c r="R28" i="240"/>
  <c r="Q28" i="240"/>
  <c r="P28" i="240"/>
  <c r="O28" i="240"/>
  <c r="N28" i="240"/>
  <c r="M28" i="240"/>
  <c r="L28" i="240"/>
  <c r="K28" i="240"/>
  <c r="C28" i="240"/>
  <c r="V26" i="240"/>
  <c r="T26" i="240"/>
  <c r="S26" i="240"/>
  <c r="R26" i="240"/>
  <c r="Q26" i="240"/>
  <c r="P26" i="240"/>
  <c r="O26" i="240"/>
  <c r="N26" i="240"/>
  <c r="M26" i="240"/>
  <c r="L26" i="240"/>
  <c r="K26" i="240"/>
  <c r="C26" i="240"/>
  <c r="V25" i="240"/>
  <c r="U25" i="240"/>
  <c r="T25" i="240"/>
  <c r="S25" i="240"/>
  <c r="R25" i="240"/>
  <c r="Q25" i="240"/>
  <c r="P25" i="240"/>
  <c r="O25" i="240"/>
  <c r="N25" i="240"/>
  <c r="M25" i="240"/>
  <c r="L25" i="240"/>
  <c r="K25" i="240"/>
  <c r="C25" i="240"/>
  <c r="V24" i="240"/>
  <c r="U24" i="240"/>
  <c r="T24" i="240"/>
  <c r="S24" i="240"/>
  <c r="R24" i="240"/>
  <c r="Q24" i="240"/>
  <c r="P24" i="240"/>
  <c r="O24" i="240"/>
  <c r="N24" i="240"/>
  <c r="M24" i="240"/>
  <c r="L24" i="240"/>
  <c r="K24" i="240"/>
  <c r="C24" i="240"/>
  <c r="V23" i="240"/>
  <c r="U23" i="240"/>
  <c r="T23" i="240"/>
  <c r="S23" i="240"/>
  <c r="R23" i="240"/>
  <c r="Q23" i="240"/>
  <c r="P23" i="240"/>
  <c r="O23" i="240"/>
  <c r="N23" i="240"/>
  <c r="M23" i="240"/>
  <c r="L23" i="240"/>
  <c r="K23" i="240"/>
  <c r="C23" i="240"/>
  <c r="V22" i="240"/>
  <c r="U22" i="240"/>
  <c r="T22" i="240"/>
  <c r="T27" i="240" s="1"/>
  <c r="S22" i="240"/>
  <c r="R22" i="240"/>
  <c r="R27" i="240" s="1"/>
  <c r="Q22" i="240"/>
  <c r="P22" i="240"/>
  <c r="O22" i="240"/>
  <c r="N22" i="240"/>
  <c r="M22" i="240"/>
  <c r="L22" i="240"/>
  <c r="L27" i="240" s="1"/>
  <c r="K22" i="240"/>
  <c r="C22" i="240"/>
  <c r="C27" i="240" s="1"/>
  <c r="I21" i="240"/>
  <c r="V20" i="240"/>
  <c r="U20" i="240"/>
  <c r="T20" i="240"/>
  <c r="S20" i="240"/>
  <c r="R20" i="240"/>
  <c r="Q20" i="240"/>
  <c r="P20" i="240"/>
  <c r="O20" i="240"/>
  <c r="N20" i="240"/>
  <c r="M20" i="240"/>
  <c r="L20" i="240"/>
  <c r="K20" i="240"/>
  <c r="C20" i="240"/>
  <c r="V19" i="240"/>
  <c r="U19" i="240"/>
  <c r="T19" i="240"/>
  <c r="S19" i="240"/>
  <c r="R19" i="240"/>
  <c r="Q19" i="240"/>
  <c r="P19" i="240"/>
  <c r="O19" i="240"/>
  <c r="N19" i="240"/>
  <c r="M19" i="240"/>
  <c r="L19" i="240"/>
  <c r="K19" i="240"/>
  <c r="C19" i="240"/>
  <c r="V18" i="240"/>
  <c r="U18" i="240"/>
  <c r="T18" i="240"/>
  <c r="S18" i="240"/>
  <c r="R18" i="240"/>
  <c r="Q18" i="240"/>
  <c r="P18" i="240"/>
  <c r="O18" i="240"/>
  <c r="N18" i="240"/>
  <c r="M18" i="240"/>
  <c r="L18" i="240"/>
  <c r="K18" i="240"/>
  <c r="C18" i="240"/>
  <c r="V17" i="240"/>
  <c r="U17" i="240"/>
  <c r="T17" i="240"/>
  <c r="S17" i="240"/>
  <c r="R17" i="240"/>
  <c r="Q17" i="240"/>
  <c r="P17" i="240"/>
  <c r="O17" i="240"/>
  <c r="N17" i="240"/>
  <c r="M17" i="240"/>
  <c r="L17" i="240"/>
  <c r="K17" i="240"/>
  <c r="C17" i="240"/>
  <c r="V16" i="240"/>
  <c r="U16" i="240"/>
  <c r="T16" i="240"/>
  <c r="S16" i="240"/>
  <c r="R16" i="240"/>
  <c r="Q16" i="240"/>
  <c r="P16" i="240"/>
  <c r="O16" i="240"/>
  <c r="N16" i="240"/>
  <c r="M16" i="240"/>
  <c r="L16" i="240"/>
  <c r="K16" i="240"/>
  <c r="C16" i="240"/>
  <c r="V15" i="240"/>
  <c r="U15" i="240"/>
  <c r="T15" i="240"/>
  <c r="S15" i="240"/>
  <c r="R15" i="240"/>
  <c r="Q15" i="240"/>
  <c r="P15" i="240"/>
  <c r="O15" i="240"/>
  <c r="N15" i="240"/>
  <c r="M15" i="240"/>
  <c r="L15" i="240"/>
  <c r="K15" i="240"/>
  <c r="C15" i="240"/>
  <c r="V14" i="240"/>
  <c r="U14" i="240"/>
  <c r="T14" i="240"/>
  <c r="S14" i="240"/>
  <c r="R14" i="240"/>
  <c r="Q14" i="240"/>
  <c r="P14" i="240"/>
  <c r="O14" i="240"/>
  <c r="N14" i="240"/>
  <c r="M14" i="240"/>
  <c r="L14" i="240"/>
  <c r="K14" i="240"/>
  <c r="C14" i="240"/>
  <c r="D8" i="240"/>
  <c r="F8" i="240" s="1"/>
  <c r="C8" i="240"/>
  <c r="D6" i="240"/>
  <c r="C6" i="240"/>
  <c r="Y6" i="240" s="1"/>
  <c r="D5" i="240"/>
  <c r="Y5" i="240" s="1"/>
  <c r="O38" i="239"/>
  <c r="O27" i="239"/>
  <c r="P3" i="239"/>
  <c r="P5" i="239"/>
  <c r="P7" i="239"/>
  <c r="P9" i="239"/>
  <c r="P11" i="239"/>
  <c r="P13" i="239"/>
  <c r="P14" i="239"/>
  <c r="P15" i="239"/>
  <c r="P16" i="239"/>
  <c r="P17" i="239"/>
  <c r="P18" i="239"/>
  <c r="P19" i="239"/>
  <c r="P21" i="239"/>
  <c r="P23" i="239"/>
  <c r="P25" i="239"/>
  <c r="P27" i="239"/>
  <c r="P28" i="239"/>
  <c r="P29" i="239"/>
  <c r="P30" i="239"/>
  <c r="P32" i="239"/>
  <c r="P33" i="239"/>
  <c r="P35" i="239"/>
  <c r="P36" i="239"/>
  <c r="P37" i="239"/>
  <c r="P38" i="239"/>
  <c r="P39" i="239"/>
  <c r="P40" i="239"/>
  <c r="P41" i="239"/>
  <c r="P42" i="239"/>
  <c r="P44" i="239"/>
  <c r="P45" i="239"/>
  <c r="P49" i="239"/>
  <c r="P51" i="239"/>
  <c r="O2" i="239"/>
  <c r="O4" i="239"/>
  <c r="O6" i="239"/>
  <c r="O8" i="239"/>
  <c r="O10" i="239"/>
  <c r="O12" i="239"/>
  <c r="O20" i="239"/>
  <c r="O22" i="239"/>
  <c r="O24" i="239"/>
  <c r="O26" i="239"/>
  <c r="O31" i="239"/>
  <c r="X24" i="240" s="1"/>
  <c r="O34" i="239"/>
  <c r="O43" i="239"/>
  <c r="O46" i="239"/>
  <c r="O48" i="239"/>
  <c r="O50" i="239"/>
  <c r="N50" i="239"/>
  <c r="M50" i="239"/>
  <c r="L50" i="239"/>
  <c r="K50" i="239"/>
  <c r="J50" i="239"/>
  <c r="I50" i="239"/>
  <c r="H50" i="239"/>
  <c r="G50" i="239"/>
  <c r="F50" i="239"/>
  <c r="E50" i="239"/>
  <c r="D50" i="239"/>
  <c r="C50" i="239"/>
  <c r="B50" i="239"/>
  <c r="P50" i="239" s="1"/>
  <c r="N48" i="239"/>
  <c r="M48" i="239"/>
  <c r="L48" i="239"/>
  <c r="K48" i="239"/>
  <c r="J48" i="239"/>
  <c r="I48" i="239"/>
  <c r="H48" i="239"/>
  <c r="G48" i="239"/>
  <c r="P48" i="239" s="1"/>
  <c r="F48" i="239"/>
  <c r="E48" i="239"/>
  <c r="D48" i="239"/>
  <c r="C48" i="239"/>
  <c r="B48" i="239"/>
  <c r="K47" i="239"/>
  <c r="K46" i="239" s="1"/>
  <c r="N46" i="239"/>
  <c r="M46" i="239"/>
  <c r="L46" i="239"/>
  <c r="J46" i="239"/>
  <c r="I46" i="239"/>
  <c r="H46" i="239"/>
  <c r="G46" i="239"/>
  <c r="F46" i="239"/>
  <c r="E46" i="239"/>
  <c r="D46" i="239"/>
  <c r="C46" i="239"/>
  <c r="B46" i="239"/>
  <c r="P46" i="239" s="1"/>
  <c r="N43" i="239"/>
  <c r="M43" i="239"/>
  <c r="L43" i="239"/>
  <c r="K43" i="239"/>
  <c r="J43" i="239"/>
  <c r="I43" i="239"/>
  <c r="H43" i="239"/>
  <c r="G43" i="239"/>
  <c r="F43" i="239"/>
  <c r="P43" i="239" s="1"/>
  <c r="E43" i="239"/>
  <c r="D43" i="239"/>
  <c r="C43" i="239"/>
  <c r="B43" i="239"/>
  <c r="N34" i="239"/>
  <c r="M34" i="239"/>
  <c r="L34" i="239"/>
  <c r="K34" i="239"/>
  <c r="J34" i="239"/>
  <c r="I34" i="239"/>
  <c r="H34" i="239"/>
  <c r="G34" i="239"/>
  <c r="F34" i="239"/>
  <c r="E34" i="239"/>
  <c r="D34" i="239"/>
  <c r="C34" i="239"/>
  <c r="B34" i="239"/>
  <c r="N31" i="239"/>
  <c r="M31" i="239"/>
  <c r="L31" i="239"/>
  <c r="K31" i="239"/>
  <c r="J31" i="239"/>
  <c r="I31" i="239"/>
  <c r="H31" i="239"/>
  <c r="G31" i="239"/>
  <c r="F31" i="239"/>
  <c r="E31" i="239"/>
  <c r="D31" i="239"/>
  <c r="C31" i="239"/>
  <c r="B31" i="239"/>
  <c r="N26" i="239"/>
  <c r="M26" i="239"/>
  <c r="L26" i="239"/>
  <c r="K26" i="239"/>
  <c r="J26" i="239"/>
  <c r="I26" i="239"/>
  <c r="H26" i="239"/>
  <c r="G26" i="239"/>
  <c r="F26" i="239"/>
  <c r="E26" i="239"/>
  <c r="D26" i="239"/>
  <c r="C26" i="239"/>
  <c r="B26" i="239"/>
  <c r="P26" i="239" s="1"/>
  <c r="N24" i="239"/>
  <c r="M24" i="239"/>
  <c r="L24" i="239"/>
  <c r="K24" i="239"/>
  <c r="J24" i="239"/>
  <c r="I24" i="239"/>
  <c r="H24" i="239"/>
  <c r="G24" i="239"/>
  <c r="F24" i="239"/>
  <c r="E24" i="239"/>
  <c r="P24" i="239" s="1"/>
  <c r="D24" i="239"/>
  <c r="C24" i="239"/>
  <c r="B24" i="239"/>
  <c r="N22" i="239"/>
  <c r="M22" i="239"/>
  <c r="L22" i="239"/>
  <c r="K22" i="239"/>
  <c r="J22" i="239"/>
  <c r="I22" i="239"/>
  <c r="H22" i="239"/>
  <c r="G22" i="239"/>
  <c r="F22" i="239"/>
  <c r="E22" i="239"/>
  <c r="D22" i="239"/>
  <c r="C22" i="239"/>
  <c r="B22" i="239"/>
  <c r="P22" i="239" s="1"/>
  <c r="N20" i="239"/>
  <c r="M20" i="239"/>
  <c r="L20" i="239"/>
  <c r="K20" i="239"/>
  <c r="J20" i="239"/>
  <c r="I20" i="239"/>
  <c r="H20" i="239"/>
  <c r="G20" i="239"/>
  <c r="F20" i="239"/>
  <c r="E20" i="239"/>
  <c r="D20" i="239"/>
  <c r="C20" i="239"/>
  <c r="B20" i="239"/>
  <c r="P20" i="239" s="1"/>
  <c r="N12" i="239"/>
  <c r="M12" i="239"/>
  <c r="L12" i="239"/>
  <c r="K12" i="239"/>
  <c r="J12" i="239"/>
  <c r="I12" i="239"/>
  <c r="H12" i="239"/>
  <c r="G12" i="239"/>
  <c r="F12" i="239"/>
  <c r="E12" i="239"/>
  <c r="D12" i="239"/>
  <c r="C12" i="239"/>
  <c r="B12" i="239"/>
  <c r="P12" i="239" s="1"/>
  <c r="N10" i="239"/>
  <c r="M10" i="239"/>
  <c r="L10" i="239"/>
  <c r="K10" i="239"/>
  <c r="J10" i="239"/>
  <c r="I10" i="239"/>
  <c r="H10" i="239"/>
  <c r="G10" i="239"/>
  <c r="F10" i="239"/>
  <c r="E10" i="239"/>
  <c r="D10" i="239"/>
  <c r="C10" i="239"/>
  <c r="B10" i="239"/>
  <c r="P10" i="239" s="1"/>
  <c r="N8" i="239"/>
  <c r="M8" i="239"/>
  <c r="L8" i="239"/>
  <c r="K8" i="239"/>
  <c r="J8" i="239"/>
  <c r="I8" i="239"/>
  <c r="H8" i="239"/>
  <c r="G8" i="239"/>
  <c r="F8" i="239"/>
  <c r="P8" i="239" s="1"/>
  <c r="E8" i="239"/>
  <c r="D8" i="239"/>
  <c r="C8" i="239"/>
  <c r="B8" i="239"/>
  <c r="N6" i="239"/>
  <c r="M6" i="239"/>
  <c r="L6" i="239"/>
  <c r="K6" i="239"/>
  <c r="J6" i="239"/>
  <c r="I6" i="239"/>
  <c r="H6" i="239"/>
  <c r="G6" i="239"/>
  <c r="F6" i="239"/>
  <c r="E6" i="239"/>
  <c r="D6" i="239"/>
  <c r="C6" i="239"/>
  <c r="B6" i="239"/>
  <c r="P6" i="239" s="1"/>
  <c r="N4" i="239"/>
  <c r="M4" i="239"/>
  <c r="L4" i="239"/>
  <c r="K4" i="239"/>
  <c r="J4" i="239"/>
  <c r="I4" i="239"/>
  <c r="H4" i="239"/>
  <c r="G4" i="239"/>
  <c r="F4" i="239"/>
  <c r="E4" i="239"/>
  <c r="D4" i="239"/>
  <c r="C4" i="239"/>
  <c r="B4" i="239"/>
  <c r="P4" i="239" s="1"/>
  <c r="N2" i="239"/>
  <c r="M2" i="239"/>
  <c r="L2" i="239"/>
  <c r="K2" i="239"/>
  <c r="J2" i="239"/>
  <c r="I2" i="239"/>
  <c r="H2" i="239"/>
  <c r="G2" i="239"/>
  <c r="F2" i="239"/>
  <c r="E2" i="239"/>
  <c r="D2" i="239"/>
  <c r="C2" i="239"/>
  <c r="B2" i="239"/>
  <c r="P2" i="239" s="1"/>
  <c r="F9" i="238"/>
  <c r="E9" i="238" s="1"/>
  <c r="D10" i="238"/>
  <c r="G10" i="238"/>
  <c r="E32" i="244" s="1"/>
  <c r="H10" i="238"/>
  <c r="F32" i="244" s="1"/>
  <c r="I10" i="238"/>
  <c r="G32" i="244" s="1"/>
  <c r="J10" i="238"/>
  <c r="H32" i="244" s="1"/>
  <c r="F13" i="238"/>
  <c r="E13" i="238" s="1"/>
  <c r="F14" i="238"/>
  <c r="F15" i="238"/>
  <c r="E15" i="238" s="1"/>
  <c r="F16" i="238"/>
  <c r="E16" i="238" s="1"/>
  <c r="E17" i="238"/>
  <c r="F18" i="238"/>
  <c r="G18" i="238"/>
  <c r="G19" i="238" s="1"/>
  <c r="H18" i="238"/>
  <c r="H19" i="238" s="1"/>
  <c r="F34" i="244" s="1"/>
  <c r="I18" i="238"/>
  <c r="I19" i="238" s="1"/>
  <c r="G34" i="244" s="1"/>
  <c r="J18" i="238"/>
  <c r="J19" i="238" s="1"/>
  <c r="H34" i="244" s="1"/>
  <c r="D19" i="238"/>
  <c r="F22" i="238"/>
  <c r="E22" i="238" s="1"/>
  <c r="E23" i="238"/>
  <c r="F23" i="238"/>
  <c r="F24" i="238"/>
  <c r="E24" i="238" s="1"/>
  <c r="F25" i="238"/>
  <c r="F26" i="238"/>
  <c r="E26" i="238" s="1"/>
  <c r="F27" i="238"/>
  <c r="E27" i="238" s="1"/>
  <c r="F28" i="238"/>
  <c r="E28" i="238" s="1"/>
  <c r="F29" i="238"/>
  <c r="E29" i="238" s="1"/>
  <c r="F30" i="238"/>
  <c r="E30" i="238" s="1"/>
  <c r="F31" i="238"/>
  <c r="E31" i="238" s="1"/>
  <c r="F32" i="238"/>
  <c r="E32" i="238" s="1"/>
  <c r="F33" i="238"/>
  <c r="E33" i="238" s="1"/>
  <c r="F34" i="238"/>
  <c r="E34" i="238" s="1"/>
  <c r="F35" i="238"/>
  <c r="E35" i="238" s="1"/>
  <c r="F36" i="238"/>
  <c r="E36" i="238" s="1"/>
  <c r="F37" i="238"/>
  <c r="E37" i="238" s="1"/>
  <c r="F38" i="238"/>
  <c r="E38" i="238" s="1"/>
  <c r="F39" i="238"/>
  <c r="E39" i="238" s="1"/>
  <c r="F40" i="238"/>
  <c r="E40" i="238" s="1"/>
  <c r="F41" i="238"/>
  <c r="E41" i="238" s="1"/>
  <c r="E42" i="238"/>
  <c r="F43" i="238"/>
  <c r="G43" i="238"/>
  <c r="G44" i="238" s="1"/>
  <c r="E35" i="244" s="1"/>
  <c r="H43" i="238"/>
  <c r="H44" i="238" s="1"/>
  <c r="F35" i="244" s="1"/>
  <c r="I43" i="238"/>
  <c r="I44" i="238" s="1"/>
  <c r="G35" i="244" s="1"/>
  <c r="J43" i="238"/>
  <c r="J44" i="238" s="1"/>
  <c r="H35" i="244" s="1"/>
  <c r="D44" i="238"/>
  <c r="E47" i="238"/>
  <c r="E48" i="238" s="1"/>
  <c r="D48" i="238"/>
  <c r="F48" i="238"/>
  <c r="D39" i="244" s="1"/>
  <c r="G48" i="238"/>
  <c r="E39" i="244" s="1"/>
  <c r="H48" i="238"/>
  <c r="F39" i="244" s="1"/>
  <c r="I48" i="238"/>
  <c r="G39" i="244" s="1"/>
  <c r="J48" i="238"/>
  <c r="H39" i="244" s="1"/>
  <c r="F51" i="238"/>
  <c r="E51" i="238" s="1"/>
  <c r="F52" i="238"/>
  <c r="E52" i="238" s="1"/>
  <c r="D53" i="238"/>
  <c r="G53" i="238"/>
  <c r="H53" i="238"/>
  <c r="I53" i="238"/>
  <c r="J53" i="238"/>
  <c r="F56" i="238"/>
  <c r="E56" i="238" s="1"/>
  <c r="F57" i="238"/>
  <c r="E57" i="238" s="1"/>
  <c r="E58" i="238"/>
  <c r="D59" i="238"/>
  <c r="G59" i="238"/>
  <c r="H59" i="238"/>
  <c r="I59" i="238"/>
  <c r="J59" i="238"/>
  <c r="F62" i="238"/>
  <c r="F64" i="238" s="1"/>
  <c r="D40" i="244" s="1"/>
  <c r="E63" i="238"/>
  <c r="D64" i="238"/>
  <c r="G64" i="238"/>
  <c r="E40" i="244" s="1"/>
  <c r="H64" i="238"/>
  <c r="F40" i="244" s="1"/>
  <c r="I64" i="238"/>
  <c r="G40" i="244" s="1"/>
  <c r="J64" i="238"/>
  <c r="H40" i="244" s="1"/>
  <c r="D68" i="238"/>
  <c r="E68" i="238"/>
  <c r="F68" i="238"/>
  <c r="D41" i="244" s="1"/>
  <c r="G68" i="238"/>
  <c r="E41" i="244" s="1"/>
  <c r="H68" i="238"/>
  <c r="F41" i="244" s="1"/>
  <c r="I68" i="238"/>
  <c r="G41" i="244" s="1"/>
  <c r="J68" i="238"/>
  <c r="H41" i="244" s="1"/>
  <c r="F71" i="238"/>
  <c r="F72" i="238"/>
  <c r="E72" i="238" s="1"/>
  <c r="F73" i="238"/>
  <c r="E73" i="238" s="1"/>
  <c r="F75" i="238"/>
  <c r="E75" i="238" s="1"/>
  <c r="D77" i="238"/>
  <c r="E80" i="238"/>
  <c r="E81" i="238" s="1"/>
  <c r="D81" i="238"/>
  <c r="F81" i="238"/>
  <c r="D43" i="244" s="1"/>
  <c r="G81" i="238"/>
  <c r="E43" i="244" s="1"/>
  <c r="H81" i="238"/>
  <c r="F43" i="244" s="1"/>
  <c r="I81" i="238"/>
  <c r="G43" i="244" s="1"/>
  <c r="J81" i="238"/>
  <c r="H43" i="244" s="1"/>
  <c r="E84" i="238"/>
  <c r="E85" i="238" s="1"/>
  <c r="D85" i="238"/>
  <c r="F85" i="238"/>
  <c r="G85" i="238"/>
  <c r="H85" i="238"/>
  <c r="I85" i="238"/>
  <c r="J85" i="238"/>
  <c r="H42" i="244" s="1"/>
  <c r="F88" i="238"/>
  <c r="F89" i="238"/>
  <c r="E89" i="238" s="1"/>
  <c r="F90" i="238"/>
  <c r="E90" i="238" s="1"/>
  <c r="F91" i="238"/>
  <c r="E91" i="238" s="1"/>
  <c r="E92" i="238"/>
  <c r="E93" i="238"/>
  <c r="D94" i="238"/>
  <c r="G94" i="238"/>
  <c r="H94" i="238"/>
  <c r="I94" i="238"/>
  <c r="J94" i="238"/>
  <c r="E98" i="238"/>
  <c r="D38" i="244"/>
  <c r="E38" i="244"/>
  <c r="F38" i="244"/>
  <c r="G38" i="244"/>
  <c r="H38" i="244"/>
  <c r="E102" i="238"/>
  <c r="E103" i="238" s="1"/>
  <c r="D103" i="238"/>
  <c r="F103" i="238"/>
  <c r="G103" i="238"/>
  <c r="H103" i="238"/>
  <c r="F37" i="244" s="1"/>
  <c r="I103" i="238"/>
  <c r="G37" i="244" s="1"/>
  <c r="J103" i="238"/>
  <c r="F106" i="238"/>
  <c r="F107" i="238"/>
  <c r="E107" i="238" s="1"/>
  <c r="E108" i="238"/>
  <c r="E109" i="238"/>
  <c r="F110" i="238"/>
  <c r="E110" i="238" s="1"/>
  <c r="D111" i="238"/>
  <c r="G111" i="238"/>
  <c r="H111" i="238"/>
  <c r="I111" i="238"/>
  <c r="J111" i="238"/>
  <c r="F114" i="238"/>
  <c r="F115" i="238"/>
  <c r="E115" i="238" s="1"/>
  <c r="F116" i="238"/>
  <c r="E116" i="238" s="1"/>
  <c r="F117" i="238"/>
  <c r="E117" i="238" s="1"/>
  <c r="E118" i="238"/>
  <c r="E119" i="238"/>
  <c r="E120" i="238"/>
  <c r="D121" i="238"/>
  <c r="G121" i="238"/>
  <c r="H121" i="238"/>
  <c r="I121" i="238"/>
  <c r="J121" i="238"/>
  <c r="E128" i="238"/>
  <c r="E129" i="238" s="1"/>
  <c r="D129" i="238"/>
  <c r="F129" i="238"/>
  <c r="G129" i="238"/>
  <c r="H129" i="238"/>
  <c r="I129" i="238"/>
  <c r="J129" i="238"/>
  <c r="E132" i="238"/>
  <c r="E133" i="238"/>
  <c r="E134" i="238"/>
  <c r="E135" i="238"/>
  <c r="D136" i="238"/>
  <c r="F136" i="238"/>
  <c r="G136" i="238"/>
  <c r="H136" i="238"/>
  <c r="I136" i="238"/>
  <c r="J136" i="238"/>
  <c r="F139" i="238"/>
  <c r="F143" i="238" s="1"/>
  <c r="D33" i="244" s="1"/>
  <c r="E140" i="238"/>
  <c r="E141" i="238"/>
  <c r="E142" i="238"/>
  <c r="D143" i="238"/>
  <c r="G143" i="238"/>
  <c r="E33" i="244" s="1"/>
  <c r="H143" i="238"/>
  <c r="F33" i="244" s="1"/>
  <c r="I143" i="238"/>
  <c r="G33" i="244" s="1"/>
  <c r="J143" i="238"/>
  <c r="H33" i="244" s="1"/>
  <c r="E22" i="237"/>
  <c r="E20" i="237"/>
  <c r="E16" i="237"/>
  <c r="E12" i="237"/>
  <c r="E8" i="237"/>
  <c r="H10" i="236"/>
  <c r="H16" i="236"/>
  <c r="B20" i="236"/>
  <c r="C20" i="236"/>
  <c r="D20" i="236"/>
  <c r="E20" i="236"/>
  <c r="F20" i="236"/>
  <c r="G20" i="236"/>
  <c r="H7" i="236" s="1"/>
  <c r="D10" i="235"/>
  <c r="D17" i="235"/>
  <c r="D40" i="235"/>
  <c r="D44" i="235"/>
  <c r="D49" i="235"/>
  <c r="D53" i="235"/>
  <c r="D59" i="235"/>
  <c r="D66" i="235"/>
  <c r="D75" i="235"/>
  <c r="D82" i="235"/>
  <c r="D86" i="235"/>
  <c r="D11" i="233"/>
  <c r="C11" i="233"/>
  <c r="D5" i="233"/>
  <c r="C5" i="233"/>
  <c r="D3" i="233"/>
  <c r="C3" i="233"/>
  <c r="D8" i="233"/>
  <c r="C8" i="233"/>
  <c r="D10" i="233"/>
  <c r="C10" i="233"/>
  <c r="B16" i="230"/>
  <c r="B21" i="230"/>
  <c r="AA21" i="232"/>
  <c r="AA13" i="232"/>
  <c r="P21" i="232"/>
  <c r="O21" i="232"/>
  <c r="N21" i="232"/>
  <c r="M21" i="232"/>
  <c r="L21" i="232"/>
  <c r="K21" i="232"/>
  <c r="K29" i="232" s="1"/>
  <c r="J21" i="232"/>
  <c r="J29" i="232" s="1"/>
  <c r="H21" i="232"/>
  <c r="H29" i="232" s="1"/>
  <c r="G21" i="232"/>
  <c r="D21" i="232"/>
  <c r="C21" i="232"/>
  <c r="W19" i="232"/>
  <c r="V19" i="232"/>
  <c r="T19" i="232"/>
  <c r="S19" i="232"/>
  <c r="E19" i="232"/>
  <c r="Z21" i="232"/>
  <c r="Z29" i="232" s="1"/>
  <c r="G45" i="244" s="1"/>
  <c r="Y21" i="232"/>
  <c r="Y29" i="232" s="1"/>
  <c r="F45" i="244" s="1"/>
  <c r="W18" i="232"/>
  <c r="V18" i="232"/>
  <c r="T18" i="232"/>
  <c r="S18" i="232"/>
  <c r="E18" i="232"/>
  <c r="W15" i="232"/>
  <c r="V15" i="232"/>
  <c r="T15" i="232"/>
  <c r="S15" i="232"/>
  <c r="R15" i="232"/>
  <c r="Q15" i="232"/>
  <c r="E15" i="232"/>
  <c r="W14" i="232"/>
  <c r="V14" i="232"/>
  <c r="T14" i="232"/>
  <c r="S14" i="232"/>
  <c r="R14" i="232"/>
  <c r="R21" i="232" s="1"/>
  <c r="Q14" i="232"/>
  <c r="Q21" i="232" s="1"/>
  <c r="E14" i="232"/>
  <c r="E21" i="232" s="1"/>
  <c r="Z13" i="232"/>
  <c r="Y13" i="232"/>
  <c r="X13" i="232"/>
  <c r="W13" i="232"/>
  <c r="V13" i="232"/>
  <c r="E13" i="232"/>
  <c r="D13" i="232"/>
  <c r="D29" i="232" s="1"/>
  <c r="T12" i="232"/>
  <c r="K12" i="232"/>
  <c r="O12" i="232" s="1"/>
  <c r="G12" i="232"/>
  <c r="P12" i="232" s="1"/>
  <c r="Q12" i="232" s="1"/>
  <c r="R12" i="232" s="1"/>
  <c r="T11" i="232"/>
  <c r="K11" i="232"/>
  <c r="O11" i="232" s="1"/>
  <c r="G11" i="232"/>
  <c r="P11" i="232" s="1"/>
  <c r="Q11" i="232" s="1"/>
  <c r="R11" i="232" s="1"/>
  <c r="AF10" i="232"/>
  <c r="T10" i="232"/>
  <c r="S10" i="232"/>
  <c r="S13" i="232" s="1"/>
  <c r="R10" i="232"/>
  <c r="K10" i="232"/>
  <c r="G10" i="232"/>
  <c r="C10" i="232"/>
  <c r="C13" i="232" s="1"/>
  <c r="C29" i="232" s="1"/>
  <c r="AF9" i="232"/>
  <c r="T9" i="232"/>
  <c r="O9" i="232"/>
  <c r="P9" i="232" s="1"/>
  <c r="Q9" i="232" s="1"/>
  <c r="R9" i="232" s="1"/>
  <c r="K9" i="232"/>
  <c r="N9" i="232" s="1"/>
  <c r="G9" i="232"/>
  <c r="AF8" i="232"/>
  <c r="T8" i="232"/>
  <c r="K8" i="232"/>
  <c r="M8" i="232" s="1"/>
  <c r="G8" i="232"/>
  <c r="N8" i="232" s="1"/>
  <c r="T7" i="232"/>
  <c r="K7" i="232"/>
  <c r="L7" i="232" s="1"/>
  <c r="G7" i="232"/>
  <c r="M7" i="232" s="1"/>
  <c r="I25" i="222"/>
  <c r="E23" i="231"/>
  <c r="D23" i="231"/>
  <c r="J8" i="231" s="1"/>
  <c r="E12" i="231"/>
  <c r="E25" i="231" s="1"/>
  <c r="D12" i="231"/>
  <c r="D25" i="231" s="1"/>
  <c r="G7" i="231"/>
  <c r="H5" i="231"/>
  <c r="J5" i="231" s="1"/>
  <c r="J7" i="231" s="1"/>
  <c r="J4" i="231"/>
  <c r="K4" i="231" s="1"/>
  <c r="I4" i="231"/>
  <c r="H4" i="231"/>
  <c r="J18" i="228"/>
  <c r="J7" i="228" s="1"/>
  <c r="I18" i="228"/>
  <c r="H18" i="228"/>
  <c r="H7" i="228" s="1"/>
  <c r="G18" i="228"/>
  <c r="G7" i="228" s="1"/>
  <c r="F18" i="228"/>
  <c r="F7" i="228" s="1"/>
  <c r="J13" i="228"/>
  <c r="J14" i="228" s="1"/>
  <c r="I13" i="228"/>
  <c r="I14" i="228" s="1"/>
  <c r="H13" i="228"/>
  <c r="H14" i="228" s="1"/>
  <c r="G13" i="228"/>
  <c r="F13" i="228"/>
  <c r="F14" i="228" s="1"/>
  <c r="G12" i="228"/>
  <c r="G14" i="228" s="1"/>
  <c r="I7" i="228"/>
  <c r="C6" i="228"/>
  <c r="J5" i="228"/>
  <c r="I5" i="228"/>
  <c r="H5" i="228"/>
  <c r="G5" i="228"/>
  <c r="F5" i="228"/>
  <c r="F3" i="228"/>
  <c r="G3" i="228" s="1"/>
  <c r="AA21" i="215"/>
  <c r="AA20" i="215"/>
  <c r="Y13" i="215"/>
  <c r="Z13" i="215"/>
  <c r="Y18" i="215"/>
  <c r="Z18" i="215"/>
  <c r="Z21" i="215" s="1"/>
  <c r="Z23" i="215" s="1"/>
  <c r="Y19" i="215"/>
  <c r="Z19" i="215"/>
  <c r="F36" i="227"/>
  <c r="G26" i="260" l="1"/>
  <c r="F19" i="260"/>
  <c r="Y28" i="240"/>
  <c r="J32" i="240"/>
  <c r="W32" i="240"/>
  <c r="J21" i="240"/>
  <c r="C21" i="240"/>
  <c r="G25" i="240"/>
  <c r="C32" i="240"/>
  <c r="R32" i="240"/>
  <c r="Y8" i="240"/>
  <c r="R21" i="240"/>
  <c r="G16" i="240"/>
  <c r="G18" i="240"/>
  <c r="Y19" i="240"/>
  <c r="Y18" i="240"/>
  <c r="G29" i="240"/>
  <c r="F29" i="240" s="1"/>
  <c r="T32" i="240"/>
  <c r="G30" i="240"/>
  <c r="D30" i="240" s="1"/>
  <c r="E30" i="240" s="1"/>
  <c r="G14" i="240"/>
  <c r="G17" i="240"/>
  <c r="K32" i="240"/>
  <c r="S32" i="240"/>
  <c r="G31" i="240"/>
  <c r="D31" i="240" s="1"/>
  <c r="G20" i="240"/>
  <c r="D20" i="240" s="1"/>
  <c r="E20" i="240" s="1"/>
  <c r="L32" i="240"/>
  <c r="X21" i="240"/>
  <c r="X33" i="240" s="1"/>
  <c r="X32" i="240"/>
  <c r="G19" i="240"/>
  <c r="W21" i="240"/>
  <c r="G15" i="240"/>
  <c r="G23" i="240"/>
  <c r="D23" i="240" s="1"/>
  <c r="E23" i="240" s="1"/>
  <c r="G26" i="240"/>
  <c r="F26" i="240" s="1"/>
  <c r="N32" i="240"/>
  <c r="V32" i="240"/>
  <c r="U18" i="232"/>
  <c r="U10" i="232"/>
  <c r="AB10" i="232" s="1"/>
  <c r="V21" i="232"/>
  <c r="AB18" i="232"/>
  <c r="S21" i="232"/>
  <c r="S29" i="232" s="1"/>
  <c r="U15" i="232"/>
  <c r="AB15" i="232" s="1"/>
  <c r="H77" i="238"/>
  <c r="F44" i="244" s="1"/>
  <c r="G76" i="238"/>
  <c r="G77" i="238" s="1"/>
  <c r="E44" i="244" s="1"/>
  <c r="F8" i="228"/>
  <c r="Q8" i="243"/>
  <c r="C39" i="244"/>
  <c r="H19" i="243"/>
  <c r="Q17" i="243"/>
  <c r="D24" i="243"/>
  <c r="D30" i="243" s="1"/>
  <c r="D31" i="243" s="1"/>
  <c r="R8" i="243"/>
  <c r="H10" i="243"/>
  <c r="H15" i="243"/>
  <c r="N33" i="243"/>
  <c r="R9" i="243"/>
  <c r="Q15" i="243"/>
  <c r="F23" i="243"/>
  <c r="C23" i="243"/>
  <c r="G23" i="243"/>
  <c r="O14" i="243"/>
  <c r="Q14" i="243" s="1"/>
  <c r="E18" i="243"/>
  <c r="E24" i="243" s="1"/>
  <c r="E30" i="243" s="1"/>
  <c r="E31" i="243" s="1"/>
  <c r="K24" i="243"/>
  <c r="R6" i="243"/>
  <c r="F18" i="243"/>
  <c r="F24" i="243" s="1"/>
  <c r="C18" i="243"/>
  <c r="C24" i="243" s="1"/>
  <c r="I28" i="243"/>
  <c r="H37" i="244"/>
  <c r="E37" i="244"/>
  <c r="F42" i="244"/>
  <c r="G42" i="244"/>
  <c r="O10" i="243"/>
  <c r="O16" i="243"/>
  <c r="C37" i="244" s="1"/>
  <c r="C8" i="242"/>
  <c r="C16" i="242"/>
  <c r="X27" i="240"/>
  <c r="P31" i="239"/>
  <c r="G24" i="240"/>
  <c r="D24" i="240" s="1"/>
  <c r="E24" i="240" s="1"/>
  <c r="C38" i="244"/>
  <c r="C21" i="230"/>
  <c r="I25" i="243" s="1"/>
  <c r="G36" i="244"/>
  <c r="G27" i="244" s="1"/>
  <c r="G6" i="228"/>
  <c r="G8" i="228" s="1"/>
  <c r="J77" i="238"/>
  <c r="J146" i="238" s="1"/>
  <c r="I145" i="238"/>
  <c r="H145" i="238"/>
  <c r="F36" i="244"/>
  <c r="E42" i="244"/>
  <c r="E36" i="244"/>
  <c r="F19" i="238"/>
  <c r="E14" i="238"/>
  <c r="F111" i="238"/>
  <c r="D37" i="244" s="1"/>
  <c r="H36" i="244"/>
  <c r="E34" i="244"/>
  <c r="G146" i="238"/>
  <c r="F94" i="238"/>
  <c r="D42" i="244" s="1"/>
  <c r="F44" i="238"/>
  <c r="D35" i="244" s="1"/>
  <c r="I35" i="244" s="1"/>
  <c r="E59" i="238"/>
  <c r="F121" i="238"/>
  <c r="E53" i="238"/>
  <c r="E43" i="238"/>
  <c r="F10" i="238"/>
  <c r="D32" i="244" s="1"/>
  <c r="E136" i="238"/>
  <c r="F77" i="238"/>
  <c r="D44" i="244" s="1"/>
  <c r="E106" i="238"/>
  <c r="E111" i="238" s="1"/>
  <c r="D146" i="238"/>
  <c r="E18" i="238"/>
  <c r="E19" i="238" s="1"/>
  <c r="F53" i="238"/>
  <c r="I39" i="244"/>
  <c r="I41" i="244"/>
  <c r="I38" i="244"/>
  <c r="I40" i="244"/>
  <c r="I43" i="244"/>
  <c r="D18" i="244"/>
  <c r="E18" i="244" s="1"/>
  <c r="F18" i="244" s="1"/>
  <c r="I17" i="244"/>
  <c r="J12" i="243"/>
  <c r="J24" i="243" s="1"/>
  <c r="J26" i="243" s="1"/>
  <c r="O20" i="243"/>
  <c r="Q21" i="243"/>
  <c r="Q16" i="243"/>
  <c r="Q7" i="243"/>
  <c r="R7" i="243"/>
  <c r="R12" i="243" s="1"/>
  <c r="Q5" i="243"/>
  <c r="R5" i="243"/>
  <c r="I23" i="243"/>
  <c r="I12" i="243"/>
  <c r="Q13" i="243"/>
  <c r="M24" i="243"/>
  <c r="N24" i="243"/>
  <c r="L24" i="243"/>
  <c r="H5" i="243"/>
  <c r="G12" i="243"/>
  <c r="G24" i="243" s="1"/>
  <c r="H20" i="243"/>
  <c r="H23" i="243" s="1"/>
  <c r="R20" i="243"/>
  <c r="H7" i="243"/>
  <c r="O19" i="243"/>
  <c r="C33" i="244" s="1"/>
  <c r="I33" i="244" s="1"/>
  <c r="Q11" i="243"/>
  <c r="R21" i="243"/>
  <c r="O6" i="243"/>
  <c r="C34" i="244" s="1"/>
  <c r="R13" i="243"/>
  <c r="R18" i="243" s="1"/>
  <c r="R22" i="243"/>
  <c r="H13" i="243"/>
  <c r="H18" i="243" s="1"/>
  <c r="I18" i="243"/>
  <c r="C26" i="242"/>
  <c r="C28" i="242" s="1"/>
  <c r="C18" i="242"/>
  <c r="C11" i="242"/>
  <c r="K27" i="240"/>
  <c r="P27" i="240"/>
  <c r="P32" i="240"/>
  <c r="M32" i="240"/>
  <c r="U32" i="240"/>
  <c r="G28" i="240"/>
  <c r="W27" i="240"/>
  <c r="Q21" i="240"/>
  <c r="Q27" i="240"/>
  <c r="Y24" i="240"/>
  <c r="Q32" i="240"/>
  <c r="R33" i="240"/>
  <c r="L21" i="240"/>
  <c r="T21" i="240"/>
  <c r="S21" i="240"/>
  <c r="M21" i="240"/>
  <c r="Y15" i="240"/>
  <c r="P21" i="240"/>
  <c r="P33" i="240" s="1"/>
  <c r="N21" i="240"/>
  <c r="V21" i="240"/>
  <c r="N27" i="240"/>
  <c r="V27" i="240"/>
  <c r="S27" i="240"/>
  <c r="G22" i="240"/>
  <c r="Y20" i="240"/>
  <c r="O27" i="240"/>
  <c r="M27" i="240"/>
  <c r="Y25" i="240"/>
  <c r="O32" i="240"/>
  <c r="I33" i="240"/>
  <c r="I35" i="240" s="1"/>
  <c r="Y29" i="240"/>
  <c r="Y17" i="240"/>
  <c r="Y26" i="240"/>
  <c r="E31" i="240"/>
  <c r="Y22" i="240"/>
  <c r="Y23" i="240"/>
  <c r="Y14" i="240"/>
  <c r="Y31" i="240"/>
  <c r="F16" i="240"/>
  <c r="D16" i="240"/>
  <c r="E16" i="240" s="1"/>
  <c r="W33" i="240"/>
  <c r="D19" i="240"/>
  <c r="E19" i="240" s="1"/>
  <c r="F19" i="240"/>
  <c r="J33" i="240"/>
  <c r="J35" i="240" s="1"/>
  <c r="D17" i="240"/>
  <c r="E17" i="240" s="1"/>
  <c r="F17" i="240"/>
  <c r="D18" i="240"/>
  <c r="E18" i="240" s="1"/>
  <c r="F18" i="240"/>
  <c r="F15" i="240"/>
  <c r="G21" i="240"/>
  <c r="D15" i="240"/>
  <c r="F30" i="240"/>
  <c r="D14" i="240"/>
  <c r="E14" i="240" s="1"/>
  <c r="F14" i="240"/>
  <c r="O21" i="240"/>
  <c r="U21" i="240"/>
  <c r="C33" i="240"/>
  <c r="F24" i="240"/>
  <c r="U27" i="240"/>
  <c r="Y16" i="240"/>
  <c r="Y30" i="240"/>
  <c r="K21" i="240"/>
  <c r="P34" i="239"/>
  <c r="P47" i="239"/>
  <c r="E52" i="239"/>
  <c r="M52" i="239"/>
  <c r="O52" i="239"/>
  <c r="F52" i="239"/>
  <c r="N52" i="239"/>
  <c r="I52" i="239"/>
  <c r="G52" i="239"/>
  <c r="H52" i="239"/>
  <c r="J52" i="239"/>
  <c r="C52" i="239"/>
  <c r="D52" i="239"/>
  <c r="L52" i="239"/>
  <c r="K52" i="239"/>
  <c r="B52" i="239"/>
  <c r="E10" i="238"/>
  <c r="H146" i="238"/>
  <c r="I146" i="238"/>
  <c r="F59" i="238"/>
  <c r="E114" i="238"/>
  <c r="E121" i="238" s="1"/>
  <c r="E88" i="238"/>
  <c r="E94" i="238" s="1"/>
  <c r="E71" i="238"/>
  <c r="E25" i="238"/>
  <c r="E62" i="238"/>
  <c r="E64" i="238" s="1"/>
  <c r="E139" i="238"/>
  <c r="E143" i="238" s="1"/>
  <c r="H14" i="236"/>
  <c r="H13" i="236"/>
  <c r="H12" i="236"/>
  <c r="H11" i="236"/>
  <c r="H18" i="236"/>
  <c r="H9" i="236"/>
  <c r="H17" i="236"/>
  <c r="H8" i="236"/>
  <c r="W21" i="232"/>
  <c r="X21" i="232"/>
  <c r="X29" i="232" s="1"/>
  <c r="E45" i="244" s="1"/>
  <c r="E29" i="232"/>
  <c r="T13" i="232"/>
  <c r="U12" i="232"/>
  <c r="AB12" i="232" s="1"/>
  <c r="T21" i="232"/>
  <c r="N7" i="232"/>
  <c r="M13" i="232"/>
  <c r="M29" i="232" s="1"/>
  <c r="U9" i="232"/>
  <c r="AB9" i="232" s="1"/>
  <c r="U11" i="232"/>
  <c r="AB11" i="232" s="1"/>
  <c r="L13" i="232"/>
  <c r="L29" i="232" s="1"/>
  <c r="G13" i="232"/>
  <c r="G29" i="232" s="1"/>
  <c r="U19" i="232"/>
  <c r="AB19" i="232" s="1"/>
  <c r="P8" i="232"/>
  <c r="Q8" i="232" s="1"/>
  <c r="R8" i="232" s="1"/>
  <c r="U14" i="232"/>
  <c r="AB14" i="232" s="1"/>
  <c r="O8" i="232"/>
  <c r="U8" i="232" s="1"/>
  <c r="AB8" i="232" s="1"/>
  <c r="J9" i="231"/>
  <c r="K5" i="231"/>
  <c r="H6" i="231"/>
  <c r="H3" i="228"/>
  <c r="H6" i="228"/>
  <c r="H8" i="228" s="1"/>
  <c r="Y21" i="215"/>
  <c r="Y23" i="215" s="1"/>
  <c r="F103" i="220"/>
  <c r="I103" i="220"/>
  <c r="F27" i="220"/>
  <c r="H26" i="260" l="1"/>
  <c r="G19" i="260"/>
  <c r="K33" i="240"/>
  <c r="M33" i="240"/>
  <c r="S33" i="240"/>
  <c r="Y21" i="240"/>
  <c r="F31" i="240"/>
  <c r="D29" i="240"/>
  <c r="E29" i="240" s="1"/>
  <c r="Q33" i="240"/>
  <c r="F20" i="240"/>
  <c r="F21" i="240" s="1"/>
  <c r="F23" i="240"/>
  <c r="D26" i="240"/>
  <c r="E26" i="240" s="1"/>
  <c r="T33" i="240"/>
  <c r="U33" i="240"/>
  <c r="Y27" i="240"/>
  <c r="V33" i="240"/>
  <c r="L33" i="240"/>
  <c r="AB21" i="232"/>
  <c r="T29" i="232"/>
  <c r="E76" i="238"/>
  <c r="E77" i="238" s="1"/>
  <c r="G145" i="238"/>
  <c r="G147" i="238" s="1"/>
  <c r="F27" i="244"/>
  <c r="C30" i="243"/>
  <c r="C31" i="243" s="1"/>
  <c r="U28" i="243"/>
  <c r="U29" i="243" s="1"/>
  <c r="O18" i="243"/>
  <c r="H12" i="243"/>
  <c r="I42" i="244"/>
  <c r="Q20" i="243"/>
  <c r="C32" i="244"/>
  <c r="I32" i="244" s="1"/>
  <c r="Q10" i="243"/>
  <c r="C36" i="244"/>
  <c r="C20" i="242"/>
  <c r="D34" i="244"/>
  <c r="I34" i="244" s="1"/>
  <c r="F145" i="238"/>
  <c r="H44" i="244"/>
  <c r="H27" i="244" s="1"/>
  <c r="J145" i="238"/>
  <c r="J147" i="238" s="1"/>
  <c r="I37" i="244"/>
  <c r="D147" i="238"/>
  <c r="I147" i="238"/>
  <c r="F146" i="238"/>
  <c r="F148" i="238" s="1"/>
  <c r="D36" i="244"/>
  <c r="E44" i="238"/>
  <c r="G18" i="244"/>
  <c r="O23" i="243"/>
  <c r="R23" i="243"/>
  <c r="R24" i="243" s="1"/>
  <c r="Q18" i="243"/>
  <c r="Q19" i="243"/>
  <c r="I24" i="243"/>
  <c r="I26" i="243" s="1"/>
  <c r="H24" i="243"/>
  <c r="O12" i="243"/>
  <c r="Q6" i="243"/>
  <c r="Q12" i="243" s="1"/>
  <c r="O33" i="240"/>
  <c r="N33" i="240"/>
  <c r="Y32" i="240"/>
  <c r="D21" i="240"/>
  <c r="G27" i="240"/>
  <c r="G33" i="240" s="1"/>
  <c r="G35" i="240" s="1"/>
  <c r="D22" i="240"/>
  <c r="F22" i="240"/>
  <c r="F25" i="240"/>
  <c r="D25" i="240"/>
  <c r="E25" i="240" s="1"/>
  <c r="E15" i="240"/>
  <c r="E21" i="240" s="1"/>
  <c r="G32" i="240"/>
  <c r="F28" i="240"/>
  <c r="F32" i="240" s="1"/>
  <c r="D28" i="240"/>
  <c r="P52" i="239"/>
  <c r="P54" i="239" s="1"/>
  <c r="H147" i="238"/>
  <c r="AB16" i="232"/>
  <c r="O7" i="232"/>
  <c r="N13" i="232"/>
  <c r="N29" i="232" s="1"/>
  <c r="H7" i="231"/>
  <c r="K6" i="231"/>
  <c r="K7" i="231" s="1"/>
  <c r="I6" i="231"/>
  <c r="I7" i="231" s="1"/>
  <c r="I3" i="228"/>
  <c r="I6" i="228"/>
  <c r="I8" i="228" s="1"/>
  <c r="E17" i="227"/>
  <c r="F17" i="227"/>
  <c r="G17" i="227"/>
  <c r="H17" i="227"/>
  <c r="D17" i="227"/>
  <c r="F18" i="220"/>
  <c r="F13" i="220"/>
  <c r="G111" i="220"/>
  <c r="M16" i="226"/>
  <c r="I8" i="218"/>
  <c r="I9" i="218"/>
  <c r="I10" i="218"/>
  <c r="I11" i="218"/>
  <c r="I12" i="218"/>
  <c r="I13" i="218"/>
  <c r="I14" i="218"/>
  <c r="I15" i="218"/>
  <c r="I16" i="218"/>
  <c r="I7" i="218"/>
  <c r="D65" i="217"/>
  <c r="E20" i="218"/>
  <c r="F20" i="218"/>
  <c r="G20" i="218"/>
  <c r="D20" i="218"/>
  <c r="C20" i="218"/>
  <c r="B20" i="218"/>
  <c r="F52" i="220"/>
  <c r="G50" i="220"/>
  <c r="G53" i="220" s="1"/>
  <c r="F51" i="220"/>
  <c r="H106" i="220"/>
  <c r="I106" i="220"/>
  <c r="J106" i="220"/>
  <c r="D106" i="220"/>
  <c r="F105" i="220"/>
  <c r="E105" i="220" s="1"/>
  <c r="G106" i="220"/>
  <c r="I26" i="260" l="1"/>
  <c r="H19" i="260"/>
  <c r="Y33" i="240"/>
  <c r="Q23" i="243"/>
  <c r="I36" i="244"/>
  <c r="C27" i="244"/>
  <c r="I44" i="244"/>
  <c r="E146" i="238"/>
  <c r="G149" i="238" s="1"/>
  <c r="E145" i="238"/>
  <c r="G148" i="238" s="1"/>
  <c r="H148" i="238" s="1"/>
  <c r="F149" i="238"/>
  <c r="F147" i="238"/>
  <c r="D27" i="244"/>
  <c r="H18" i="244"/>
  <c r="O24" i="243"/>
  <c r="N34" i="243" s="1"/>
  <c r="N35" i="243" s="1"/>
  <c r="Q35" i="243" s="1"/>
  <c r="Q24" i="243"/>
  <c r="F27" i="240"/>
  <c r="F33" i="240" s="1"/>
  <c r="F35" i="240" s="1"/>
  <c r="D27" i="240"/>
  <c r="E22" i="240"/>
  <c r="E27" i="240" s="1"/>
  <c r="E28" i="240"/>
  <c r="E32" i="240" s="1"/>
  <c r="D32" i="240"/>
  <c r="P7" i="232"/>
  <c r="O13" i="232"/>
  <c r="O29" i="232" s="1"/>
  <c r="J6" i="228"/>
  <c r="J8" i="228" s="1"/>
  <c r="J3" i="228"/>
  <c r="E103" i="220"/>
  <c r="O25" i="243" l="1"/>
  <c r="O26" i="243" s="1"/>
  <c r="C26" i="244"/>
  <c r="G12" i="255" s="1"/>
  <c r="H149" i="238"/>
  <c r="E147" i="238"/>
  <c r="C49" i="243"/>
  <c r="C50" i="243" s="1"/>
  <c r="H50" i="243" s="1"/>
  <c r="E33" i="240"/>
  <c r="D33" i="240"/>
  <c r="Q7" i="232"/>
  <c r="P13" i="232"/>
  <c r="P29" i="232" s="1"/>
  <c r="I5" i="226"/>
  <c r="P5" i="226" s="1"/>
  <c r="C31" i="227"/>
  <c r="G10" i="241" l="1"/>
  <c r="G12" i="241" s="1"/>
  <c r="D26" i="244"/>
  <c r="D35" i="240"/>
  <c r="D36" i="240"/>
  <c r="H49" i="243"/>
  <c r="Q13" i="232"/>
  <c r="Q29" i="232" s="1"/>
  <c r="R7" i="232"/>
  <c r="C29" i="227"/>
  <c r="G7" i="192"/>
  <c r="H7" i="192"/>
  <c r="G18" i="192"/>
  <c r="H18" i="192"/>
  <c r="I18" i="192"/>
  <c r="I7" i="192" s="1"/>
  <c r="J18" i="192"/>
  <c r="J7" i="192" s="1"/>
  <c r="F18" i="192"/>
  <c r="F7" i="192" s="1"/>
  <c r="F16" i="192"/>
  <c r="C30" i="227"/>
  <c r="C16" i="225"/>
  <c r="C15" i="225"/>
  <c r="C17" i="227"/>
  <c r="H13" i="223"/>
  <c r="C20" i="223"/>
  <c r="R13" i="232" l="1"/>
  <c r="R29" i="232" s="1"/>
  <c r="U7" i="232"/>
  <c r="AB7" i="232" s="1"/>
  <c r="M14" i="226"/>
  <c r="C46" i="227"/>
  <c r="C42" i="227"/>
  <c r="C40" i="227"/>
  <c r="C39" i="227"/>
  <c r="C32" i="227"/>
  <c r="C24" i="227"/>
  <c r="I24" i="227" s="1"/>
  <c r="C23" i="227"/>
  <c r="I23" i="227" s="1"/>
  <c r="C21" i="227"/>
  <c r="I20" i="227"/>
  <c r="J5" i="226"/>
  <c r="J6" i="226"/>
  <c r="J7" i="226"/>
  <c r="J8" i="226"/>
  <c r="O8" i="226" s="1"/>
  <c r="J9" i="226"/>
  <c r="J10" i="226"/>
  <c r="J11" i="226"/>
  <c r="J13" i="226"/>
  <c r="J14" i="226"/>
  <c r="J15" i="226"/>
  <c r="J16" i="226"/>
  <c r="J17" i="226"/>
  <c r="J18" i="226"/>
  <c r="J19" i="226"/>
  <c r="J20" i="226"/>
  <c r="J23" i="226" s="1"/>
  <c r="J21" i="226"/>
  <c r="J22" i="226"/>
  <c r="O22" i="226" s="1"/>
  <c r="O15" i="226"/>
  <c r="O7" i="226"/>
  <c r="C36" i="227" s="1"/>
  <c r="I22" i="226"/>
  <c r="I21" i="226"/>
  <c r="I20" i="226"/>
  <c r="I19" i="226"/>
  <c r="I17" i="226"/>
  <c r="I18" i="226" s="1"/>
  <c r="I16" i="226"/>
  <c r="I15" i="226"/>
  <c r="I14" i="226"/>
  <c r="I13" i="226"/>
  <c r="I11" i="226"/>
  <c r="I10" i="226"/>
  <c r="I9" i="226"/>
  <c r="I8" i="226"/>
  <c r="I7" i="226"/>
  <c r="I6" i="226"/>
  <c r="O21" i="226"/>
  <c r="O17" i="226"/>
  <c r="O5" i="226"/>
  <c r="N20" i="226"/>
  <c r="M20" i="226"/>
  <c r="M19" i="226"/>
  <c r="M18" i="226"/>
  <c r="M10" i="226"/>
  <c r="M9" i="226"/>
  <c r="M12" i="226" s="1"/>
  <c r="M7" i="226"/>
  <c r="M6" i="226"/>
  <c r="L16" i="226"/>
  <c r="K20" i="226"/>
  <c r="K23" i="226" s="1"/>
  <c r="O35" i="226"/>
  <c r="N32" i="226"/>
  <c r="N30" i="226"/>
  <c r="N29" i="226"/>
  <c r="N28" i="226"/>
  <c r="D28" i="226"/>
  <c r="C28" i="226"/>
  <c r="N27" i="226"/>
  <c r="E27" i="226"/>
  <c r="D27" i="226"/>
  <c r="N26" i="226"/>
  <c r="N33" i="226" s="1"/>
  <c r="M23" i="226"/>
  <c r="L23" i="226"/>
  <c r="L24" i="226" s="1"/>
  <c r="D23" i="226"/>
  <c r="F22" i="226"/>
  <c r="E22" i="226"/>
  <c r="C22" i="226"/>
  <c r="F21" i="226"/>
  <c r="E21" i="226"/>
  <c r="C21" i="226"/>
  <c r="F20" i="226"/>
  <c r="E20" i="226"/>
  <c r="C20" i="226"/>
  <c r="F19" i="226"/>
  <c r="F23" i="226" s="1"/>
  <c r="E19" i="226"/>
  <c r="E23" i="226" s="1"/>
  <c r="C19" i="226"/>
  <c r="C23" i="226" s="1"/>
  <c r="L18" i="226"/>
  <c r="K18" i="226"/>
  <c r="D18" i="226"/>
  <c r="F17" i="226"/>
  <c r="E17" i="226"/>
  <c r="C17" i="226"/>
  <c r="F16" i="226"/>
  <c r="E16" i="226"/>
  <c r="C16" i="226"/>
  <c r="F15" i="226"/>
  <c r="E15" i="226"/>
  <c r="C15" i="226"/>
  <c r="F14" i="226"/>
  <c r="F18" i="226" s="1"/>
  <c r="E14" i="226"/>
  <c r="E18" i="226" s="1"/>
  <c r="C14" i="226"/>
  <c r="C18" i="226" s="1"/>
  <c r="F13" i="226"/>
  <c r="E13" i="226"/>
  <c r="C13" i="226"/>
  <c r="N12" i="226"/>
  <c r="L12" i="226"/>
  <c r="F12" i="226"/>
  <c r="O11" i="226"/>
  <c r="P11" i="226" s="1"/>
  <c r="F11" i="226"/>
  <c r="E11" i="226"/>
  <c r="F10" i="226"/>
  <c r="E10" i="226"/>
  <c r="C10" i="226"/>
  <c r="F9" i="226"/>
  <c r="F8" i="226"/>
  <c r="E8" i="226"/>
  <c r="C8" i="226"/>
  <c r="F7" i="226"/>
  <c r="E7" i="226"/>
  <c r="D7" i="226"/>
  <c r="D12" i="226" s="1"/>
  <c r="D24" i="226" s="1"/>
  <c r="D30" i="226" s="1"/>
  <c r="D31" i="226" s="1"/>
  <c r="C7" i="226"/>
  <c r="K12" i="226"/>
  <c r="F6" i="226"/>
  <c r="E6" i="226"/>
  <c r="E12" i="226" s="1"/>
  <c r="C6" i="226"/>
  <c r="C12" i="226" s="1"/>
  <c r="K5" i="226"/>
  <c r="F5" i="226"/>
  <c r="F24" i="226" s="1"/>
  <c r="E5" i="226"/>
  <c r="C5" i="226"/>
  <c r="C24" i="226" s="1"/>
  <c r="C25" i="225"/>
  <c r="C24" i="225"/>
  <c r="C23" i="225"/>
  <c r="C17" i="225"/>
  <c r="C14" i="225"/>
  <c r="C16" i="223"/>
  <c r="C8" i="225" s="1"/>
  <c r="C9" i="225"/>
  <c r="C26" i="223"/>
  <c r="C10" i="225" s="1"/>
  <c r="E34" i="223"/>
  <c r="C42" i="223"/>
  <c r="C43" i="223" s="1"/>
  <c r="C51" i="223"/>
  <c r="I29" i="222"/>
  <c r="I28" i="222"/>
  <c r="I32" i="222" s="1"/>
  <c r="I23" i="222"/>
  <c r="I19" i="222"/>
  <c r="I18" i="222"/>
  <c r="I21" i="222" s="1"/>
  <c r="I16" i="222"/>
  <c r="I15" i="222"/>
  <c r="G110" i="220"/>
  <c r="F110" i="220"/>
  <c r="H28" i="222"/>
  <c r="G34" i="222"/>
  <c r="U35" i="222"/>
  <c r="U14" i="222"/>
  <c r="U33" i="222" s="1"/>
  <c r="U15" i="222"/>
  <c r="U21" i="222" s="1"/>
  <c r="U16" i="222"/>
  <c r="U17" i="222"/>
  <c r="U18" i="222"/>
  <c r="U19" i="222"/>
  <c r="U20" i="222"/>
  <c r="U22" i="222"/>
  <c r="U27" i="222" s="1"/>
  <c r="U23" i="222"/>
  <c r="U24" i="222"/>
  <c r="U25" i="222"/>
  <c r="U26" i="222"/>
  <c r="U28" i="222"/>
  <c r="U29" i="222"/>
  <c r="U30" i="222"/>
  <c r="U31" i="222"/>
  <c r="U32" i="222" s="1"/>
  <c r="T28" i="222"/>
  <c r="T31" i="222"/>
  <c r="R14" i="222"/>
  <c r="S14" i="222"/>
  <c r="R15" i="222"/>
  <c r="S15" i="222"/>
  <c r="R16" i="222"/>
  <c r="S16" i="222"/>
  <c r="S21" i="222" s="1"/>
  <c r="S33" i="222" s="1"/>
  <c r="R17" i="222"/>
  <c r="S17" i="222"/>
  <c r="R18" i="222"/>
  <c r="S18" i="222"/>
  <c r="R19" i="222"/>
  <c r="S19" i="222"/>
  <c r="R20" i="222"/>
  <c r="S20" i="222"/>
  <c r="R22" i="222"/>
  <c r="S22" i="222"/>
  <c r="R23" i="222"/>
  <c r="S23" i="222"/>
  <c r="R24" i="222"/>
  <c r="S24" i="222"/>
  <c r="R25" i="222"/>
  <c r="S25" i="222"/>
  <c r="R26" i="222"/>
  <c r="S26" i="222"/>
  <c r="S27" i="222"/>
  <c r="R28" i="222"/>
  <c r="R32" i="222" s="1"/>
  <c r="S28" i="222"/>
  <c r="R29" i="222"/>
  <c r="S29" i="222"/>
  <c r="R30" i="222"/>
  <c r="S30" i="222"/>
  <c r="R31" i="222"/>
  <c r="S31" i="222"/>
  <c r="S32" i="222"/>
  <c r="O14" i="222"/>
  <c r="P14" i="222"/>
  <c r="Q14" i="222"/>
  <c r="Q33" i="222" s="1"/>
  <c r="O15" i="222"/>
  <c r="P15" i="222"/>
  <c r="P21" i="222" s="1"/>
  <c r="Q15" i="222"/>
  <c r="Q21" i="222" s="1"/>
  <c r="O16" i="222"/>
  <c r="O21" i="222" s="1"/>
  <c r="O33" i="222" s="1"/>
  <c r="P16" i="222"/>
  <c r="Q16" i="222"/>
  <c r="O17" i="222"/>
  <c r="P17" i="222"/>
  <c r="Q17" i="222"/>
  <c r="O18" i="222"/>
  <c r="P18" i="222"/>
  <c r="Q18" i="222"/>
  <c r="O19" i="222"/>
  <c r="P19" i="222"/>
  <c r="Q19" i="222"/>
  <c r="O20" i="222"/>
  <c r="P20" i="222"/>
  <c r="Q20" i="222"/>
  <c r="O22" i="222"/>
  <c r="P22" i="222"/>
  <c r="P27" i="222" s="1"/>
  <c r="Q22" i="222"/>
  <c r="O23" i="222"/>
  <c r="P23" i="222"/>
  <c r="Q23" i="222"/>
  <c r="Q27" i="222" s="1"/>
  <c r="O24" i="222"/>
  <c r="P24" i="222"/>
  <c r="Q24" i="222"/>
  <c r="O25" i="222"/>
  <c r="P25" i="222"/>
  <c r="Q25" i="222"/>
  <c r="O26" i="222"/>
  <c r="P26" i="222"/>
  <c r="Q26" i="222"/>
  <c r="O27" i="222"/>
  <c r="O28" i="222"/>
  <c r="P28" i="222"/>
  <c r="Q28" i="222"/>
  <c r="O29" i="222"/>
  <c r="O32" i="222" s="1"/>
  <c r="P29" i="222"/>
  <c r="Q29" i="222"/>
  <c r="O30" i="222"/>
  <c r="P30" i="222"/>
  <c r="P32" i="222" s="1"/>
  <c r="Q30" i="222"/>
  <c r="O31" i="222"/>
  <c r="P31" i="222"/>
  <c r="Q31" i="222"/>
  <c r="Q32" i="222"/>
  <c r="I34" i="222"/>
  <c r="W31" i="222"/>
  <c r="N31" i="222"/>
  <c r="M31" i="222"/>
  <c r="L31" i="222"/>
  <c r="K31" i="222"/>
  <c r="J31" i="222"/>
  <c r="N30" i="222"/>
  <c r="M30" i="222"/>
  <c r="L30" i="222"/>
  <c r="K30" i="222"/>
  <c r="J30" i="222"/>
  <c r="J32" i="222" s="1"/>
  <c r="W29" i="222"/>
  <c r="N29" i="222"/>
  <c r="M29" i="222"/>
  <c r="M32" i="222" s="1"/>
  <c r="L29" i="222"/>
  <c r="K29" i="222"/>
  <c r="J29" i="222"/>
  <c r="W28" i="222"/>
  <c r="W32" i="222" s="1"/>
  <c r="N28" i="222"/>
  <c r="N32" i="222" s="1"/>
  <c r="M28" i="222"/>
  <c r="L28" i="222"/>
  <c r="K28" i="222"/>
  <c r="K32" i="222" s="1"/>
  <c r="J28" i="222"/>
  <c r="L27" i="222"/>
  <c r="W26" i="222"/>
  <c r="N26" i="222"/>
  <c r="M26" i="222"/>
  <c r="L26" i="222"/>
  <c r="K26" i="222"/>
  <c r="J26" i="222"/>
  <c r="W25" i="222"/>
  <c r="N25" i="222"/>
  <c r="M25" i="222"/>
  <c r="M27" i="222" s="1"/>
  <c r="L25" i="222"/>
  <c r="K25" i="222"/>
  <c r="J25" i="222"/>
  <c r="N24" i="222"/>
  <c r="M24" i="222"/>
  <c r="L24" i="222"/>
  <c r="K24" i="222"/>
  <c r="J24" i="222"/>
  <c r="W23" i="222"/>
  <c r="W27" i="222" s="1"/>
  <c r="N23" i="222"/>
  <c r="M23" i="222"/>
  <c r="L23" i="222"/>
  <c r="K23" i="222"/>
  <c r="J23" i="222"/>
  <c r="W22" i="222"/>
  <c r="N22" i="222"/>
  <c r="N27" i="222" s="1"/>
  <c r="M22" i="222"/>
  <c r="L22" i="222"/>
  <c r="K22" i="222"/>
  <c r="K27" i="222" s="1"/>
  <c r="J22" i="222"/>
  <c r="H21" i="222"/>
  <c r="W20" i="222"/>
  <c r="N20" i="222"/>
  <c r="M20" i="222"/>
  <c r="L20" i="222"/>
  <c r="K20" i="222"/>
  <c r="J20" i="222"/>
  <c r="W19" i="222"/>
  <c r="N19" i="222"/>
  <c r="M19" i="222"/>
  <c r="L19" i="222"/>
  <c r="K19" i="222"/>
  <c r="J19" i="222"/>
  <c r="W18" i="222"/>
  <c r="N18" i="222"/>
  <c r="M18" i="222"/>
  <c r="L18" i="222"/>
  <c r="K18" i="222"/>
  <c r="J18" i="222"/>
  <c r="W17" i="222"/>
  <c r="N17" i="222"/>
  <c r="M17" i="222"/>
  <c r="L17" i="222"/>
  <c r="K17" i="222"/>
  <c r="J17" i="222"/>
  <c r="W16" i="222"/>
  <c r="N16" i="222"/>
  <c r="M16" i="222"/>
  <c r="L16" i="222"/>
  <c r="K16" i="222"/>
  <c r="J16" i="222"/>
  <c r="W15" i="222"/>
  <c r="W21" i="222" s="1"/>
  <c r="W33" i="222" s="1"/>
  <c r="N15" i="222"/>
  <c r="N21" i="222" s="1"/>
  <c r="N33" i="222" s="1"/>
  <c r="M15" i="222"/>
  <c r="M21" i="222" s="1"/>
  <c r="L15" i="222"/>
  <c r="L21" i="222" s="1"/>
  <c r="K15" i="222"/>
  <c r="K21" i="222" s="1"/>
  <c r="J15" i="222"/>
  <c r="J21" i="222" s="1"/>
  <c r="W14" i="222"/>
  <c r="N14" i="222"/>
  <c r="M14" i="222"/>
  <c r="L14" i="222"/>
  <c r="K14" i="222"/>
  <c r="J14" i="222"/>
  <c r="F8" i="222"/>
  <c r="D8" i="222"/>
  <c r="X6" i="222"/>
  <c r="D6" i="222"/>
  <c r="C6" i="222"/>
  <c r="D5" i="222"/>
  <c r="X5" i="222" s="1"/>
  <c r="O3" i="221"/>
  <c r="O5" i="221"/>
  <c r="O7" i="221"/>
  <c r="O9" i="221"/>
  <c r="O11" i="221"/>
  <c r="O13" i="221"/>
  <c r="O14" i="221"/>
  <c r="O15" i="221"/>
  <c r="O16" i="221"/>
  <c r="O17" i="221"/>
  <c r="O18" i="221"/>
  <c r="O19" i="221"/>
  <c r="O23" i="221"/>
  <c r="O25" i="221"/>
  <c r="O27" i="221"/>
  <c r="O28" i="221"/>
  <c r="C44" i="227" s="1"/>
  <c r="O29" i="221"/>
  <c r="O30" i="221"/>
  <c r="O32" i="221"/>
  <c r="O33" i="221"/>
  <c r="O35" i="221"/>
  <c r="O36" i="221"/>
  <c r="O37" i="221"/>
  <c r="O38" i="221"/>
  <c r="O39" i="221"/>
  <c r="O40" i="221"/>
  <c r="O41" i="221"/>
  <c r="O42" i="221"/>
  <c r="O44" i="221"/>
  <c r="O45" i="221"/>
  <c r="O49" i="221"/>
  <c r="O51" i="221"/>
  <c r="N50" i="221"/>
  <c r="V30" i="222" s="1"/>
  <c r="N48" i="221"/>
  <c r="V31" i="222" s="1"/>
  <c r="N46" i="221"/>
  <c r="V28" i="222" s="1"/>
  <c r="N43" i="221"/>
  <c r="V26" i="222" s="1"/>
  <c r="G26" i="222" s="1"/>
  <c r="F26" i="222" s="1"/>
  <c r="N34" i="221"/>
  <c r="V25" i="222" s="1"/>
  <c r="N31" i="221"/>
  <c r="V24" i="222" s="1"/>
  <c r="N26" i="221"/>
  <c r="V23" i="222" s="1"/>
  <c r="N24" i="221"/>
  <c r="V22" i="222" s="1"/>
  <c r="N22" i="221"/>
  <c r="V18" i="222" s="1"/>
  <c r="N20" i="221"/>
  <c r="V20" i="222" s="1"/>
  <c r="N12" i="221"/>
  <c r="V19" i="222" s="1"/>
  <c r="N10" i="221"/>
  <c r="V17" i="222" s="1"/>
  <c r="N8" i="221"/>
  <c r="V16" i="222" s="1"/>
  <c r="N6" i="221"/>
  <c r="V15" i="222" s="1"/>
  <c r="N4" i="221"/>
  <c r="N2" i="221"/>
  <c r="V14" i="222" s="1"/>
  <c r="M50" i="221"/>
  <c r="L50" i="221"/>
  <c r="K50" i="221"/>
  <c r="J50" i="221"/>
  <c r="I50" i="221"/>
  <c r="H50" i="221"/>
  <c r="G50" i="221"/>
  <c r="F50" i="221"/>
  <c r="E50" i="221"/>
  <c r="D50" i="221"/>
  <c r="C50" i="221"/>
  <c r="B50" i="221"/>
  <c r="M48" i="221"/>
  <c r="L48" i="221"/>
  <c r="K48" i="221"/>
  <c r="J48" i="221"/>
  <c r="I48" i="221"/>
  <c r="H48" i="221"/>
  <c r="G48" i="221"/>
  <c r="F48" i="221"/>
  <c r="E48" i="221"/>
  <c r="D48" i="221"/>
  <c r="C48" i="221"/>
  <c r="B48" i="221"/>
  <c r="K47" i="221"/>
  <c r="K46" i="221" s="1"/>
  <c r="M46" i="221"/>
  <c r="L46" i="221"/>
  <c r="J46" i="221"/>
  <c r="I46" i="221"/>
  <c r="H46" i="221"/>
  <c r="G46" i="221"/>
  <c r="F46" i="221"/>
  <c r="E46" i="221"/>
  <c r="D46" i="221"/>
  <c r="C46" i="221"/>
  <c r="B46" i="221"/>
  <c r="M43" i="221"/>
  <c r="L43" i="221"/>
  <c r="K43" i="221"/>
  <c r="J43" i="221"/>
  <c r="I43" i="221"/>
  <c r="H43" i="221"/>
  <c r="G43" i="221"/>
  <c r="F43" i="221"/>
  <c r="E43" i="221"/>
  <c r="D43" i="221"/>
  <c r="C43" i="221"/>
  <c r="B43" i="221"/>
  <c r="M34" i="221"/>
  <c r="L34" i="221"/>
  <c r="K34" i="221"/>
  <c r="J34" i="221"/>
  <c r="I34" i="221"/>
  <c r="H34" i="221"/>
  <c r="G34" i="221"/>
  <c r="F34" i="221"/>
  <c r="E34" i="221"/>
  <c r="D34" i="221"/>
  <c r="C34" i="221"/>
  <c r="B34" i="221"/>
  <c r="M31" i="221"/>
  <c r="L31" i="221"/>
  <c r="K31" i="221"/>
  <c r="J31" i="221"/>
  <c r="I31" i="221"/>
  <c r="H31" i="221"/>
  <c r="G31" i="221"/>
  <c r="F31" i="221"/>
  <c r="E31" i="221"/>
  <c r="D31" i="221"/>
  <c r="C31" i="221"/>
  <c r="B31" i="221"/>
  <c r="M26" i="221"/>
  <c r="L26" i="221"/>
  <c r="K26" i="221"/>
  <c r="J26" i="221"/>
  <c r="I26" i="221"/>
  <c r="H26" i="221"/>
  <c r="G26" i="221"/>
  <c r="F26" i="221"/>
  <c r="E26" i="221"/>
  <c r="D26" i="221"/>
  <c r="C26" i="221"/>
  <c r="B26" i="221"/>
  <c r="M24" i="221"/>
  <c r="L24" i="221"/>
  <c r="K24" i="221"/>
  <c r="J24" i="221"/>
  <c r="I24" i="221"/>
  <c r="H24" i="221"/>
  <c r="G24" i="221"/>
  <c r="F24" i="221"/>
  <c r="E24" i="221"/>
  <c r="D24" i="221"/>
  <c r="C24" i="221"/>
  <c r="B24" i="221"/>
  <c r="M22" i="221"/>
  <c r="L22" i="221"/>
  <c r="K22" i="221"/>
  <c r="J22" i="221"/>
  <c r="I22" i="221"/>
  <c r="H22" i="221"/>
  <c r="G22" i="221"/>
  <c r="F22" i="221"/>
  <c r="E22" i="221"/>
  <c r="D22" i="221"/>
  <c r="C22" i="221"/>
  <c r="B22" i="221"/>
  <c r="M20" i="221"/>
  <c r="L20" i="221"/>
  <c r="K20" i="221"/>
  <c r="J20" i="221"/>
  <c r="I20" i="221"/>
  <c r="H20" i="221"/>
  <c r="G20" i="221"/>
  <c r="F20" i="221"/>
  <c r="E20" i="221"/>
  <c r="D20" i="221"/>
  <c r="C20" i="221"/>
  <c r="B20" i="221"/>
  <c r="M12" i="221"/>
  <c r="L12" i="221"/>
  <c r="K12" i="221"/>
  <c r="J12" i="221"/>
  <c r="I12" i="221"/>
  <c r="H12" i="221"/>
  <c r="G12" i="221"/>
  <c r="F12" i="221"/>
  <c r="E12" i="221"/>
  <c r="D12" i="221"/>
  <c r="C12" i="221"/>
  <c r="B12" i="221"/>
  <c r="M10" i="221"/>
  <c r="L10" i="221"/>
  <c r="K10" i="221"/>
  <c r="J10" i="221"/>
  <c r="I10" i="221"/>
  <c r="H10" i="221"/>
  <c r="G10" i="221"/>
  <c r="F10" i="221"/>
  <c r="E10" i="221"/>
  <c r="D10" i="221"/>
  <c r="C10" i="221"/>
  <c r="B10" i="221"/>
  <c r="M8" i="221"/>
  <c r="L8" i="221"/>
  <c r="K8" i="221"/>
  <c r="J8" i="221"/>
  <c r="I8" i="221"/>
  <c r="H8" i="221"/>
  <c r="G8" i="221"/>
  <c r="F8" i="221"/>
  <c r="E8" i="221"/>
  <c r="D8" i="221"/>
  <c r="C8" i="221"/>
  <c r="B8" i="221"/>
  <c r="M6" i="221"/>
  <c r="L6" i="221"/>
  <c r="K6" i="221"/>
  <c r="J6" i="221"/>
  <c r="I6" i="221"/>
  <c r="H6" i="221"/>
  <c r="G6" i="221"/>
  <c r="F6" i="221"/>
  <c r="E6" i="221"/>
  <c r="D6" i="221"/>
  <c r="C6" i="221"/>
  <c r="B6" i="221"/>
  <c r="M4" i="221"/>
  <c r="L4" i="221"/>
  <c r="K4" i="221"/>
  <c r="J4" i="221"/>
  <c r="I4" i="221"/>
  <c r="H4" i="221"/>
  <c r="G4" i="221"/>
  <c r="F4" i="221"/>
  <c r="E4" i="221"/>
  <c r="D4" i="221"/>
  <c r="C4" i="221"/>
  <c r="B4" i="221"/>
  <c r="M2" i="221"/>
  <c r="L2" i="221"/>
  <c r="K2" i="221"/>
  <c r="J2" i="221"/>
  <c r="I2" i="221"/>
  <c r="H2" i="221"/>
  <c r="G2" i="221"/>
  <c r="F2" i="221"/>
  <c r="E2" i="221"/>
  <c r="D2" i="221"/>
  <c r="C2" i="221"/>
  <c r="B2" i="221"/>
  <c r="G54" i="220"/>
  <c r="E45" i="227" s="1"/>
  <c r="H54" i="220"/>
  <c r="F45" i="227" s="1"/>
  <c r="I54" i="220"/>
  <c r="G45" i="227" s="1"/>
  <c r="J54" i="220"/>
  <c r="H45" i="227" s="1"/>
  <c r="F84" i="220"/>
  <c r="G84" i="220"/>
  <c r="H84" i="220"/>
  <c r="I84" i="220"/>
  <c r="J84" i="220"/>
  <c r="G92" i="220"/>
  <c r="H92" i="220"/>
  <c r="I92" i="220"/>
  <c r="J92" i="220"/>
  <c r="G98" i="220"/>
  <c r="H98" i="220"/>
  <c r="I98" i="220"/>
  <c r="J98" i="220"/>
  <c r="H113" i="220"/>
  <c r="F34" i="227" s="1"/>
  <c r="I113" i="220"/>
  <c r="G34" i="227" s="1"/>
  <c r="J113" i="220"/>
  <c r="H34" i="227" s="1"/>
  <c r="F9" i="220"/>
  <c r="E9" i="220" s="1"/>
  <c r="D10" i="220"/>
  <c r="G10" i="220"/>
  <c r="E33" i="227" s="1"/>
  <c r="H10" i="220"/>
  <c r="F33" i="227" s="1"/>
  <c r="I10" i="220"/>
  <c r="G33" i="227" s="1"/>
  <c r="J10" i="220"/>
  <c r="H33" i="227" s="1"/>
  <c r="E13" i="220"/>
  <c r="F14" i="220"/>
  <c r="E14" i="220" s="1"/>
  <c r="D15" i="220"/>
  <c r="G15" i="220"/>
  <c r="E35" i="227" s="1"/>
  <c r="H15" i="220"/>
  <c r="F35" i="227" s="1"/>
  <c r="I15" i="220"/>
  <c r="G35" i="227" s="1"/>
  <c r="J15" i="220"/>
  <c r="H35" i="227" s="1"/>
  <c r="E18" i="220"/>
  <c r="E19" i="220"/>
  <c r="D20" i="220"/>
  <c r="F20" i="220"/>
  <c r="D36" i="227" s="1"/>
  <c r="G20" i="220"/>
  <c r="E36" i="227" s="1"/>
  <c r="H20" i="220"/>
  <c r="I20" i="220"/>
  <c r="G36" i="227" s="1"/>
  <c r="J20" i="220"/>
  <c r="H36" i="227" s="1"/>
  <c r="E23" i="220"/>
  <c r="E24" i="220" s="1"/>
  <c r="D24" i="220"/>
  <c r="F24" i="220"/>
  <c r="D40" i="227" s="1"/>
  <c r="G24" i="220"/>
  <c r="E40" i="227" s="1"/>
  <c r="H24" i="220"/>
  <c r="F40" i="227" s="1"/>
  <c r="I24" i="220"/>
  <c r="G40" i="227" s="1"/>
  <c r="J24" i="220"/>
  <c r="H40" i="227" s="1"/>
  <c r="E27" i="220"/>
  <c r="E28" i="220" s="1"/>
  <c r="D28" i="220"/>
  <c r="F28" i="220"/>
  <c r="G28" i="220"/>
  <c r="H28" i="220"/>
  <c r="I28" i="220"/>
  <c r="J28" i="220"/>
  <c r="E31" i="220"/>
  <c r="E32" i="220" s="1"/>
  <c r="D32" i="220"/>
  <c r="F32" i="220"/>
  <c r="G32" i="220"/>
  <c r="H32" i="220"/>
  <c r="I32" i="220"/>
  <c r="J32" i="220"/>
  <c r="F35" i="220"/>
  <c r="E35" i="220" s="1"/>
  <c r="E36" i="220"/>
  <c r="D37" i="220"/>
  <c r="G37" i="220"/>
  <c r="H37" i="220"/>
  <c r="I37" i="220"/>
  <c r="J37" i="220"/>
  <c r="F40" i="220"/>
  <c r="F42" i="220" s="1"/>
  <c r="D41" i="227" s="1"/>
  <c r="E41" i="220"/>
  <c r="D42" i="220"/>
  <c r="G42" i="220"/>
  <c r="E41" i="227" s="1"/>
  <c r="H42" i="220"/>
  <c r="F41" i="227" s="1"/>
  <c r="I42" i="220"/>
  <c r="G41" i="227" s="1"/>
  <c r="J42" i="220"/>
  <c r="H41" i="227" s="1"/>
  <c r="E45" i="220"/>
  <c r="E46" i="220" s="1"/>
  <c r="D46" i="220"/>
  <c r="F46" i="220"/>
  <c r="D42" i="227" s="1"/>
  <c r="G46" i="220"/>
  <c r="E42" i="227" s="1"/>
  <c r="H46" i="220"/>
  <c r="F42" i="227" s="1"/>
  <c r="I46" i="220"/>
  <c r="G42" i="227" s="1"/>
  <c r="J46" i="220"/>
  <c r="H42" i="227" s="1"/>
  <c r="F49" i="220"/>
  <c r="E49" i="220" s="1"/>
  <c r="E53" i="220"/>
  <c r="D54" i="220"/>
  <c r="E57" i="220"/>
  <c r="E58" i="220" s="1"/>
  <c r="D58" i="220"/>
  <c r="F58" i="220"/>
  <c r="D44" i="227" s="1"/>
  <c r="G58" i="220"/>
  <c r="E44" i="227" s="1"/>
  <c r="H58" i="220"/>
  <c r="F44" i="227" s="1"/>
  <c r="I58" i="220"/>
  <c r="G44" i="227" s="1"/>
  <c r="J58" i="220"/>
  <c r="H44" i="227" s="1"/>
  <c r="E61" i="220"/>
  <c r="E62" i="220" s="1"/>
  <c r="D62" i="220"/>
  <c r="F62" i="220"/>
  <c r="G62" i="220"/>
  <c r="H62" i="220"/>
  <c r="I62" i="220"/>
  <c r="J62" i="220"/>
  <c r="F65" i="220"/>
  <c r="F66" i="220"/>
  <c r="E66" i="220" s="1"/>
  <c r="E67" i="220"/>
  <c r="E68" i="220"/>
  <c r="D69" i="220"/>
  <c r="G69" i="220"/>
  <c r="H69" i="220"/>
  <c r="I69" i="220"/>
  <c r="J69" i="220"/>
  <c r="H43" i="227" s="1"/>
  <c r="E72" i="220"/>
  <c r="E73" i="220" s="1"/>
  <c r="D73" i="220"/>
  <c r="F73" i="220"/>
  <c r="D39" i="227" s="1"/>
  <c r="G73" i="220"/>
  <c r="E39" i="227" s="1"/>
  <c r="H73" i="220"/>
  <c r="F39" i="227" s="1"/>
  <c r="I73" i="220"/>
  <c r="G39" i="227" s="1"/>
  <c r="J73" i="220"/>
  <c r="H39" i="227" s="1"/>
  <c r="E76" i="220"/>
  <c r="E77" i="220"/>
  <c r="D78" i="220"/>
  <c r="F78" i="220"/>
  <c r="G78" i="220"/>
  <c r="H78" i="220"/>
  <c r="I78" i="220"/>
  <c r="J78" i="220"/>
  <c r="E81" i="220"/>
  <c r="E82" i="220"/>
  <c r="E83" i="220"/>
  <c r="D84" i="220"/>
  <c r="F87" i="220"/>
  <c r="E87" i="220" s="1"/>
  <c r="F88" i="220"/>
  <c r="E89" i="220"/>
  <c r="E90" i="220"/>
  <c r="E91" i="220"/>
  <c r="D92" i="220"/>
  <c r="F95" i="220"/>
  <c r="F96" i="220"/>
  <c r="E96" i="220" s="1"/>
  <c r="E97" i="220"/>
  <c r="D98" i="220"/>
  <c r="F101" i="220"/>
  <c r="F106" i="220" s="1"/>
  <c r="E102" i="220"/>
  <c r="F109" i="220"/>
  <c r="E109" i="220" s="1"/>
  <c r="E112" i="220"/>
  <c r="D113" i="220"/>
  <c r="E19" i="219"/>
  <c r="E17" i="219"/>
  <c r="E13" i="219"/>
  <c r="E9" i="219"/>
  <c r="B18" i="218"/>
  <c r="C18" i="218"/>
  <c r="D18" i="218"/>
  <c r="E18" i="218"/>
  <c r="F18" i="218"/>
  <c r="G18" i="218"/>
  <c r="H18" i="218"/>
  <c r="H20" i="218"/>
  <c r="D10" i="217"/>
  <c r="D16" i="217"/>
  <c r="D32" i="217"/>
  <c r="D36" i="217"/>
  <c r="D40" i="217"/>
  <c r="D44" i="217"/>
  <c r="C45" i="227" s="1"/>
  <c r="D49" i="217"/>
  <c r="D54" i="217"/>
  <c r="D59" i="217"/>
  <c r="D63" i="217"/>
  <c r="D8" i="216"/>
  <c r="C7" i="216"/>
  <c r="D7" i="216"/>
  <c r="H25" i="222" s="1"/>
  <c r="H27" i="222" s="1"/>
  <c r="D5" i="216"/>
  <c r="N19" i="226" s="1"/>
  <c r="C5" i="216"/>
  <c r="D3" i="216"/>
  <c r="H29" i="222" s="1"/>
  <c r="C3" i="216"/>
  <c r="C8" i="216" s="1"/>
  <c r="T12" i="215"/>
  <c r="T11" i="215"/>
  <c r="T9" i="215"/>
  <c r="T8" i="215"/>
  <c r="T7" i="215"/>
  <c r="P21" i="215"/>
  <c r="O21" i="215"/>
  <c r="N21" i="215"/>
  <c r="M21" i="215"/>
  <c r="L21" i="215"/>
  <c r="K21" i="215"/>
  <c r="K23" i="215" s="1"/>
  <c r="J21" i="215"/>
  <c r="J23" i="215" s="1"/>
  <c r="H21" i="215"/>
  <c r="H23" i="215" s="1"/>
  <c r="G21" i="215"/>
  <c r="D21" i="215"/>
  <c r="C21" i="215"/>
  <c r="X19" i="215"/>
  <c r="W19" i="215"/>
  <c r="V19" i="215"/>
  <c r="T19" i="215"/>
  <c r="S19" i="215"/>
  <c r="U19" i="215" s="1"/>
  <c r="AA19" i="215" s="1"/>
  <c r="E19" i="215"/>
  <c r="X18" i="215"/>
  <c r="W18" i="215"/>
  <c r="V18" i="215"/>
  <c r="T18" i="215"/>
  <c r="S18" i="215"/>
  <c r="E18" i="215"/>
  <c r="X15" i="215"/>
  <c r="W15" i="215"/>
  <c r="V15" i="215"/>
  <c r="T15" i="215"/>
  <c r="S15" i="215"/>
  <c r="R15" i="215"/>
  <c r="Q15" i="215"/>
  <c r="E15" i="215"/>
  <c r="X14" i="215"/>
  <c r="W14" i="215"/>
  <c r="V14" i="215"/>
  <c r="T14" i="215"/>
  <c r="S14" i="215"/>
  <c r="R14" i="215"/>
  <c r="Q14" i="215"/>
  <c r="E14" i="215"/>
  <c r="X13" i="215"/>
  <c r="W13" i="215"/>
  <c r="V13" i="215"/>
  <c r="D13" i="215"/>
  <c r="K12" i="215"/>
  <c r="G12" i="215"/>
  <c r="P12" i="215" s="1"/>
  <c r="Q12" i="215" s="1"/>
  <c r="R12" i="215" s="1"/>
  <c r="K11" i="215"/>
  <c r="G11" i="215"/>
  <c r="P11" i="215" s="1"/>
  <c r="Q11" i="215" s="1"/>
  <c r="R11" i="215" s="1"/>
  <c r="AE10" i="215"/>
  <c r="R10" i="215"/>
  <c r="K10" i="215"/>
  <c r="C10" i="215"/>
  <c r="C13" i="215" s="1"/>
  <c r="AE9" i="215"/>
  <c r="O9" i="215"/>
  <c r="P9" i="215" s="1"/>
  <c r="Q9" i="215" s="1"/>
  <c r="R9" i="215" s="1"/>
  <c r="K9" i="215"/>
  <c r="N9" i="215" s="1"/>
  <c r="G9" i="215"/>
  <c r="AE8" i="215"/>
  <c r="K8" i="215"/>
  <c r="M8" i="215" s="1"/>
  <c r="G8" i="215"/>
  <c r="O8" i="215" s="1"/>
  <c r="K7" i="215"/>
  <c r="L7" i="215" s="1"/>
  <c r="L13" i="215" s="1"/>
  <c r="G7" i="215"/>
  <c r="M7" i="215" s="1"/>
  <c r="D23" i="214"/>
  <c r="J8" i="214" s="1"/>
  <c r="E23" i="214"/>
  <c r="E12" i="214"/>
  <c r="E25" i="214" s="1"/>
  <c r="D12" i="214"/>
  <c r="D25" i="214" s="1"/>
  <c r="G7" i="214"/>
  <c r="H5" i="214"/>
  <c r="J5" i="214" s="1"/>
  <c r="H4" i="214"/>
  <c r="I4" i="214" s="1"/>
  <c r="F18" i="213"/>
  <c r="E18" i="213"/>
  <c r="D18" i="213"/>
  <c r="C18" i="213"/>
  <c r="B18" i="213"/>
  <c r="J34" i="208"/>
  <c r="O21" i="221" l="1"/>
  <c r="O47" i="221"/>
  <c r="R21" i="215"/>
  <c r="D23" i="215"/>
  <c r="U14" i="215"/>
  <c r="AA14" i="215" s="1"/>
  <c r="U15" i="215"/>
  <c r="AA15" i="215" s="1"/>
  <c r="U18" i="215"/>
  <c r="AA18" i="215" s="1"/>
  <c r="H46" i="227" s="1"/>
  <c r="O10" i="226"/>
  <c r="C37" i="227" s="1"/>
  <c r="O9" i="226"/>
  <c r="C41" i="227" s="1"/>
  <c r="E43" i="227"/>
  <c r="F69" i="220"/>
  <c r="D43" i="227" s="1"/>
  <c r="F38" i="227"/>
  <c r="E38" i="227"/>
  <c r="G37" i="227"/>
  <c r="E84" i="220"/>
  <c r="H37" i="227"/>
  <c r="H38" i="227"/>
  <c r="F37" i="227"/>
  <c r="G38" i="227"/>
  <c r="F43" i="227"/>
  <c r="G43" i="227"/>
  <c r="E37" i="227"/>
  <c r="E54" i="220"/>
  <c r="F54" i="220"/>
  <c r="D45" i="227" s="1"/>
  <c r="I45" i="227" s="1"/>
  <c r="D115" i="220"/>
  <c r="F98" i="220"/>
  <c r="C43" i="227"/>
  <c r="D22" i="227"/>
  <c r="E22" i="227" s="1"/>
  <c r="F22" i="227" s="1"/>
  <c r="G22" i="227" s="1"/>
  <c r="H22" i="227" s="1"/>
  <c r="I40" i="227"/>
  <c r="N23" i="226"/>
  <c r="N24" i="226" s="1"/>
  <c r="O19" i="226"/>
  <c r="C34" i="227" s="1"/>
  <c r="N16" i="226"/>
  <c r="N18" i="226" s="1"/>
  <c r="H32" i="222"/>
  <c r="I44" i="227"/>
  <c r="V21" i="222"/>
  <c r="O8" i="221"/>
  <c r="O12" i="221"/>
  <c r="O22" i="221"/>
  <c r="O46" i="221"/>
  <c r="O50" i="221"/>
  <c r="I32" i="227"/>
  <c r="C27" i="223"/>
  <c r="C45" i="223" s="1"/>
  <c r="I21" i="227"/>
  <c r="I22" i="227" s="1"/>
  <c r="I42" i="227"/>
  <c r="I39" i="227"/>
  <c r="I36" i="227"/>
  <c r="V32" i="222"/>
  <c r="O2" i="221"/>
  <c r="O6" i="221"/>
  <c r="O10" i="221"/>
  <c r="O20" i="221"/>
  <c r="O24" i="221"/>
  <c r="O31" i="221"/>
  <c r="O43" i="221"/>
  <c r="O34" i="221"/>
  <c r="O48" i="221"/>
  <c r="O26" i="221"/>
  <c r="I41" i="227"/>
  <c r="D25" i="227"/>
  <c r="E25" i="227" s="1"/>
  <c r="F25" i="227" s="1"/>
  <c r="G25" i="227" s="1"/>
  <c r="J12" i="226"/>
  <c r="J24" i="226" s="1"/>
  <c r="P21" i="226"/>
  <c r="P19" i="226"/>
  <c r="P10" i="226"/>
  <c r="P7" i="226"/>
  <c r="I12" i="226"/>
  <c r="P22" i="226"/>
  <c r="P8" i="226"/>
  <c r="O20" i="226"/>
  <c r="P15" i="226"/>
  <c r="E24" i="226"/>
  <c r="E30" i="226" s="1"/>
  <c r="E31" i="226" s="1"/>
  <c r="K24" i="226"/>
  <c r="P17" i="226"/>
  <c r="C30" i="226"/>
  <c r="C31" i="226" s="1"/>
  <c r="T28" i="226"/>
  <c r="T29" i="226" s="1"/>
  <c r="M24" i="226"/>
  <c r="O14" i="226"/>
  <c r="O13" i="226"/>
  <c r="I23" i="226"/>
  <c r="P13" i="226"/>
  <c r="O6" i="226"/>
  <c r="C26" i="225"/>
  <c r="C28" i="225" s="1"/>
  <c r="C18" i="225"/>
  <c r="C11" i="225"/>
  <c r="I27" i="222"/>
  <c r="I33" i="222" s="1"/>
  <c r="H33" i="222"/>
  <c r="H35" i="222" s="1"/>
  <c r="R27" i="222"/>
  <c r="R21" i="222"/>
  <c r="R33" i="222" s="1"/>
  <c r="X31" i="222"/>
  <c r="X26" i="222"/>
  <c r="G31" i="222"/>
  <c r="F31" i="222" s="1"/>
  <c r="P33" i="222"/>
  <c r="G28" i="222"/>
  <c r="X28" i="222"/>
  <c r="V27" i="222"/>
  <c r="O4" i="221"/>
  <c r="L33" i="222"/>
  <c r="M33" i="222"/>
  <c r="L32" i="222"/>
  <c r="D26" i="222"/>
  <c r="K33" i="222"/>
  <c r="J27" i="222"/>
  <c r="J33" i="222" s="1"/>
  <c r="N52" i="221"/>
  <c r="F92" i="220"/>
  <c r="E78" i="220"/>
  <c r="E37" i="220"/>
  <c r="E20" i="220"/>
  <c r="F113" i="220"/>
  <c r="D34" i="227" s="1"/>
  <c r="H52" i="221"/>
  <c r="B52" i="221"/>
  <c r="J52" i="221"/>
  <c r="I52" i="221"/>
  <c r="K52" i="221"/>
  <c r="C52" i="221"/>
  <c r="D52" i="221"/>
  <c r="L52" i="221"/>
  <c r="E52" i="221"/>
  <c r="M52" i="221"/>
  <c r="F52" i="221"/>
  <c r="G52" i="221"/>
  <c r="H115" i="220"/>
  <c r="E110" i="220"/>
  <c r="J115" i="220"/>
  <c r="I115" i="220"/>
  <c r="E65" i="220"/>
  <c r="E69" i="220" s="1"/>
  <c r="F37" i="220"/>
  <c r="D37" i="227" s="1"/>
  <c r="E15" i="220"/>
  <c r="E40" i="220"/>
  <c r="E42" i="220" s="1"/>
  <c r="F15" i="220"/>
  <c r="D35" i="227" s="1"/>
  <c r="E101" i="220"/>
  <c r="E106" i="220" s="1"/>
  <c r="E88" i="220"/>
  <c r="E92" i="220" s="1"/>
  <c r="F10" i="220"/>
  <c r="D33" i="227" s="1"/>
  <c r="E95" i="220"/>
  <c r="E98" i="220" s="1"/>
  <c r="U9" i="215"/>
  <c r="AA9" i="215" s="1"/>
  <c r="X21" i="215"/>
  <c r="X23" i="215" s="1"/>
  <c r="S21" i="215"/>
  <c r="T21" i="215"/>
  <c r="V21" i="215"/>
  <c r="V23" i="215" s="1"/>
  <c r="W21" i="215"/>
  <c r="W23" i="215" s="1"/>
  <c r="E21" i="215"/>
  <c r="P8" i="215"/>
  <c r="Q8" i="215" s="1"/>
  <c r="R8" i="215" s="1"/>
  <c r="C23" i="215"/>
  <c r="L23" i="215"/>
  <c r="M13" i="215"/>
  <c r="M23" i="215" s="1"/>
  <c r="Q21" i="215"/>
  <c r="N7" i="215"/>
  <c r="O11" i="215"/>
  <c r="N8" i="215"/>
  <c r="T10" i="215"/>
  <c r="O12" i="215"/>
  <c r="J4" i="214"/>
  <c r="K4" i="214" s="1"/>
  <c r="K5" i="214"/>
  <c r="H6" i="214"/>
  <c r="H7" i="214" s="1"/>
  <c r="E21" i="212"/>
  <c r="Y16" i="212"/>
  <c r="Y17" i="212"/>
  <c r="Y18" i="212"/>
  <c r="Y15" i="212"/>
  <c r="Y8" i="212"/>
  <c r="Y9" i="212"/>
  <c r="Y10" i="212"/>
  <c r="Y11" i="212"/>
  <c r="Y12" i="212"/>
  <c r="Y13" i="212"/>
  <c r="Y7" i="212"/>
  <c r="T21" i="212"/>
  <c r="T19" i="212"/>
  <c r="T16" i="212"/>
  <c r="T17" i="212"/>
  <c r="T18" i="212"/>
  <c r="T15" i="212"/>
  <c r="T14" i="212"/>
  <c r="T8" i="212"/>
  <c r="T9" i="212"/>
  <c r="T10" i="212"/>
  <c r="T11" i="212"/>
  <c r="T12" i="212"/>
  <c r="T13" i="212"/>
  <c r="T7" i="212"/>
  <c r="P19" i="212"/>
  <c r="O19" i="212"/>
  <c r="N19" i="212"/>
  <c r="M19" i="212"/>
  <c r="L19" i="212"/>
  <c r="K19" i="212"/>
  <c r="K21" i="212" s="1"/>
  <c r="J19" i="212"/>
  <c r="J21" i="212" s="1"/>
  <c r="H19" i="212"/>
  <c r="H21" i="212" s="1"/>
  <c r="G19" i="212"/>
  <c r="D19" i="212"/>
  <c r="C19" i="212"/>
  <c r="X18" i="212"/>
  <c r="W18" i="212"/>
  <c r="V18" i="212"/>
  <c r="U18" i="212"/>
  <c r="S18" i="212"/>
  <c r="E18" i="212"/>
  <c r="X17" i="212"/>
  <c r="W17" i="212"/>
  <c r="V17" i="212"/>
  <c r="U17" i="212"/>
  <c r="S17" i="212"/>
  <c r="E17" i="212"/>
  <c r="X16" i="212"/>
  <c r="W16" i="212"/>
  <c r="V16" i="212"/>
  <c r="U16" i="212"/>
  <c r="S16" i="212"/>
  <c r="R16" i="212"/>
  <c r="Q16" i="212"/>
  <c r="E16" i="212"/>
  <c r="X15" i="212"/>
  <c r="X19" i="212" s="1"/>
  <c r="W15" i="212"/>
  <c r="V15" i="212"/>
  <c r="U15" i="212"/>
  <c r="S15" i="212"/>
  <c r="R15" i="212"/>
  <c r="R19" i="212" s="1"/>
  <c r="Q15" i="212"/>
  <c r="Q19" i="212" s="1"/>
  <c r="E15" i="212"/>
  <c r="X14" i="212"/>
  <c r="W14" i="212"/>
  <c r="V14" i="212"/>
  <c r="D14" i="212"/>
  <c r="U13" i="212"/>
  <c r="K13" i="212"/>
  <c r="O13" i="212" s="1"/>
  <c r="G13" i="212"/>
  <c r="P13" i="212" s="1"/>
  <c r="Q13" i="212" s="1"/>
  <c r="R13" i="212" s="1"/>
  <c r="U12" i="212"/>
  <c r="K12" i="212"/>
  <c r="G12" i="212"/>
  <c r="P12" i="212" s="1"/>
  <c r="Q12" i="212" s="1"/>
  <c r="R12" i="212" s="1"/>
  <c r="R11" i="212"/>
  <c r="K11" i="212"/>
  <c r="G11" i="212"/>
  <c r="AC10" i="212"/>
  <c r="R10" i="212"/>
  <c r="K10" i="212"/>
  <c r="C10" i="212"/>
  <c r="C14" i="212" s="1"/>
  <c r="C21" i="212" s="1"/>
  <c r="C22" i="212" s="1"/>
  <c r="AC9" i="212"/>
  <c r="U9" i="212"/>
  <c r="O9" i="212"/>
  <c r="P9" i="212" s="1"/>
  <c r="Q9" i="212" s="1"/>
  <c r="R9" i="212" s="1"/>
  <c r="K9" i="212"/>
  <c r="G9" i="212"/>
  <c r="AC8" i="212"/>
  <c r="U8" i="212"/>
  <c r="O8" i="212"/>
  <c r="K8" i="212"/>
  <c r="M8" i="212" s="1"/>
  <c r="G8" i="212"/>
  <c r="N8" i="212" s="1"/>
  <c r="U7" i="212"/>
  <c r="M7" i="212"/>
  <c r="N7" i="212" s="1"/>
  <c r="K7" i="212"/>
  <c r="G7" i="212"/>
  <c r="R10" i="209"/>
  <c r="D19" i="209"/>
  <c r="E19" i="209"/>
  <c r="E16" i="209"/>
  <c r="E17" i="209"/>
  <c r="E18" i="209"/>
  <c r="E15" i="209"/>
  <c r="D8" i="201"/>
  <c r="E33" i="210"/>
  <c r="C17" i="208" s="1"/>
  <c r="G150" i="207"/>
  <c r="F46" i="227" l="1"/>
  <c r="AA16" i="215"/>
  <c r="U8" i="215"/>
  <c r="AA8" i="215" s="1"/>
  <c r="O12" i="226"/>
  <c r="C35" i="227"/>
  <c r="I35" i="227" s="1"/>
  <c r="G28" i="227"/>
  <c r="H28" i="227"/>
  <c r="I37" i="227"/>
  <c r="I43" i="227"/>
  <c r="D38" i="227"/>
  <c r="D28" i="227" s="1"/>
  <c r="O16" i="226"/>
  <c r="P16" i="226" s="1"/>
  <c r="P20" i="226"/>
  <c r="C33" i="227"/>
  <c r="P14" i="226"/>
  <c r="V33" i="222"/>
  <c r="V35" i="222" s="1"/>
  <c r="I25" i="227"/>
  <c r="O23" i="226"/>
  <c r="P23" i="226"/>
  <c r="I24" i="226"/>
  <c r="P6" i="226"/>
  <c r="P12" i="226" s="1"/>
  <c r="C20" i="225"/>
  <c r="I35" i="222"/>
  <c r="D31" i="222"/>
  <c r="D28" i="222"/>
  <c r="F28" i="222"/>
  <c r="O52" i="221"/>
  <c r="F115" i="220"/>
  <c r="E10" i="220"/>
  <c r="U12" i="215"/>
  <c r="AA12" i="215" s="1"/>
  <c r="U11" i="215"/>
  <c r="AA11" i="215" s="1"/>
  <c r="U21" i="215"/>
  <c r="I46" i="227" s="1"/>
  <c r="T13" i="215"/>
  <c r="T23" i="215" s="1"/>
  <c r="S10" i="215"/>
  <c r="U10" i="215" s="1"/>
  <c r="AA10" i="215" s="1"/>
  <c r="G10" i="215"/>
  <c r="G13" i="215" s="1"/>
  <c r="G23" i="215" s="1"/>
  <c r="E13" i="215"/>
  <c r="E23" i="215" s="1"/>
  <c r="N13" i="215"/>
  <c r="N23" i="215" s="1"/>
  <c r="O7" i="215"/>
  <c r="J7" i="214"/>
  <c r="J9" i="214" s="1"/>
  <c r="K6" i="214"/>
  <c r="K7" i="214" s="1"/>
  <c r="I6" i="214"/>
  <c r="I7" i="214" s="1"/>
  <c r="E10" i="212"/>
  <c r="U19" i="212"/>
  <c r="O12" i="212"/>
  <c r="V19" i="212"/>
  <c r="V21" i="212" s="1"/>
  <c r="W19" i="212"/>
  <c r="W21" i="212" s="1"/>
  <c r="X21" i="212"/>
  <c r="Y19" i="212"/>
  <c r="E19" i="212"/>
  <c r="O7" i="212"/>
  <c r="N14" i="212"/>
  <c r="N21" i="212" s="1"/>
  <c r="P8" i="212"/>
  <c r="Q8" i="212" s="1"/>
  <c r="R8" i="212" s="1"/>
  <c r="N9" i="212"/>
  <c r="L7" i="212"/>
  <c r="L14" i="212" s="1"/>
  <c r="L21" i="212" s="1"/>
  <c r="G10" i="212"/>
  <c r="G14" i="212" s="1"/>
  <c r="G21" i="212" s="1"/>
  <c r="M14" i="212"/>
  <c r="M21" i="212" s="1"/>
  <c r="S10" i="212"/>
  <c r="S19" i="212"/>
  <c r="C21" i="196"/>
  <c r="C25" i="211"/>
  <c r="C24" i="211"/>
  <c r="C23" i="211"/>
  <c r="C15" i="211"/>
  <c r="C17" i="211"/>
  <c r="C16" i="211"/>
  <c r="C14" i="211"/>
  <c r="C9" i="211"/>
  <c r="C16" i="210"/>
  <c r="C19" i="210"/>
  <c r="C25" i="210"/>
  <c r="C10" i="211" s="1"/>
  <c r="C39" i="210"/>
  <c r="C40" i="210" s="1"/>
  <c r="C48" i="210"/>
  <c r="G42" i="208"/>
  <c r="S18" i="209"/>
  <c r="S17" i="209"/>
  <c r="T17" i="209"/>
  <c r="U17" i="209"/>
  <c r="V17" i="209"/>
  <c r="W17" i="209"/>
  <c r="T18" i="209"/>
  <c r="U18" i="209"/>
  <c r="V18" i="209"/>
  <c r="W18" i="209"/>
  <c r="Q16" i="209"/>
  <c r="R16" i="209"/>
  <c r="S16" i="209"/>
  <c r="T16" i="209"/>
  <c r="U16" i="209"/>
  <c r="V16" i="209"/>
  <c r="W16" i="209"/>
  <c r="S15" i="209"/>
  <c r="T15" i="209"/>
  <c r="U15" i="209"/>
  <c r="V15" i="209"/>
  <c r="W15" i="209"/>
  <c r="R15" i="209"/>
  <c r="Q15" i="209"/>
  <c r="U14" i="209"/>
  <c r="V14" i="209"/>
  <c r="W14" i="209"/>
  <c r="L14" i="209"/>
  <c r="M14" i="209"/>
  <c r="N14" i="209"/>
  <c r="O14" i="209"/>
  <c r="P14" i="209"/>
  <c r="Q14" i="209"/>
  <c r="R14" i="209"/>
  <c r="S14" i="209"/>
  <c r="T14" i="209"/>
  <c r="X8" i="209"/>
  <c r="X9" i="209"/>
  <c r="X10" i="209"/>
  <c r="X12" i="209"/>
  <c r="X13" i="209"/>
  <c r="X7" i="209"/>
  <c r="D14" i="209"/>
  <c r="E14" i="209"/>
  <c r="T13" i="209"/>
  <c r="P13" i="209"/>
  <c r="Q13" i="209" s="1"/>
  <c r="R13" i="209" s="1"/>
  <c r="K13" i="209"/>
  <c r="O13" i="209" s="1"/>
  <c r="G13" i="209"/>
  <c r="T12" i="209"/>
  <c r="P12" i="209"/>
  <c r="Q12" i="209" s="1"/>
  <c r="R12" i="209" s="1"/>
  <c r="O12" i="209"/>
  <c r="K12" i="209"/>
  <c r="G12" i="209"/>
  <c r="R11" i="209"/>
  <c r="K11" i="209"/>
  <c r="X11" i="209" s="1"/>
  <c r="G11" i="209"/>
  <c r="K10" i="209"/>
  <c r="E10" i="209"/>
  <c r="G10" i="209" s="1"/>
  <c r="C10" i="209"/>
  <c r="C14" i="209" s="1"/>
  <c r="T9" i="209"/>
  <c r="P9" i="209"/>
  <c r="Q9" i="209" s="1"/>
  <c r="R9" i="209" s="1"/>
  <c r="O9" i="209"/>
  <c r="K9" i="209"/>
  <c r="N9" i="209" s="1"/>
  <c r="G9" i="209"/>
  <c r="T8" i="209"/>
  <c r="P8" i="209"/>
  <c r="Q8" i="209" s="1"/>
  <c r="R8" i="209" s="1"/>
  <c r="M8" i="209"/>
  <c r="K8" i="209"/>
  <c r="G8" i="209"/>
  <c r="O8" i="209" s="1"/>
  <c r="T7" i="209"/>
  <c r="K7" i="209"/>
  <c r="L7" i="209" s="1"/>
  <c r="G7" i="209"/>
  <c r="F28" i="227" l="1"/>
  <c r="P18" i="226"/>
  <c r="O18" i="226"/>
  <c r="O24" i="226" s="1"/>
  <c r="N34" i="226" s="1"/>
  <c r="N35" i="226" s="1"/>
  <c r="P35" i="226" s="1"/>
  <c r="C38" i="227"/>
  <c r="I38" i="227" s="1"/>
  <c r="I33" i="227"/>
  <c r="P24" i="226"/>
  <c r="O13" i="215"/>
  <c r="O23" i="215" s="1"/>
  <c r="P7" i="215"/>
  <c r="S13" i="215"/>
  <c r="S23" i="215" s="1"/>
  <c r="U10" i="212"/>
  <c r="U14" i="212" s="1"/>
  <c r="U21" i="212" s="1"/>
  <c r="E14" i="212"/>
  <c r="S14" i="212"/>
  <c r="S21" i="212" s="1"/>
  <c r="P7" i="212"/>
  <c r="O14" i="212"/>
  <c r="O21" i="212" s="1"/>
  <c r="X14" i="209"/>
  <c r="D42" i="208" s="1"/>
  <c r="C26" i="210"/>
  <c r="C42" i="210" s="1"/>
  <c r="C8" i="211"/>
  <c r="C11" i="211" s="1"/>
  <c r="C20" i="211" s="1"/>
  <c r="C26" i="211"/>
  <c r="C28" i="211" s="1"/>
  <c r="C18" i="211"/>
  <c r="G14" i="209"/>
  <c r="M7" i="209"/>
  <c r="S10" i="209"/>
  <c r="T10" i="209"/>
  <c r="N8" i="209"/>
  <c r="C49" i="226" l="1"/>
  <c r="C50" i="226" s="1"/>
  <c r="H50" i="226" s="1"/>
  <c r="C28" i="227"/>
  <c r="C27" i="227" s="1"/>
  <c r="Q7" i="215"/>
  <c r="P13" i="215"/>
  <c r="P23" i="215" s="1"/>
  <c r="P14" i="212"/>
  <c r="P21" i="212" s="1"/>
  <c r="Q7" i="212"/>
  <c r="N7" i="209"/>
  <c r="H12" i="223" l="1"/>
  <c r="H14" i="223" s="1"/>
  <c r="H49" i="226"/>
  <c r="R7" i="215"/>
  <c r="Q13" i="215"/>
  <c r="Q23" i="215" s="1"/>
  <c r="Q14" i="212"/>
  <c r="Q21" i="212" s="1"/>
  <c r="R7" i="212"/>
  <c r="R14" i="212" s="1"/>
  <c r="R21" i="212" s="1"/>
  <c r="O7" i="209"/>
  <c r="R13" i="215" l="1"/>
  <c r="R23" i="215" s="1"/>
  <c r="U7" i="215"/>
  <c r="AA7" i="215" s="1"/>
  <c r="AA23" i="215" s="1"/>
  <c r="Y14" i="212"/>
  <c r="Y21" i="212" s="1"/>
  <c r="P7" i="209"/>
  <c r="U23" i="215" l="1"/>
  <c r="Q7" i="209"/>
  <c r="R7" i="209" l="1"/>
  <c r="F21" i="209" l="1"/>
  <c r="W19" i="209"/>
  <c r="V19" i="209"/>
  <c r="U19" i="209"/>
  <c r="U21" i="209" s="1"/>
  <c r="T19" i="209"/>
  <c r="S19" i="209"/>
  <c r="R19" i="209"/>
  <c r="Q19" i="209"/>
  <c r="P19" i="209"/>
  <c r="O19" i="209"/>
  <c r="N19" i="209"/>
  <c r="M19" i="209"/>
  <c r="L19" i="209"/>
  <c r="K19" i="209"/>
  <c r="K21" i="209" s="1"/>
  <c r="J19" i="209"/>
  <c r="J21" i="209" s="1"/>
  <c r="I19" i="209"/>
  <c r="I21" i="209" s="1"/>
  <c r="H19" i="209"/>
  <c r="H21" i="209" s="1"/>
  <c r="G19" i="209"/>
  <c r="C19" i="209"/>
  <c r="X18" i="209"/>
  <c r="X17" i="209"/>
  <c r="X16" i="209"/>
  <c r="X15" i="209"/>
  <c r="AB10" i="209"/>
  <c r="AB9" i="209"/>
  <c r="AB8" i="209"/>
  <c r="E40" i="208"/>
  <c r="D38" i="208"/>
  <c r="C42" i="208"/>
  <c r="I42" i="208" s="1"/>
  <c r="C41" i="208"/>
  <c r="C40" i="208"/>
  <c r="C39" i="208"/>
  <c r="C38" i="208"/>
  <c r="C37" i="208"/>
  <c r="C36" i="208"/>
  <c r="C35" i="208"/>
  <c r="C34" i="208"/>
  <c r="C33" i="208"/>
  <c r="C32" i="208"/>
  <c r="C31" i="208"/>
  <c r="C30" i="208"/>
  <c r="C29" i="208"/>
  <c r="C28" i="208"/>
  <c r="C24" i="208"/>
  <c r="I24" i="208" s="1"/>
  <c r="C23" i="208"/>
  <c r="I23" i="208" s="1"/>
  <c r="C21" i="208"/>
  <c r="D22" i="208" s="1"/>
  <c r="E22" i="208" s="1"/>
  <c r="F22" i="208" s="1"/>
  <c r="G22" i="208" s="1"/>
  <c r="H22" i="208" s="1"/>
  <c r="I21" i="208"/>
  <c r="I22" i="208" s="1"/>
  <c r="I20" i="208"/>
  <c r="B15" i="201"/>
  <c r="H15" i="201" s="1"/>
  <c r="B12" i="201"/>
  <c r="B14" i="201"/>
  <c r="H10" i="201"/>
  <c r="H11" i="201"/>
  <c r="H12" i="201"/>
  <c r="H13" i="201"/>
  <c r="H14" i="201"/>
  <c r="D120" i="200"/>
  <c r="E150" i="207"/>
  <c r="E152" i="207"/>
  <c r="G153" i="207"/>
  <c r="E30" i="208" s="1"/>
  <c r="H153" i="207"/>
  <c r="F30" i="208" s="1"/>
  <c r="I153" i="207"/>
  <c r="G30" i="208" s="1"/>
  <c r="J153" i="207"/>
  <c r="H30" i="208" s="1"/>
  <c r="D153" i="207"/>
  <c r="F147" i="207"/>
  <c r="F148" i="207"/>
  <c r="E148" i="207" s="1"/>
  <c r="F149" i="207"/>
  <c r="E149" i="207" s="1"/>
  <c r="F146" i="207"/>
  <c r="E146" i="207" s="1"/>
  <c r="G143" i="207"/>
  <c r="H143" i="207"/>
  <c r="I143" i="207"/>
  <c r="J143" i="207"/>
  <c r="D143" i="207"/>
  <c r="E142" i="207"/>
  <c r="J110" i="207"/>
  <c r="I110" i="207"/>
  <c r="H110" i="207"/>
  <c r="G110" i="207"/>
  <c r="D110" i="207"/>
  <c r="F109" i="207"/>
  <c r="E109" i="207" s="1"/>
  <c r="F108" i="207"/>
  <c r="E108" i="207" s="1"/>
  <c r="F107" i="207"/>
  <c r="F140" i="207"/>
  <c r="E140" i="207" s="1"/>
  <c r="F141" i="207"/>
  <c r="E141" i="207" s="1"/>
  <c r="F139" i="207"/>
  <c r="E139" i="207" s="1"/>
  <c r="E135" i="207"/>
  <c r="G136" i="207"/>
  <c r="H136" i="207"/>
  <c r="I136" i="207"/>
  <c r="J136" i="207"/>
  <c r="D136" i="207"/>
  <c r="F134" i="207"/>
  <c r="E134" i="207" s="1"/>
  <c r="F133" i="207"/>
  <c r="E133" i="207" s="1"/>
  <c r="E128" i="207"/>
  <c r="E129" i="207"/>
  <c r="G130" i="207"/>
  <c r="H130" i="207"/>
  <c r="I130" i="207"/>
  <c r="J130" i="207"/>
  <c r="D130" i="207"/>
  <c r="F127" i="207"/>
  <c r="E127" i="207" s="1"/>
  <c r="E121" i="207"/>
  <c r="E122" i="207"/>
  <c r="E123" i="207"/>
  <c r="G124" i="207"/>
  <c r="H124" i="207"/>
  <c r="I124" i="207"/>
  <c r="J124" i="207"/>
  <c r="D124" i="207"/>
  <c r="F119" i="207"/>
  <c r="F120" i="207"/>
  <c r="E120" i="207" s="1"/>
  <c r="F118" i="207"/>
  <c r="E114" i="207"/>
  <c r="E113" i="207"/>
  <c r="F103" i="207"/>
  <c r="F104" i="207" s="1"/>
  <c r="E99" i="207"/>
  <c r="G100" i="207"/>
  <c r="E35" i="208" s="1"/>
  <c r="H100" i="207"/>
  <c r="F35" i="208" s="1"/>
  <c r="I100" i="207"/>
  <c r="G35" i="208" s="1"/>
  <c r="J100" i="207"/>
  <c r="H35" i="208" s="1"/>
  <c r="D100" i="207"/>
  <c r="F98" i="207"/>
  <c r="E98" i="207" s="1"/>
  <c r="E93" i="207"/>
  <c r="E94" i="207"/>
  <c r="G95" i="207"/>
  <c r="H95" i="207"/>
  <c r="I95" i="207"/>
  <c r="J95" i="207"/>
  <c r="D95" i="207"/>
  <c r="F90" i="207"/>
  <c r="E90" i="207" s="1"/>
  <c r="F91" i="207"/>
  <c r="E91" i="207" s="1"/>
  <c r="F92" i="207"/>
  <c r="E92" i="207" s="1"/>
  <c r="F89" i="207"/>
  <c r="E89" i="207" s="1"/>
  <c r="F84" i="207"/>
  <c r="F86" i="207" s="1"/>
  <c r="E85" i="207"/>
  <c r="G86" i="207"/>
  <c r="H86" i="207"/>
  <c r="F39" i="208" s="1"/>
  <c r="I86" i="207"/>
  <c r="G39" i="208" s="1"/>
  <c r="J86" i="207"/>
  <c r="D86" i="207"/>
  <c r="F79" i="207"/>
  <c r="F81" i="207" s="1"/>
  <c r="D40" i="208" s="1"/>
  <c r="E80" i="207"/>
  <c r="G81" i="207"/>
  <c r="H81" i="207"/>
  <c r="F40" i="208" s="1"/>
  <c r="I81" i="207"/>
  <c r="G40" i="208" s="1"/>
  <c r="J81" i="207"/>
  <c r="H40" i="208" s="1"/>
  <c r="D81" i="207"/>
  <c r="E75" i="207"/>
  <c r="G76" i="207"/>
  <c r="E41" i="208" s="1"/>
  <c r="H76" i="207"/>
  <c r="F41" i="208" s="1"/>
  <c r="I76" i="207"/>
  <c r="G41" i="208" s="1"/>
  <c r="J76" i="207"/>
  <c r="H41" i="208" s="1"/>
  <c r="D76" i="207"/>
  <c r="F74" i="207"/>
  <c r="E74" i="207" s="1"/>
  <c r="F73" i="207"/>
  <c r="F70" i="207"/>
  <c r="F71" i="207"/>
  <c r="E71" i="207" s="1"/>
  <c r="F72" i="207"/>
  <c r="E72" i="207" s="1"/>
  <c r="F69" i="207"/>
  <c r="E69" i="207" s="1"/>
  <c r="G66" i="207"/>
  <c r="E38" i="208" s="1"/>
  <c r="H66" i="207"/>
  <c r="F38" i="208" s="1"/>
  <c r="I66" i="207"/>
  <c r="G38" i="208" s="1"/>
  <c r="J66" i="207"/>
  <c r="H38" i="208" s="1"/>
  <c r="D66" i="207"/>
  <c r="E65" i="207"/>
  <c r="F64" i="207"/>
  <c r="F66" i="207" s="1"/>
  <c r="G61" i="207"/>
  <c r="E37" i="208" s="1"/>
  <c r="H61" i="207"/>
  <c r="F37" i="208" s="1"/>
  <c r="I61" i="207"/>
  <c r="G37" i="208" s="1"/>
  <c r="J61" i="207"/>
  <c r="H37" i="208" s="1"/>
  <c r="D61" i="207"/>
  <c r="E60" i="207"/>
  <c r="F58" i="207"/>
  <c r="F59" i="207"/>
  <c r="E59" i="207" s="1"/>
  <c r="F57" i="207"/>
  <c r="G48" i="207"/>
  <c r="H48" i="207"/>
  <c r="I48" i="207"/>
  <c r="J48" i="207"/>
  <c r="D48" i="207"/>
  <c r="E47" i="207"/>
  <c r="G42" i="207"/>
  <c r="H42" i="207"/>
  <c r="I42" i="207"/>
  <c r="J42" i="207"/>
  <c r="D42" i="207"/>
  <c r="E41" i="207"/>
  <c r="F46" i="207"/>
  <c r="E46" i="207" s="1"/>
  <c r="F45" i="207"/>
  <c r="E45" i="207" s="1"/>
  <c r="F40" i="207"/>
  <c r="F42" i="207" s="1"/>
  <c r="G54" i="207"/>
  <c r="H54" i="207"/>
  <c r="I54" i="207"/>
  <c r="J54" i="207"/>
  <c r="D54" i="207"/>
  <c r="E53" i="207"/>
  <c r="F52" i="207"/>
  <c r="E52" i="207" s="1"/>
  <c r="F51" i="207"/>
  <c r="E51" i="207" s="1"/>
  <c r="E36" i="207"/>
  <c r="G37" i="207"/>
  <c r="E36" i="208" s="1"/>
  <c r="H37" i="207"/>
  <c r="F36" i="208" s="1"/>
  <c r="I37" i="207"/>
  <c r="G36" i="208" s="1"/>
  <c r="J37" i="207"/>
  <c r="H36" i="208" s="1"/>
  <c r="D37" i="207"/>
  <c r="F32" i="207"/>
  <c r="F33" i="207"/>
  <c r="E33" i="207" s="1"/>
  <c r="F34" i="207"/>
  <c r="E34" i="207" s="1"/>
  <c r="F35" i="207"/>
  <c r="E35" i="207" s="1"/>
  <c r="F31" i="207"/>
  <c r="E31" i="207" s="1"/>
  <c r="E27" i="207"/>
  <c r="E26" i="207"/>
  <c r="F28" i="207"/>
  <c r="D32" i="208" s="1"/>
  <c r="G28" i="207"/>
  <c r="E32" i="208" s="1"/>
  <c r="H28" i="207"/>
  <c r="F32" i="208" s="1"/>
  <c r="I28" i="207"/>
  <c r="G32" i="208" s="1"/>
  <c r="J28" i="207"/>
  <c r="H32" i="208" s="1"/>
  <c r="D28" i="207"/>
  <c r="G23" i="207"/>
  <c r="E31" i="208" s="1"/>
  <c r="H23" i="207"/>
  <c r="F31" i="208" s="1"/>
  <c r="I23" i="207"/>
  <c r="G31" i="208" s="1"/>
  <c r="J23" i="207"/>
  <c r="H31" i="208" s="1"/>
  <c r="D23" i="207"/>
  <c r="E19" i="207"/>
  <c r="E20" i="207"/>
  <c r="E21" i="207"/>
  <c r="E22" i="207"/>
  <c r="F16" i="207"/>
  <c r="E16" i="207" s="1"/>
  <c r="F17" i="207"/>
  <c r="E17" i="207" s="1"/>
  <c r="F18" i="207"/>
  <c r="E18" i="207" s="1"/>
  <c r="F15" i="207"/>
  <c r="E15" i="207" s="1"/>
  <c r="F14" i="207"/>
  <c r="E14" i="207" s="1"/>
  <c r="G104" i="207"/>
  <c r="H104" i="207"/>
  <c r="I104" i="207"/>
  <c r="J104" i="207"/>
  <c r="G115" i="207"/>
  <c r="H115" i="207"/>
  <c r="I115" i="207"/>
  <c r="J115" i="207"/>
  <c r="G11" i="207"/>
  <c r="E29" i="208" s="1"/>
  <c r="H11" i="207"/>
  <c r="F29" i="208" s="1"/>
  <c r="I11" i="207"/>
  <c r="G29" i="208" s="1"/>
  <c r="J11" i="207"/>
  <c r="H29" i="208" s="1"/>
  <c r="F10" i="207"/>
  <c r="E10" i="207" s="1"/>
  <c r="F9" i="207"/>
  <c r="E9" i="207" s="1"/>
  <c r="D115" i="207"/>
  <c r="D104" i="207"/>
  <c r="D11" i="207"/>
  <c r="F34" i="208" l="1"/>
  <c r="F27" i="208" s="1"/>
  <c r="E39" i="208"/>
  <c r="H33" i="208"/>
  <c r="G33" i="208"/>
  <c r="F33" i="208"/>
  <c r="E33" i="208"/>
  <c r="E34" i="208"/>
  <c r="G34" i="208"/>
  <c r="G27" i="208" s="1"/>
  <c r="H34" i="208"/>
  <c r="H27" i="208" s="1"/>
  <c r="H39" i="208"/>
  <c r="I155" i="207"/>
  <c r="H155" i="207"/>
  <c r="J155" i="207"/>
  <c r="G155" i="207"/>
  <c r="W21" i="209"/>
  <c r="C21" i="209"/>
  <c r="C22" i="209" s="1"/>
  <c r="V21" i="209"/>
  <c r="S21" i="209"/>
  <c r="T21" i="209"/>
  <c r="O21" i="209"/>
  <c r="G21" i="209"/>
  <c r="X19" i="209"/>
  <c r="N21" i="209"/>
  <c r="L21" i="209"/>
  <c r="M21" i="209"/>
  <c r="I32" i="208"/>
  <c r="I40" i="208"/>
  <c r="I28" i="208"/>
  <c r="I38" i="208"/>
  <c r="D25" i="208"/>
  <c r="E25" i="208" s="1"/>
  <c r="F25" i="208" s="1"/>
  <c r="G25" i="208" s="1"/>
  <c r="C27" i="208"/>
  <c r="D155" i="207"/>
  <c r="F153" i="207"/>
  <c r="D30" i="208" s="1"/>
  <c r="I30" i="208" s="1"/>
  <c r="E143" i="207"/>
  <c r="F143" i="207"/>
  <c r="E147" i="207"/>
  <c r="E153" i="207" s="1"/>
  <c r="F110" i="207"/>
  <c r="E107" i="207"/>
  <c r="E110" i="207" s="1"/>
  <c r="F136" i="207"/>
  <c r="F130" i="207"/>
  <c r="E136" i="207"/>
  <c r="F124" i="207"/>
  <c r="E130" i="207"/>
  <c r="E118" i="207"/>
  <c r="E100" i="207"/>
  <c r="F115" i="207"/>
  <c r="F100" i="207"/>
  <c r="D35" i="208" s="1"/>
  <c r="I35" i="208" s="1"/>
  <c r="E103" i="207"/>
  <c r="E104" i="207" s="1"/>
  <c r="E119" i="207"/>
  <c r="F95" i="207"/>
  <c r="D39" i="208" s="1"/>
  <c r="E40" i="207"/>
  <c r="E42" i="207" s="1"/>
  <c r="E95" i="207"/>
  <c r="E64" i="207"/>
  <c r="E66" i="207" s="1"/>
  <c r="E84" i="207"/>
  <c r="E86" i="207" s="1"/>
  <c r="F76" i="207"/>
  <c r="D41" i="208" s="1"/>
  <c r="I41" i="208" s="1"/>
  <c r="E48" i="207"/>
  <c r="E79" i="207"/>
  <c r="E81" i="207" s="1"/>
  <c r="F61" i="207"/>
  <c r="D37" i="208" s="1"/>
  <c r="I37" i="208" s="1"/>
  <c r="E73" i="207"/>
  <c r="E70" i="207"/>
  <c r="E57" i="207"/>
  <c r="F48" i="207"/>
  <c r="E54" i="207"/>
  <c r="E58" i="207"/>
  <c r="F54" i="207"/>
  <c r="F37" i="207"/>
  <c r="D36" i="208" s="1"/>
  <c r="I36" i="208" s="1"/>
  <c r="E28" i="207"/>
  <c r="E32" i="207"/>
  <c r="E37" i="207" s="1"/>
  <c r="F23" i="207"/>
  <c r="D31" i="208" s="1"/>
  <c r="I31" i="208" s="1"/>
  <c r="E23" i="207"/>
  <c r="E115" i="207"/>
  <c r="F11" i="207"/>
  <c r="D29" i="208" s="1"/>
  <c r="I29" i="208" s="1"/>
  <c r="U14" i="205"/>
  <c r="I34" i="205"/>
  <c r="W31" i="205"/>
  <c r="V31" i="205"/>
  <c r="T31" i="205"/>
  <c r="T28" i="205"/>
  <c r="W26" i="205"/>
  <c r="V26" i="205"/>
  <c r="W20" i="205"/>
  <c r="V20" i="205"/>
  <c r="W16" i="205"/>
  <c r="V16" i="205"/>
  <c r="W14" i="205"/>
  <c r="V14" i="205"/>
  <c r="D8" i="205"/>
  <c r="F8" i="205" s="1"/>
  <c r="D6" i="205"/>
  <c r="D5" i="205"/>
  <c r="X5" i="205" s="1"/>
  <c r="M15" i="204"/>
  <c r="L16" i="204"/>
  <c r="L18" i="204" s="1"/>
  <c r="K21" i="204"/>
  <c r="K20" i="204"/>
  <c r="K6" i="204"/>
  <c r="I22" i="204"/>
  <c r="I21" i="204"/>
  <c r="I20" i="204"/>
  <c r="I19" i="204"/>
  <c r="I23" i="204" s="1"/>
  <c r="I17" i="204"/>
  <c r="I16" i="204"/>
  <c r="I15" i="204"/>
  <c r="I14" i="204"/>
  <c r="I13" i="204"/>
  <c r="I11" i="204"/>
  <c r="I10" i="204"/>
  <c r="I9" i="204"/>
  <c r="I8" i="204"/>
  <c r="I7" i="204"/>
  <c r="I6" i="204"/>
  <c r="I12" i="204" s="1"/>
  <c r="I5" i="204"/>
  <c r="O35" i="204"/>
  <c r="N30" i="204"/>
  <c r="N29" i="204"/>
  <c r="N28" i="204"/>
  <c r="D28" i="204"/>
  <c r="C28" i="204"/>
  <c r="N27" i="204"/>
  <c r="E27" i="204"/>
  <c r="D27" i="204"/>
  <c r="N26" i="204"/>
  <c r="D23" i="204"/>
  <c r="K22" i="204"/>
  <c r="C22" i="204"/>
  <c r="C21" i="204"/>
  <c r="F20" i="204"/>
  <c r="E20" i="204"/>
  <c r="C20" i="204"/>
  <c r="F19" i="204"/>
  <c r="E19" i="204"/>
  <c r="C19" i="204"/>
  <c r="C23" i="204" s="1"/>
  <c r="D18" i="204"/>
  <c r="K17" i="204"/>
  <c r="C17" i="204"/>
  <c r="C16" i="204"/>
  <c r="K15" i="204"/>
  <c r="C15" i="204"/>
  <c r="K14" i="204"/>
  <c r="C14" i="204"/>
  <c r="K13" i="204"/>
  <c r="C13" i="204"/>
  <c r="C18" i="204" s="1"/>
  <c r="L12" i="204"/>
  <c r="C12" i="204"/>
  <c r="K11" i="204"/>
  <c r="K10" i="204"/>
  <c r="C10" i="204"/>
  <c r="K9" i="204"/>
  <c r="K8" i="204"/>
  <c r="C8" i="204"/>
  <c r="K7" i="204"/>
  <c r="K12" i="204" s="1"/>
  <c r="D7" i="204"/>
  <c r="D12" i="204" s="1"/>
  <c r="D24" i="204" s="1"/>
  <c r="D30" i="204" s="1"/>
  <c r="D31" i="204" s="1"/>
  <c r="C7" i="204"/>
  <c r="C6" i="204"/>
  <c r="K5" i="204"/>
  <c r="C5" i="204"/>
  <c r="N42" i="203"/>
  <c r="N44" i="203"/>
  <c r="N45" i="203"/>
  <c r="N49" i="203"/>
  <c r="N51" i="203"/>
  <c r="N36" i="203"/>
  <c r="N37" i="203"/>
  <c r="N38" i="203"/>
  <c r="N39" i="203"/>
  <c r="N40" i="203"/>
  <c r="N41" i="203"/>
  <c r="N35" i="203"/>
  <c r="N33" i="203"/>
  <c r="N32" i="203"/>
  <c r="N31" i="203"/>
  <c r="J15" i="204" s="1"/>
  <c r="N28" i="203"/>
  <c r="N29" i="203"/>
  <c r="N30" i="203"/>
  <c r="N27" i="203"/>
  <c r="N25" i="203"/>
  <c r="N23" i="203"/>
  <c r="N21" i="203"/>
  <c r="N14" i="203"/>
  <c r="N15" i="203"/>
  <c r="N16" i="203"/>
  <c r="N17" i="203"/>
  <c r="N18" i="203"/>
  <c r="N19" i="203"/>
  <c r="N13" i="203"/>
  <c r="N11" i="203"/>
  <c r="N9" i="203"/>
  <c r="N7" i="203"/>
  <c r="N5" i="203"/>
  <c r="N3" i="203"/>
  <c r="M50" i="203"/>
  <c r="U30" i="205" s="1"/>
  <c r="L50" i="203"/>
  <c r="K50" i="203"/>
  <c r="J50" i="203"/>
  <c r="I50" i="203"/>
  <c r="H50" i="203"/>
  <c r="G50" i="203"/>
  <c r="F50" i="203"/>
  <c r="E50" i="203"/>
  <c r="D50" i="203"/>
  <c r="C50" i="203"/>
  <c r="N50" i="203" s="1"/>
  <c r="J21" i="204" s="1"/>
  <c r="O21" i="204" s="1"/>
  <c r="B50" i="203"/>
  <c r="M48" i="203"/>
  <c r="U31" i="205" s="1"/>
  <c r="L48" i="203"/>
  <c r="K48" i="203"/>
  <c r="J48" i="203"/>
  <c r="I48" i="203"/>
  <c r="H48" i="203"/>
  <c r="G48" i="203"/>
  <c r="F48" i="203"/>
  <c r="E48" i="203"/>
  <c r="D48" i="203"/>
  <c r="C48" i="203"/>
  <c r="B48" i="203"/>
  <c r="N48" i="203" s="1"/>
  <c r="J22" i="204" s="1"/>
  <c r="O22" i="204" s="1"/>
  <c r="K47" i="203"/>
  <c r="K46" i="203" s="1"/>
  <c r="M46" i="203"/>
  <c r="U28" i="205" s="1"/>
  <c r="L46" i="203"/>
  <c r="J46" i="203"/>
  <c r="I46" i="203"/>
  <c r="N46" i="203" s="1"/>
  <c r="J19" i="204" s="1"/>
  <c r="H46" i="203"/>
  <c r="G46" i="203"/>
  <c r="F46" i="203"/>
  <c r="E46" i="203"/>
  <c r="D46" i="203"/>
  <c r="C46" i="203"/>
  <c r="B46" i="203"/>
  <c r="M43" i="203"/>
  <c r="U26" i="205" s="1"/>
  <c r="L43" i="203"/>
  <c r="K43" i="203"/>
  <c r="J43" i="203"/>
  <c r="I43" i="203"/>
  <c r="H43" i="203"/>
  <c r="G43" i="203"/>
  <c r="F43" i="203"/>
  <c r="E43" i="203"/>
  <c r="D43" i="203"/>
  <c r="C43" i="203"/>
  <c r="B43" i="203"/>
  <c r="N43" i="203" s="1"/>
  <c r="J17" i="204" s="1"/>
  <c r="O17" i="204" s="1"/>
  <c r="M34" i="203"/>
  <c r="U25" i="205" s="1"/>
  <c r="L34" i="203"/>
  <c r="K34" i="203"/>
  <c r="J34" i="203"/>
  <c r="I34" i="203"/>
  <c r="H34" i="203"/>
  <c r="G34" i="203"/>
  <c r="F34" i="203"/>
  <c r="E34" i="203"/>
  <c r="D34" i="203"/>
  <c r="C34" i="203"/>
  <c r="B34" i="203"/>
  <c r="N34" i="203" s="1"/>
  <c r="J16" i="204" s="1"/>
  <c r="M31" i="203"/>
  <c r="U24" i="205" s="1"/>
  <c r="L31" i="203"/>
  <c r="K31" i="203"/>
  <c r="J31" i="203"/>
  <c r="I31" i="203"/>
  <c r="H31" i="203"/>
  <c r="G31" i="203"/>
  <c r="F31" i="203"/>
  <c r="E31" i="203"/>
  <c r="D31" i="203"/>
  <c r="C31" i="203"/>
  <c r="B31" i="203"/>
  <c r="M26" i="203"/>
  <c r="U23" i="205" s="1"/>
  <c r="L26" i="203"/>
  <c r="K26" i="203"/>
  <c r="J26" i="203"/>
  <c r="I26" i="203"/>
  <c r="H26" i="203"/>
  <c r="G26" i="203"/>
  <c r="F26" i="203"/>
  <c r="E26" i="203"/>
  <c r="D26" i="203"/>
  <c r="C26" i="203"/>
  <c r="B26" i="203"/>
  <c r="N26" i="203" s="1"/>
  <c r="J14" i="204" s="1"/>
  <c r="O14" i="204" s="1"/>
  <c r="M24" i="203"/>
  <c r="U22" i="205" s="1"/>
  <c r="L24" i="203"/>
  <c r="K24" i="203"/>
  <c r="J24" i="203"/>
  <c r="I24" i="203"/>
  <c r="H24" i="203"/>
  <c r="G24" i="203"/>
  <c r="F24" i="203"/>
  <c r="E24" i="203"/>
  <c r="D24" i="203"/>
  <c r="C24" i="203"/>
  <c r="B24" i="203"/>
  <c r="N24" i="203" s="1"/>
  <c r="J13" i="204" s="1"/>
  <c r="M22" i="203"/>
  <c r="U18" i="205" s="1"/>
  <c r="L22" i="203"/>
  <c r="K22" i="203"/>
  <c r="J22" i="203"/>
  <c r="I22" i="203"/>
  <c r="H22" i="203"/>
  <c r="G22" i="203"/>
  <c r="F22" i="203"/>
  <c r="E22" i="203"/>
  <c r="D22" i="203"/>
  <c r="C22" i="203"/>
  <c r="B22" i="203"/>
  <c r="N22" i="203" s="1"/>
  <c r="J9" i="204" s="1"/>
  <c r="M20" i="203"/>
  <c r="U20" i="205" s="1"/>
  <c r="L20" i="203"/>
  <c r="K20" i="203"/>
  <c r="J20" i="203"/>
  <c r="I20" i="203"/>
  <c r="H20" i="203"/>
  <c r="G20" i="203"/>
  <c r="F20" i="203"/>
  <c r="E20" i="203"/>
  <c r="D20" i="203"/>
  <c r="C20" i="203"/>
  <c r="B20" i="203"/>
  <c r="N20" i="203" s="1"/>
  <c r="J11" i="204" s="1"/>
  <c r="O11" i="204" s="1"/>
  <c r="M12" i="203"/>
  <c r="U19" i="205" s="1"/>
  <c r="L12" i="203"/>
  <c r="K12" i="203"/>
  <c r="J12" i="203"/>
  <c r="I12" i="203"/>
  <c r="H12" i="203"/>
  <c r="G12" i="203"/>
  <c r="F12" i="203"/>
  <c r="E12" i="203"/>
  <c r="D12" i="203"/>
  <c r="C12" i="203"/>
  <c r="B12" i="203"/>
  <c r="N12" i="203" s="1"/>
  <c r="J10" i="204" s="1"/>
  <c r="M10" i="203"/>
  <c r="U17" i="205" s="1"/>
  <c r="L10" i="203"/>
  <c r="K10" i="203"/>
  <c r="J10" i="203"/>
  <c r="I10" i="203"/>
  <c r="H10" i="203"/>
  <c r="G10" i="203"/>
  <c r="F10" i="203"/>
  <c r="E10" i="203"/>
  <c r="D10" i="203"/>
  <c r="C10" i="203"/>
  <c r="B10" i="203"/>
  <c r="N10" i="203" s="1"/>
  <c r="J8" i="204" s="1"/>
  <c r="M8" i="203"/>
  <c r="U16" i="205" s="1"/>
  <c r="L8" i="203"/>
  <c r="K8" i="203"/>
  <c r="J8" i="203"/>
  <c r="I8" i="203"/>
  <c r="H8" i="203"/>
  <c r="G8" i="203"/>
  <c r="F8" i="203"/>
  <c r="E8" i="203"/>
  <c r="D8" i="203"/>
  <c r="C8" i="203"/>
  <c r="B8" i="203"/>
  <c r="N8" i="203" s="1"/>
  <c r="J7" i="204" s="1"/>
  <c r="O7" i="204" s="1"/>
  <c r="M6" i="203"/>
  <c r="N6" i="203" s="1"/>
  <c r="J6" i="204" s="1"/>
  <c r="L6" i="203"/>
  <c r="K6" i="203"/>
  <c r="J6" i="203"/>
  <c r="I6" i="203"/>
  <c r="H6" i="203"/>
  <c r="G6" i="203"/>
  <c r="F6" i="203"/>
  <c r="E6" i="203"/>
  <c r="D6" i="203"/>
  <c r="C6" i="203"/>
  <c r="B6" i="203"/>
  <c r="M4" i="203"/>
  <c r="L4" i="203"/>
  <c r="K4" i="203"/>
  <c r="J4" i="203"/>
  <c r="I4" i="203"/>
  <c r="H4" i="203"/>
  <c r="G4" i="203"/>
  <c r="F4" i="203"/>
  <c r="E4" i="203"/>
  <c r="D4" i="203"/>
  <c r="C4" i="203"/>
  <c r="B4" i="203"/>
  <c r="M2" i="203"/>
  <c r="L2" i="203"/>
  <c r="K2" i="203"/>
  <c r="J2" i="203"/>
  <c r="I2" i="203"/>
  <c r="H2" i="203"/>
  <c r="G2" i="203"/>
  <c r="F2" i="203"/>
  <c r="E2" i="203"/>
  <c r="D2" i="203"/>
  <c r="C2" i="203"/>
  <c r="B2" i="203"/>
  <c r="N2" i="203" s="1"/>
  <c r="J5" i="204" s="1"/>
  <c r="O5" i="204" s="1"/>
  <c r="M2" i="179"/>
  <c r="M4" i="179"/>
  <c r="M6" i="179"/>
  <c r="M8" i="179"/>
  <c r="M10" i="179"/>
  <c r="M12" i="179"/>
  <c r="M20" i="179"/>
  <c r="M22" i="179"/>
  <c r="M24" i="179"/>
  <c r="M26" i="179"/>
  <c r="M31" i="179"/>
  <c r="M34" i="179"/>
  <c r="M44" i="179"/>
  <c r="M47" i="179"/>
  <c r="M49" i="179"/>
  <c r="M51" i="179"/>
  <c r="E22" i="202"/>
  <c r="E18" i="202"/>
  <c r="E13" i="202"/>
  <c r="E9" i="202"/>
  <c r="E24" i="202" s="1"/>
  <c r="H6" i="201"/>
  <c r="I29" i="205" s="1"/>
  <c r="B7" i="201"/>
  <c r="C8" i="201"/>
  <c r="B9" i="201"/>
  <c r="H9" i="201" s="1"/>
  <c r="I18" i="205"/>
  <c r="I22" i="205"/>
  <c r="I23" i="205"/>
  <c r="I24" i="205"/>
  <c r="I25" i="205"/>
  <c r="I28" i="205"/>
  <c r="D17" i="201"/>
  <c r="E17" i="201"/>
  <c r="F17" i="201"/>
  <c r="G17" i="201"/>
  <c r="D11" i="200"/>
  <c r="M20" i="204" s="1"/>
  <c r="D19" i="200"/>
  <c r="M6" i="204" s="1"/>
  <c r="M12" i="204" s="1"/>
  <c r="D27" i="200"/>
  <c r="M8" i="204" s="1"/>
  <c r="D31" i="200"/>
  <c r="M10" i="204" s="1"/>
  <c r="D36" i="200"/>
  <c r="D41" i="200"/>
  <c r="D47" i="200"/>
  <c r="M9" i="204" s="1"/>
  <c r="D51" i="200"/>
  <c r="M13" i="204" s="1"/>
  <c r="D58" i="200"/>
  <c r="M14" i="204" s="1"/>
  <c r="D62" i="200"/>
  <c r="D66" i="200"/>
  <c r="D73" i="200"/>
  <c r="D77" i="200"/>
  <c r="D81" i="200"/>
  <c r="M16" i="204" s="1"/>
  <c r="D87" i="200"/>
  <c r="D93" i="200"/>
  <c r="D97" i="200"/>
  <c r="D102" i="200"/>
  <c r="D108" i="200"/>
  <c r="D115" i="200"/>
  <c r="M19" i="204" s="1"/>
  <c r="D12" i="199"/>
  <c r="N16" i="204" s="1"/>
  <c r="N18" i="204" s="1"/>
  <c r="C12" i="199"/>
  <c r="D10" i="199"/>
  <c r="H28" i="205" s="1"/>
  <c r="C10" i="199"/>
  <c r="D8" i="199"/>
  <c r="N6" i="204" s="1"/>
  <c r="N12" i="204" s="1"/>
  <c r="C8" i="199"/>
  <c r="D3" i="199"/>
  <c r="D13" i="199" s="1"/>
  <c r="C3" i="199"/>
  <c r="C13" i="199" s="1"/>
  <c r="E16" i="198"/>
  <c r="E28" i="198" s="1"/>
  <c r="E26" i="198"/>
  <c r="D26" i="198"/>
  <c r="D16" i="198"/>
  <c r="G7" i="198"/>
  <c r="H5" i="198"/>
  <c r="K5" i="198" s="1"/>
  <c r="J4" i="198"/>
  <c r="J7" i="198" s="1"/>
  <c r="H4" i="198"/>
  <c r="F18" i="197"/>
  <c r="E18" i="197"/>
  <c r="B18" i="197"/>
  <c r="D18" i="197"/>
  <c r="C18" i="197"/>
  <c r="C20" i="197" s="1"/>
  <c r="I15" i="205" l="1"/>
  <c r="H7" i="201"/>
  <c r="H8" i="201"/>
  <c r="I17" i="205" s="1"/>
  <c r="E27" i="208"/>
  <c r="I39" i="208"/>
  <c r="D34" i="208"/>
  <c r="I34" i="208" s="1"/>
  <c r="D33" i="208"/>
  <c r="I33" i="208" s="1"/>
  <c r="Q21" i="209"/>
  <c r="R21" i="209"/>
  <c r="P21" i="209"/>
  <c r="I25" i="208"/>
  <c r="C26" i="208"/>
  <c r="E11" i="207"/>
  <c r="F155" i="207"/>
  <c r="E124" i="207"/>
  <c r="E76" i="207"/>
  <c r="E61" i="207"/>
  <c r="M18" i="204"/>
  <c r="O16" i="204"/>
  <c r="P16" i="204" s="1"/>
  <c r="O6" i="204"/>
  <c r="O8" i="204"/>
  <c r="P8" i="204" s="1"/>
  <c r="O10" i="204"/>
  <c r="P10" i="204" s="1"/>
  <c r="I27" i="205"/>
  <c r="L20" i="204"/>
  <c r="L23" i="204" s="1"/>
  <c r="D28" i="198"/>
  <c r="C17" i="201"/>
  <c r="B17" i="201"/>
  <c r="E19" i="201"/>
  <c r="K18" i="204"/>
  <c r="U15" i="205"/>
  <c r="H15" i="205"/>
  <c r="H21" i="205" s="1"/>
  <c r="D19" i="201"/>
  <c r="N4" i="203"/>
  <c r="J20" i="204" s="1"/>
  <c r="O20" i="204" s="1"/>
  <c r="P20" i="204" s="1"/>
  <c r="H25" i="205"/>
  <c r="H27" i="205" s="1"/>
  <c r="C19" i="201"/>
  <c r="N19" i="204"/>
  <c r="N20" i="204"/>
  <c r="H29" i="205"/>
  <c r="H32" i="205" s="1"/>
  <c r="H33" i="205" s="1"/>
  <c r="H35" i="205" s="1"/>
  <c r="D117" i="200"/>
  <c r="N47" i="203"/>
  <c r="U29" i="205"/>
  <c r="U32" i="205" s="1"/>
  <c r="I32" i="205"/>
  <c r="U21" i="205"/>
  <c r="X26" i="205"/>
  <c r="U27" i="205"/>
  <c r="X31" i="205"/>
  <c r="M23" i="204"/>
  <c r="O15" i="204"/>
  <c r="P15" i="204" s="1"/>
  <c r="K23" i="204"/>
  <c r="K24" i="204" s="1"/>
  <c r="P22" i="204"/>
  <c r="P21" i="204"/>
  <c r="J12" i="204"/>
  <c r="P17" i="204"/>
  <c r="C24" i="204"/>
  <c r="L24" i="204"/>
  <c r="P11" i="204"/>
  <c r="P14" i="204"/>
  <c r="P6" i="204"/>
  <c r="M24" i="204"/>
  <c r="O9" i="204"/>
  <c r="O13" i="204"/>
  <c r="I18" i="204"/>
  <c r="I24" i="204" s="1"/>
  <c r="J18" i="204"/>
  <c r="O19" i="204"/>
  <c r="P5" i="204"/>
  <c r="P7" i="204"/>
  <c r="C52" i="203"/>
  <c r="D52" i="203"/>
  <c r="L52" i="203"/>
  <c r="F52" i="203"/>
  <c r="H52" i="203"/>
  <c r="G52" i="203"/>
  <c r="M52" i="203"/>
  <c r="J52" i="203"/>
  <c r="I52" i="203"/>
  <c r="B52" i="203"/>
  <c r="K52" i="203"/>
  <c r="E52" i="203"/>
  <c r="M53" i="179"/>
  <c r="B19" i="201"/>
  <c r="G19" i="201"/>
  <c r="F19" i="201"/>
  <c r="H6" i="198"/>
  <c r="K6" i="198" s="1"/>
  <c r="H7" i="198"/>
  <c r="K4" i="198"/>
  <c r="K7" i="198" s="1"/>
  <c r="I4" i="198"/>
  <c r="D20" i="197"/>
  <c r="C7" i="196"/>
  <c r="C13" i="196" s="1"/>
  <c r="AA10" i="196"/>
  <c r="AA9" i="196"/>
  <c r="AA8" i="196"/>
  <c r="D20" i="196"/>
  <c r="V18" i="196"/>
  <c r="U18" i="196"/>
  <c r="T18" i="196"/>
  <c r="S18" i="196"/>
  <c r="R18" i="196"/>
  <c r="P18" i="196"/>
  <c r="O18" i="196"/>
  <c r="N18" i="196"/>
  <c r="M18" i="196"/>
  <c r="L18" i="196"/>
  <c r="K18" i="196"/>
  <c r="J18" i="196"/>
  <c r="I18" i="196"/>
  <c r="I20" i="196" s="1"/>
  <c r="H18" i="196"/>
  <c r="H20" i="196" s="1"/>
  <c r="G18" i="196"/>
  <c r="G20" i="196" s="1"/>
  <c r="F18" i="196"/>
  <c r="F20" i="196" s="1"/>
  <c r="E18" i="196"/>
  <c r="C18" i="196"/>
  <c r="Q17" i="196"/>
  <c r="W17" i="196" s="1"/>
  <c r="Q16" i="196"/>
  <c r="W16" i="196" s="1"/>
  <c r="Q15" i="196"/>
  <c r="W15" i="196" s="1"/>
  <c r="Q14" i="196"/>
  <c r="V13" i="196"/>
  <c r="V20" i="196" s="1"/>
  <c r="U13" i="196"/>
  <c r="U20" i="196" s="1"/>
  <c r="T13" i="196"/>
  <c r="T20" i="196" s="1"/>
  <c r="S13" i="196"/>
  <c r="R13" i="196"/>
  <c r="I12" i="196"/>
  <c r="K12" i="196" s="1"/>
  <c r="E12" i="196"/>
  <c r="M12" i="196" s="1"/>
  <c r="I11" i="196"/>
  <c r="J11" i="196" s="1"/>
  <c r="E11" i="196"/>
  <c r="K11" i="196" s="1"/>
  <c r="L11" i="196" s="1"/>
  <c r="M11" i="196" s="1"/>
  <c r="N11" i="196" s="1"/>
  <c r="O11" i="196" s="1"/>
  <c r="P11" i="196" s="1"/>
  <c r="M10" i="196"/>
  <c r="N10" i="196" s="1"/>
  <c r="O10" i="196" s="1"/>
  <c r="P10" i="196" s="1"/>
  <c r="I10" i="196"/>
  <c r="L10" i="196" s="1"/>
  <c r="E10" i="196"/>
  <c r="I9" i="196"/>
  <c r="M9" i="196" s="1"/>
  <c r="Q9" i="196" s="1"/>
  <c r="W9" i="196" s="1"/>
  <c r="E9" i="196"/>
  <c r="N9" i="196" s="1"/>
  <c r="O9" i="196" s="1"/>
  <c r="P9" i="196" s="1"/>
  <c r="I8" i="196"/>
  <c r="M8" i="196" s="1"/>
  <c r="E8" i="196"/>
  <c r="N8" i="196" s="1"/>
  <c r="I7" i="196"/>
  <c r="D27" i="208" l="1"/>
  <c r="I27" i="208" s="1"/>
  <c r="X21" i="209"/>
  <c r="E155" i="207"/>
  <c r="C20" i="196"/>
  <c r="H17" i="201"/>
  <c r="I19" i="205"/>
  <c r="I21" i="205" s="1"/>
  <c r="I33" i="205" s="1"/>
  <c r="I35" i="205" s="1"/>
  <c r="H19" i="201"/>
  <c r="Q18" i="196"/>
  <c r="O12" i="204"/>
  <c r="R20" i="196"/>
  <c r="J23" i="204"/>
  <c r="N23" i="204"/>
  <c r="N24" i="204" s="1"/>
  <c r="S20" i="196"/>
  <c r="U33" i="205"/>
  <c r="J24" i="204"/>
  <c r="P19" i="204"/>
  <c r="P23" i="204" s="1"/>
  <c r="O23" i="204"/>
  <c r="P12" i="204"/>
  <c r="O18" i="204"/>
  <c r="P13" i="204"/>
  <c r="P18" i="204" s="1"/>
  <c r="C30" i="204"/>
  <c r="C31" i="204" s="1"/>
  <c r="T28" i="204"/>
  <c r="T29" i="204" s="1"/>
  <c r="N52" i="203"/>
  <c r="I6" i="198"/>
  <c r="I7" i="198" s="1"/>
  <c r="E7" i="196"/>
  <c r="E13" i="196" s="1"/>
  <c r="E20" i="196" s="1"/>
  <c r="M13" i="196"/>
  <c r="M20" i="196" s="1"/>
  <c r="Q11" i="196"/>
  <c r="W11" i="196" s="1"/>
  <c r="J13" i="196"/>
  <c r="J20" i="196" s="1"/>
  <c r="Q10" i="196"/>
  <c r="W10" i="196" s="1"/>
  <c r="N13" i="196"/>
  <c r="N20" i="196" s="1"/>
  <c r="O8" i="196"/>
  <c r="L12" i="196"/>
  <c r="L13" i="196" s="1"/>
  <c r="L20" i="196" s="1"/>
  <c r="W14" i="196"/>
  <c r="N12" i="196"/>
  <c r="O12" i="196" s="1"/>
  <c r="P12" i="196" s="1"/>
  <c r="K13" i="196"/>
  <c r="K20" i="196" s="1"/>
  <c r="P7" i="196"/>
  <c r="W18" i="196" l="1"/>
  <c r="H44" i="190"/>
  <c r="Q12" i="196"/>
  <c r="W12" i="196" s="1"/>
  <c r="P24" i="204"/>
  <c r="O24" i="204"/>
  <c r="Q7" i="196"/>
  <c r="O13" i="196"/>
  <c r="O20" i="196" s="1"/>
  <c r="P8" i="196"/>
  <c r="Q8" i="196" s="1"/>
  <c r="W8" i="196" s="1"/>
  <c r="C49" i="204" l="1"/>
  <c r="N34" i="204"/>
  <c r="P13" i="196"/>
  <c r="P20" i="196" s="1"/>
  <c r="Q13" i="196"/>
  <c r="Q20" i="196" s="1"/>
  <c r="W7" i="196"/>
  <c r="W13" i="196" s="1"/>
  <c r="C50" i="204" l="1"/>
  <c r="H50" i="204" s="1"/>
  <c r="H49" i="204"/>
  <c r="W20" i="196"/>
  <c r="E44" i="190"/>
  <c r="B15" i="195"/>
  <c r="C15" i="195"/>
  <c r="D15" i="195"/>
  <c r="E15" i="195"/>
  <c r="F15" i="195"/>
  <c r="G15" i="195"/>
  <c r="B17" i="195"/>
  <c r="C17" i="195"/>
  <c r="D17" i="195"/>
  <c r="E17" i="195"/>
  <c r="F17" i="195"/>
  <c r="G17" i="195"/>
  <c r="E32" i="190"/>
  <c r="J28" i="187"/>
  <c r="J30" i="187" s="1"/>
  <c r="F32" i="190" s="1"/>
  <c r="K21" i="187"/>
  <c r="H30" i="187"/>
  <c r="K30" i="187"/>
  <c r="G32" i="190" s="1"/>
  <c r="L30" i="187"/>
  <c r="H32" i="190" s="1"/>
  <c r="F30" i="187"/>
  <c r="I28" i="187"/>
  <c r="I30" i="187" s="1"/>
  <c r="C26" i="194" l="1"/>
  <c r="C28" i="194" s="1"/>
  <c r="C18" i="194"/>
  <c r="C11" i="194"/>
  <c r="C50" i="191"/>
  <c r="C41" i="191"/>
  <c r="C42" i="191" s="1"/>
  <c r="C25" i="191"/>
  <c r="C19" i="191"/>
  <c r="C16" i="191"/>
  <c r="G12" i="192"/>
  <c r="G13" i="192"/>
  <c r="H13" i="192"/>
  <c r="H14" i="192" s="1"/>
  <c r="F41" i="190" s="1"/>
  <c r="I13" i="192"/>
  <c r="I14" i="192" s="1"/>
  <c r="G41" i="190" s="1"/>
  <c r="J13" i="192"/>
  <c r="J14" i="192" s="1"/>
  <c r="H41" i="190" s="1"/>
  <c r="F13" i="192"/>
  <c r="F14" i="192" s="1"/>
  <c r="F3" i="192"/>
  <c r="G6" i="192" s="1"/>
  <c r="C6" i="192"/>
  <c r="F5" i="192" s="1"/>
  <c r="G14" i="192" l="1"/>
  <c r="E41" i="190" s="1"/>
  <c r="C20" i="194"/>
  <c r="C26" i="191"/>
  <c r="C44" i="191" s="1"/>
  <c r="J5" i="192"/>
  <c r="I5" i="192"/>
  <c r="H5" i="192"/>
  <c r="G5" i="192"/>
  <c r="G3" i="192"/>
  <c r="H6" i="192" s="1"/>
  <c r="F8" i="192"/>
  <c r="D17" i="190" l="1"/>
  <c r="D27" i="227"/>
  <c r="H3" i="192"/>
  <c r="I6" i="192" s="1"/>
  <c r="G8" i="192"/>
  <c r="G25" i="183"/>
  <c r="G27" i="183" s="1"/>
  <c r="H34" i="187"/>
  <c r="H42" i="187"/>
  <c r="H138" i="187"/>
  <c r="I138" i="187"/>
  <c r="J138" i="187"/>
  <c r="K138" i="187"/>
  <c r="L138" i="187"/>
  <c r="F138" i="187"/>
  <c r="H25" i="187"/>
  <c r="I25" i="187"/>
  <c r="E31" i="190" s="1"/>
  <c r="J25" i="187"/>
  <c r="F31" i="190" s="1"/>
  <c r="K25" i="187"/>
  <c r="G31" i="190" s="1"/>
  <c r="L25" i="187"/>
  <c r="H31" i="190" s="1"/>
  <c r="F25" i="187"/>
  <c r="H125" i="187"/>
  <c r="I125" i="187"/>
  <c r="J125" i="187"/>
  <c r="K125" i="187"/>
  <c r="L125" i="187"/>
  <c r="F125" i="187"/>
  <c r="H110" i="187"/>
  <c r="I110" i="187"/>
  <c r="J110" i="187"/>
  <c r="K110" i="187"/>
  <c r="L110" i="187"/>
  <c r="F110" i="187"/>
  <c r="H105" i="187"/>
  <c r="I105" i="187"/>
  <c r="J105" i="187"/>
  <c r="K105" i="187"/>
  <c r="L105" i="187"/>
  <c r="F105" i="187"/>
  <c r="H98" i="187"/>
  <c r="I98" i="187"/>
  <c r="J98" i="187"/>
  <c r="K98" i="187"/>
  <c r="L98" i="187"/>
  <c r="F98" i="187"/>
  <c r="H87" i="187"/>
  <c r="I87" i="187"/>
  <c r="J87" i="187"/>
  <c r="K87" i="187"/>
  <c r="L87" i="187"/>
  <c r="F87" i="187"/>
  <c r="H78" i="187"/>
  <c r="I78" i="187"/>
  <c r="J78" i="187"/>
  <c r="K78" i="187"/>
  <c r="L78" i="187"/>
  <c r="F78" i="187"/>
  <c r="H73" i="187"/>
  <c r="I73" i="187"/>
  <c r="J73" i="187"/>
  <c r="K73" i="187"/>
  <c r="L73" i="187"/>
  <c r="F73" i="187"/>
  <c r="H49" i="187"/>
  <c r="I49" i="187"/>
  <c r="J49" i="187"/>
  <c r="K49" i="187"/>
  <c r="L49" i="187"/>
  <c r="F49" i="187"/>
  <c r="H54" i="187"/>
  <c r="I54" i="187"/>
  <c r="J54" i="187"/>
  <c r="K54" i="187"/>
  <c r="L54" i="187"/>
  <c r="F54" i="187"/>
  <c r="C17" i="190"/>
  <c r="E18" i="189"/>
  <c r="F18" i="189"/>
  <c r="K22" i="188"/>
  <c r="E17" i="190" l="1"/>
  <c r="D17" i="208"/>
  <c r="D18" i="190"/>
  <c r="I3" i="192"/>
  <c r="J6" i="192" s="1"/>
  <c r="H8" i="192"/>
  <c r="E18" i="190" l="1"/>
  <c r="D18" i="208"/>
  <c r="D26" i="208"/>
  <c r="F17" i="190"/>
  <c r="E17" i="208"/>
  <c r="D18" i="227"/>
  <c r="E18" i="227" s="1"/>
  <c r="J3" i="192"/>
  <c r="I8" i="192"/>
  <c r="K5" i="188"/>
  <c r="K7" i="188"/>
  <c r="K8" i="188"/>
  <c r="K9" i="188"/>
  <c r="K10" i="188"/>
  <c r="K11" i="188"/>
  <c r="K13" i="188"/>
  <c r="K14" i="188"/>
  <c r="K15" i="188"/>
  <c r="K17" i="188"/>
  <c r="I43" i="190"/>
  <c r="I42" i="190"/>
  <c r="H28" i="190"/>
  <c r="G28" i="190"/>
  <c r="F28" i="190"/>
  <c r="E28" i="190"/>
  <c r="I20" i="190"/>
  <c r="I22" i="188"/>
  <c r="I21" i="188"/>
  <c r="I20" i="188"/>
  <c r="I19" i="188"/>
  <c r="I17" i="188"/>
  <c r="I16" i="188"/>
  <c r="I15" i="188"/>
  <c r="I14" i="188"/>
  <c r="I13" i="188"/>
  <c r="I11" i="188"/>
  <c r="I10" i="188"/>
  <c r="I9" i="188"/>
  <c r="I8" i="188"/>
  <c r="I7" i="188"/>
  <c r="I5" i="188"/>
  <c r="D4" i="189"/>
  <c r="D18" i="189" s="1"/>
  <c r="C4" i="189"/>
  <c r="I6" i="188" s="1"/>
  <c r="B18" i="189"/>
  <c r="O35" i="188"/>
  <c r="N30" i="188"/>
  <c r="N29" i="188"/>
  <c r="N28" i="188"/>
  <c r="C28" i="188"/>
  <c r="N27" i="188"/>
  <c r="E27" i="188"/>
  <c r="D27" i="188"/>
  <c r="D28" i="188" s="1"/>
  <c r="N26" i="188"/>
  <c r="D23" i="188"/>
  <c r="C22" i="188"/>
  <c r="O21" i="188"/>
  <c r="C21" i="188"/>
  <c r="F20" i="188"/>
  <c r="E20" i="188"/>
  <c r="C20" i="188"/>
  <c r="F19" i="188"/>
  <c r="E19" i="188"/>
  <c r="C19" i="188"/>
  <c r="N18" i="188"/>
  <c r="D18" i="188"/>
  <c r="C17" i="188"/>
  <c r="C16" i="188"/>
  <c r="C15" i="188"/>
  <c r="C14" i="188"/>
  <c r="C13" i="188"/>
  <c r="C10" i="188"/>
  <c r="C8" i="188"/>
  <c r="D7" i="188"/>
  <c r="D12" i="188" s="1"/>
  <c r="C7" i="188"/>
  <c r="C6" i="188"/>
  <c r="C5" i="188"/>
  <c r="G136" i="187"/>
  <c r="G135" i="187"/>
  <c r="G134" i="187"/>
  <c r="G133" i="187"/>
  <c r="G132" i="187"/>
  <c r="G131" i="187"/>
  <c r="G130" i="187"/>
  <c r="G129" i="187"/>
  <c r="G128" i="187"/>
  <c r="G123" i="187"/>
  <c r="G125" i="187" s="1"/>
  <c r="G119" i="187"/>
  <c r="G118" i="187"/>
  <c r="G117" i="187"/>
  <c r="G116" i="187"/>
  <c r="G115" i="187"/>
  <c r="G114" i="187"/>
  <c r="G113" i="187"/>
  <c r="G108" i="187"/>
  <c r="G110" i="187" s="1"/>
  <c r="G102" i="187"/>
  <c r="G101" i="187"/>
  <c r="G105" i="187" s="1"/>
  <c r="G96" i="187"/>
  <c r="G95" i="187"/>
  <c r="G91" i="187"/>
  <c r="G90" i="187"/>
  <c r="G84" i="187"/>
  <c r="G83" i="187"/>
  <c r="G82" i="187"/>
  <c r="G81" i="187"/>
  <c r="G76" i="187"/>
  <c r="G78" i="187" s="1"/>
  <c r="G71" i="187"/>
  <c r="G73" i="187" s="1"/>
  <c r="G67" i="187"/>
  <c r="G66" i="187"/>
  <c r="G65" i="187"/>
  <c r="G64" i="187"/>
  <c r="G63" i="187"/>
  <c r="G62" i="187"/>
  <c r="G61" i="187"/>
  <c r="G57" i="187"/>
  <c r="G58" i="187" s="1"/>
  <c r="G52" i="187"/>
  <c r="G54" i="187" s="1"/>
  <c r="G47" i="187"/>
  <c r="G46" i="187"/>
  <c r="G41" i="187"/>
  <c r="G40" i="187"/>
  <c r="G39" i="187"/>
  <c r="G35" i="187"/>
  <c r="G33" i="187"/>
  <c r="G28" i="187"/>
  <c r="G30" i="187" s="1"/>
  <c r="G18" i="187"/>
  <c r="G19" i="187"/>
  <c r="G20" i="187"/>
  <c r="G21" i="187"/>
  <c r="G22" i="187"/>
  <c r="G17" i="187"/>
  <c r="G10" i="187"/>
  <c r="G11" i="187"/>
  <c r="G12" i="187"/>
  <c r="G13" i="187"/>
  <c r="G9" i="187"/>
  <c r="L58" i="187"/>
  <c r="H35" i="190" s="1"/>
  <c r="K58" i="187"/>
  <c r="G35" i="190" s="1"/>
  <c r="J58" i="187"/>
  <c r="F35" i="190" s="1"/>
  <c r="I58" i="187"/>
  <c r="E35" i="190" s="1"/>
  <c r="H58" i="187"/>
  <c r="D35" i="190" s="1"/>
  <c r="F58" i="187"/>
  <c r="F14" i="187"/>
  <c r="H14" i="187"/>
  <c r="D29" i="190" s="1"/>
  <c r="I14" i="187"/>
  <c r="E29" i="190" s="1"/>
  <c r="J14" i="187"/>
  <c r="F29" i="190" s="1"/>
  <c r="K14" i="187"/>
  <c r="G29" i="190" s="1"/>
  <c r="L14" i="187"/>
  <c r="H29" i="190" s="1"/>
  <c r="D32" i="190"/>
  <c r="H36" i="187"/>
  <c r="D36" i="190" s="1"/>
  <c r="F36" i="187"/>
  <c r="I36" i="187"/>
  <c r="E36" i="190" s="1"/>
  <c r="J36" i="187"/>
  <c r="F36" i="190" s="1"/>
  <c r="K36" i="187"/>
  <c r="G36" i="190" s="1"/>
  <c r="L36" i="187"/>
  <c r="H36" i="190" s="1"/>
  <c r="F43" i="187"/>
  <c r="H43" i="187"/>
  <c r="D33" i="190" s="1"/>
  <c r="I43" i="187"/>
  <c r="E33" i="190" s="1"/>
  <c r="J43" i="187"/>
  <c r="F33" i="190" s="1"/>
  <c r="K43" i="187"/>
  <c r="G33" i="190" s="1"/>
  <c r="L43" i="187"/>
  <c r="H33" i="190" s="1"/>
  <c r="D37" i="190"/>
  <c r="E37" i="190"/>
  <c r="F37" i="190"/>
  <c r="G37" i="190"/>
  <c r="H37" i="190"/>
  <c r="D38" i="190"/>
  <c r="E38" i="190"/>
  <c r="F38" i="190"/>
  <c r="G38" i="190"/>
  <c r="H38" i="190"/>
  <c r="F68" i="187"/>
  <c r="H68" i="187"/>
  <c r="D41" i="190" s="1"/>
  <c r="I68" i="187"/>
  <c r="J68" i="187"/>
  <c r="K68" i="187"/>
  <c r="L68" i="187"/>
  <c r="D40" i="190"/>
  <c r="E40" i="190"/>
  <c r="F40" i="190"/>
  <c r="G40" i="190"/>
  <c r="H40" i="190"/>
  <c r="F92" i="187"/>
  <c r="H92" i="187"/>
  <c r="I92" i="187"/>
  <c r="J92" i="187"/>
  <c r="K92" i="187"/>
  <c r="L92" i="187"/>
  <c r="F120" i="187"/>
  <c r="H120" i="187"/>
  <c r="I120" i="187"/>
  <c r="J120" i="187"/>
  <c r="K120" i="187"/>
  <c r="L120" i="187"/>
  <c r="D30" i="190"/>
  <c r="E30" i="190"/>
  <c r="F30" i="190"/>
  <c r="G30" i="190"/>
  <c r="H30" i="190"/>
  <c r="J4" i="180"/>
  <c r="J7" i="180" s="1"/>
  <c r="I34" i="184"/>
  <c r="H25" i="184"/>
  <c r="H27" i="184" s="1"/>
  <c r="T28" i="184"/>
  <c r="T31" i="184"/>
  <c r="W31" i="184"/>
  <c r="V31" i="184"/>
  <c r="U31" i="184"/>
  <c r="W26" i="184"/>
  <c r="V26" i="184"/>
  <c r="U26" i="184"/>
  <c r="W20" i="184"/>
  <c r="V20" i="184"/>
  <c r="U20" i="184"/>
  <c r="W16" i="184"/>
  <c r="V16" i="184"/>
  <c r="U16" i="184"/>
  <c r="W14" i="184"/>
  <c r="V14" i="184"/>
  <c r="U14" i="184"/>
  <c r="D8" i="184"/>
  <c r="F8" i="184" s="1"/>
  <c r="D6" i="184"/>
  <c r="D5" i="184"/>
  <c r="X5" i="184" s="1"/>
  <c r="E21" i="183"/>
  <c r="E26" i="183"/>
  <c r="E36" i="183"/>
  <c r="I28" i="184" s="1"/>
  <c r="E15" i="183"/>
  <c r="L14" i="188" s="1"/>
  <c r="E10" i="183"/>
  <c r="L20" i="188" s="1"/>
  <c r="F64" i="182"/>
  <c r="F12" i="182"/>
  <c r="F18" i="182"/>
  <c r="I15" i="184" s="1"/>
  <c r="F23" i="182"/>
  <c r="I17" i="184" s="1"/>
  <c r="F28" i="182"/>
  <c r="I19" i="184" s="1"/>
  <c r="F33" i="182"/>
  <c r="I18" i="184" s="1"/>
  <c r="F37" i="182"/>
  <c r="I22" i="184" s="1"/>
  <c r="F44" i="182"/>
  <c r="F48" i="182"/>
  <c r="F52" i="182"/>
  <c r="F59" i="182"/>
  <c r="F69" i="182"/>
  <c r="F73" i="182"/>
  <c r="F79" i="182"/>
  <c r="F83" i="182"/>
  <c r="D10" i="181"/>
  <c r="H15" i="184" s="1"/>
  <c r="H21" i="184" s="1"/>
  <c r="C10" i="181"/>
  <c r="D12" i="181"/>
  <c r="H28" i="184" s="1"/>
  <c r="C12" i="181"/>
  <c r="D4" i="181"/>
  <c r="H29" i="184" s="1"/>
  <c r="C4" i="181"/>
  <c r="E24" i="180"/>
  <c r="D24" i="180"/>
  <c r="E14" i="180"/>
  <c r="H6" i="180" s="1"/>
  <c r="K6" i="180" s="1"/>
  <c r="D14" i="180"/>
  <c r="G7" i="180"/>
  <c r="H5" i="180"/>
  <c r="H4" i="180"/>
  <c r="I4" i="180" s="1"/>
  <c r="N3" i="179"/>
  <c r="N5" i="179"/>
  <c r="N7" i="179"/>
  <c r="N9" i="179"/>
  <c r="N11" i="179"/>
  <c r="N13" i="179"/>
  <c r="N14" i="179"/>
  <c r="N15" i="179"/>
  <c r="N16" i="179"/>
  <c r="N17" i="179"/>
  <c r="N18" i="179"/>
  <c r="N19" i="179"/>
  <c r="N21" i="179"/>
  <c r="N23" i="179"/>
  <c r="N25" i="179"/>
  <c r="N27" i="179"/>
  <c r="N28" i="179"/>
  <c r="N29" i="179"/>
  <c r="N30" i="179"/>
  <c r="N32" i="179"/>
  <c r="N33" i="179"/>
  <c r="N35" i="179"/>
  <c r="N36" i="179"/>
  <c r="N37" i="179"/>
  <c r="N38" i="179"/>
  <c r="N39" i="179"/>
  <c r="N40" i="179"/>
  <c r="N41" i="179"/>
  <c r="N42" i="179"/>
  <c r="N43" i="179"/>
  <c r="N45" i="179"/>
  <c r="N46" i="179"/>
  <c r="N50" i="179"/>
  <c r="N52" i="179"/>
  <c r="L10" i="179"/>
  <c r="T17" i="222" s="1"/>
  <c r="L22" i="179"/>
  <c r="T18" i="222" s="1"/>
  <c r="L24" i="179"/>
  <c r="T22" i="222" s="1"/>
  <c r="L26" i="179"/>
  <c r="T23" i="222" s="1"/>
  <c r="L31" i="179"/>
  <c r="T24" i="222" s="1"/>
  <c r="L34" i="179"/>
  <c r="T25" i="222" s="1"/>
  <c r="L47" i="179"/>
  <c r="L51" i="179"/>
  <c r="T30" i="222" s="1"/>
  <c r="L4" i="179"/>
  <c r="T29" i="222" s="1"/>
  <c r="C34" i="179"/>
  <c r="D34" i="179"/>
  <c r="E34" i="179"/>
  <c r="F34" i="179"/>
  <c r="G34" i="179"/>
  <c r="H34" i="179"/>
  <c r="I34" i="179"/>
  <c r="J34" i="179"/>
  <c r="K34" i="179"/>
  <c r="B34" i="179"/>
  <c r="L2" i="179"/>
  <c r="T14" i="222" s="1"/>
  <c r="L6" i="179"/>
  <c r="T15" i="222" s="1"/>
  <c r="L8" i="179"/>
  <c r="T16" i="222" s="1"/>
  <c r="L12" i="179"/>
  <c r="T19" i="222" s="1"/>
  <c r="L20" i="179"/>
  <c r="T20" i="222" s="1"/>
  <c r="L44" i="179"/>
  <c r="L49" i="179"/>
  <c r="J56" i="179"/>
  <c r="K51" i="179"/>
  <c r="J51" i="179"/>
  <c r="I51" i="179"/>
  <c r="H51" i="179"/>
  <c r="G51" i="179"/>
  <c r="F51" i="179"/>
  <c r="E51" i="179"/>
  <c r="D51" i="179"/>
  <c r="C51" i="179"/>
  <c r="B51" i="179"/>
  <c r="K49" i="179"/>
  <c r="J49" i="179"/>
  <c r="I49" i="179"/>
  <c r="H49" i="179"/>
  <c r="G49" i="179"/>
  <c r="F49" i="179"/>
  <c r="E49" i="179"/>
  <c r="D49" i="179"/>
  <c r="C49" i="179"/>
  <c r="B49" i="179"/>
  <c r="K48" i="179"/>
  <c r="K47" i="179" s="1"/>
  <c r="J47" i="179"/>
  <c r="I47" i="179"/>
  <c r="H47" i="179"/>
  <c r="G47" i="179"/>
  <c r="F47" i="179"/>
  <c r="E47" i="179"/>
  <c r="D47" i="179"/>
  <c r="C47" i="179"/>
  <c r="B47" i="179"/>
  <c r="K44" i="179"/>
  <c r="J44" i="179"/>
  <c r="I44" i="179"/>
  <c r="H44" i="179"/>
  <c r="G44" i="179"/>
  <c r="F44" i="179"/>
  <c r="E44" i="179"/>
  <c r="D44" i="179"/>
  <c r="C44" i="179"/>
  <c r="B44" i="179"/>
  <c r="K31" i="179"/>
  <c r="J31" i="179"/>
  <c r="I31" i="179"/>
  <c r="H31" i="179"/>
  <c r="G31" i="179"/>
  <c r="F31" i="179"/>
  <c r="E31" i="179"/>
  <c r="D31" i="179"/>
  <c r="C31" i="179"/>
  <c r="B31" i="179"/>
  <c r="K26" i="179"/>
  <c r="J26" i="179"/>
  <c r="I26" i="179"/>
  <c r="H26" i="179"/>
  <c r="G26" i="179"/>
  <c r="F26" i="179"/>
  <c r="E26" i="179"/>
  <c r="D26" i="179"/>
  <c r="C26" i="179"/>
  <c r="B26" i="179"/>
  <c r="K24" i="179"/>
  <c r="J24" i="179"/>
  <c r="I24" i="179"/>
  <c r="H24" i="179"/>
  <c r="G24" i="179"/>
  <c r="F24" i="179"/>
  <c r="E24" i="179"/>
  <c r="D24" i="179"/>
  <c r="C24" i="179"/>
  <c r="B24" i="179"/>
  <c r="K22" i="179"/>
  <c r="J22" i="179"/>
  <c r="I22" i="179"/>
  <c r="H22" i="179"/>
  <c r="G22" i="179"/>
  <c r="F22" i="179"/>
  <c r="E22" i="179"/>
  <c r="D22" i="179"/>
  <c r="C22" i="179"/>
  <c r="B22" i="179"/>
  <c r="K20" i="179"/>
  <c r="J20" i="179"/>
  <c r="I20" i="179"/>
  <c r="H20" i="179"/>
  <c r="G20" i="179"/>
  <c r="F20" i="179"/>
  <c r="E20" i="179"/>
  <c r="D20" i="179"/>
  <c r="C20" i="179"/>
  <c r="B20" i="179"/>
  <c r="K12" i="179"/>
  <c r="J12" i="179"/>
  <c r="I12" i="179"/>
  <c r="H12" i="179"/>
  <c r="G12" i="179"/>
  <c r="F12" i="179"/>
  <c r="E12" i="179"/>
  <c r="D12" i="179"/>
  <c r="C12" i="179"/>
  <c r="B12" i="179"/>
  <c r="K10" i="179"/>
  <c r="J10" i="179"/>
  <c r="I10" i="179"/>
  <c r="H10" i="179"/>
  <c r="G10" i="179"/>
  <c r="F10" i="179"/>
  <c r="E10" i="179"/>
  <c r="D10" i="179"/>
  <c r="C10" i="179"/>
  <c r="B10" i="179"/>
  <c r="K8" i="179"/>
  <c r="J8" i="179"/>
  <c r="I8" i="179"/>
  <c r="H8" i="179"/>
  <c r="G8" i="179"/>
  <c r="F8" i="179"/>
  <c r="E8" i="179"/>
  <c r="D8" i="179"/>
  <c r="C8" i="179"/>
  <c r="B8" i="179"/>
  <c r="K6" i="179"/>
  <c r="J6" i="179"/>
  <c r="I6" i="179"/>
  <c r="H6" i="179"/>
  <c r="G6" i="179"/>
  <c r="F6" i="179"/>
  <c r="E6" i="179"/>
  <c r="D6" i="179"/>
  <c r="C6" i="179"/>
  <c r="B6" i="179"/>
  <c r="K4" i="179"/>
  <c r="J4" i="179"/>
  <c r="I4" i="179"/>
  <c r="H4" i="179"/>
  <c r="G4" i="179"/>
  <c r="F4" i="179"/>
  <c r="E4" i="179"/>
  <c r="D4" i="179"/>
  <c r="C4" i="179"/>
  <c r="B4" i="179"/>
  <c r="K2" i="179"/>
  <c r="J2" i="179"/>
  <c r="I2" i="179"/>
  <c r="H2" i="179"/>
  <c r="G2" i="179"/>
  <c r="F2" i="179"/>
  <c r="E2" i="179"/>
  <c r="D2" i="179"/>
  <c r="C2" i="179"/>
  <c r="B2" i="179"/>
  <c r="A65" i="178"/>
  <c r="G68" i="171"/>
  <c r="H68" i="171"/>
  <c r="F65" i="178" s="1"/>
  <c r="G65" i="178" s="1"/>
  <c r="G54" i="171"/>
  <c r="H54" i="171"/>
  <c r="G40" i="171"/>
  <c r="H40" i="171"/>
  <c r="G33" i="171"/>
  <c r="H33" i="171"/>
  <c r="G29" i="171"/>
  <c r="H29" i="171"/>
  <c r="F38" i="178" s="1"/>
  <c r="G24" i="171"/>
  <c r="H24" i="171"/>
  <c r="G19" i="171"/>
  <c r="H19" i="171"/>
  <c r="F11" i="178" s="1"/>
  <c r="G9" i="171"/>
  <c r="H9" i="171"/>
  <c r="E11" i="178"/>
  <c r="E18" i="178"/>
  <c r="G18" i="178" s="1"/>
  <c r="E23" i="178"/>
  <c r="G23" i="178" s="1"/>
  <c r="E27" i="178"/>
  <c r="G27" i="178" s="1"/>
  <c r="E31" i="178"/>
  <c r="G31" i="178" s="1"/>
  <c r="E38" i="178"/>
  <c r="E42" i="178"/>
  <c r="G42" i="178" s="1"/>
  <c r="E48" i="178"/>
  <c r="G48" i="178" s="1"/>
  <c r="E63" i="178"/>
  <c r="O21" i="177"/>
  <c r="E11" i="168"/>
  <c r="G72" i="167"/>
  <c r="I83" i="175"/>
  <c r="G83" i="175"/>
  <c r="E81" i="175"/>
  <c r="F81" i="175" s="1"/>
  <c r="F27" i="160"/>
  <c r="E8" i="175"/>
  <c r="D42" i="160"/>
  <c r="F18" i="190" l="1"/>
  <c r="G17" i="190"/>
  <c r="F17" i="208"/>
  <c r="E26" i="208"/>
  <c r="E18" i="208"/>
  <c r="T27" i="222"/>
  <c r="G22" i="222"/>
  <c r="X22" i="222"/>
  <c r="G19" i="222"/>
  <c r="X19" i="222"/>
  <c r="X16" i="222"/>
  <c r="G16" i="222"/>
  <c r="G25" i="222"/>
  <c r="X25" i="222"/>
  <c r="T21" i="222"/>
  <c r="X15" i="222"/>
  <c r="G15" i="222"/>
  <c r="G24" i="222"/>
  <c r="X24" i="222"/>
  <c r="G14" i="222"/>
  <c r="X14" i="222"/>
  <c r="X23" i="222"/>
  <c r="G23" i="222"/>
  <c r="G18" i="222"/>
  <c r="X18" i="222"/>
  <c r="G29" i="222"/>
  <c r="X29" i="222"/>
  <c r="G17" i="222"/>
  <c r="X17" i="222"/>
  <c r="X20" i="222"/>
  <c r="G20" i="222"/>
  <c r="T32" i="222"/>
  <c r="G30" i="222"/>
  <c r="X30" i="222"/>
  <c r="T14" i="184"/>
  <c r="T14" i="205"/>
  <c r="X14" i="205" s="1"/>
  <c r="T23" i="184"/>
  <c r="T23" i="205"/>
  <c r="T19" i="184"/>
  <c r="T19" i="205"/>
  <c r="X19" i="205" s="1"/>
  <c r="T16" i="184"/>
  <c r="X16" i="184" s="1"/>
  <c r="T16" i="205"/>
  <c r="X16" i="205" s="1"/>
  <c r="T25" i="184"/>
  <c r="T25" i="205"/>
  <c r="L16" i="188"/>
  <c r="T15" i="184"/>
  <c r="T15" i="205"/>
  <c r="T24" i="184"/>
  <c r="X24" i="184" s="1"/>
  <c r="T24" i="205"/>
  <c r="X24" i="205" s="1"/>
  <c r="T22" i="184"/>
  <c r="T22" i="205"/>
  <c r="G98" i="187"/>
  <c r="T18" i="184"/>
  <c r="T18" i="205"/>
  <c r="T29" i="184"/>
  <c r="T29" i="205"/>
  <c r="T32" i="205" s="1"/>
  <c r="T17" i="184"/>
  <c r="T17" i="205"/>
  <c r="T20" i="184"/>
  <c r="T20" i="205"/>
  <c r="X20" i="205" s="1"/>
  <c r="T30" i="184"/>
  <c r="X30" i="184" s="1"/>
  <c r="T30" i="205"/>
  <c r="X30" i="205" s="1"/>
  <c r="J8" i="192"/>
  <c r="G138" i="187"/>
  <c r="G87" i="187"/>
  <c r="G25" i="187"/>
  <c r="G49" i="187"/>
  <c r="F39" i="190"/>
  <c r="G34" i="190"/>
  <c r="H39" i="190"/>
  <c r="F34" i="190"/>
  <c r="E39" i="190"/>
  <c r="F140" i="187"/>
  <c r="D39" i="190"/>
  <c r="H140" i="187"/>
  <c r="C40" i="190"/>
  <c r="I40" i="190" s="1"/>
  <c r="L19" i="188"/>
  <c r="C41" i="190"/>
  <c r="I41" i="190" s="1"/>
  <c r="H34" i="190"/>
  <c r="D34" i="190"/>
  <c r="L140" i="187"/>
  <c r="C39" i="190"/>
  <c r="E34" i="190"/>
  <c r="G39" i="190"/>
  <c r="D31" i="190"/>
  <c r="D20" i="189"/>
  <c r="K140" i="187"/>
  <c r="J140" i="187"/>
  <c r="M16" i="188"/>
  <c r="I140" i="187"/>
  <c r="M14" i="188"/>
  <c r="C21" i="190"/>
  <c r="C23" i="190"/>
  <c r="C24" i="190"/>
  <c r="I24" i="190" s="1"/>
  <c r="C18" i="189"/>
  <c r="C20" i="189" s="1"/>
  <c r="K23" i="188"/>
  <c r="K18" i="188"/>
  <c r="K12" i="188"/>
  <c r="I29" i="184"/>
  <c r="I32" i="184" s="1"/>
  <c r="M10" i="188"/>
  <c r="M13" i="188"/>
  <c r="G120" i="187"/>
  <c r="M20" i="188"/>
  <c r="M6" i="188"/>
  <c r="N6" i="188"/>
  <c r="M8" i="188"/>
  <c r="N19" i="188"/>
  <c r="G43" i="187"/>
  <c r="D24" i="188"/>
  <c r="D30" i="188" s="1"/>
  <c r="D31" i="188" s="1"/>
  <c r="M9" i="188"/>
  <c r="N20" i="188"/>
  <c r="P21" i="188"/>
  <c r="C18" i="188"/>
  <c r="I23" i="188"/>
  <c r="G68" i="187"/>
  <c r="C12" i="188"/>
  <c r="I18" i="188"/>
  <c r="G14" i="187"/>
  <c r="I25" i="184"/>
  <c r="C23" i="188"/>
  <c r="G92" i="187"/>
  <c r="G34" i="187"/>
  <c r="G36" i="187" s="1"/>
  <c r="G11" i="178"/>
  <c r="N8" i="179"/>
  <c r="N24" i="179"/>
  <c r="N12" i="179"/>
  <c r="E38" i="183"/>
  <c r="N26" i="179"/>
  <c r="N10" i="179"/>
  <c r="G38" i="178"/>
  <c r="N6" i="179"/>
  <c r="N20" i="179"/>
  <c r="K4" i="180"/>
  <c r="N2" i="179"/>
  <c r="N47" i="179"/>
  <c r="N4" i="179"/>
  <c r="N31" i="179"/>
  <c r="N49" i="179"/>
  <c r="N51" i="179"/>
  <c r="H32" i="184"/>
  <c r="H33" i="184" s="1"/>
  <c r="H35" i="184" s="1"/>
  <c r="N22" i="179"/>
  <c r="N44" i="179"/>
  <c r="N34" i="179"/>
  <c r="I23" i="184"/>
  <c r="E66" i="178"/>
  <c r="N48" i="179"/>
  <c r="H7" i="180"/>
  <c r="D26" i="180"/>
  <c r="I21" i="184"/>
  <c r="X20" i="184"/>
  <c r="X14" i="184"/>
  <c r="X31" i="184"/>
  <c r="X26" i="184"/>
  <c r="D13" i="181"/>
  <c r="C13" i="181"/>
  <c r="E26" i="180"/>
  <c r="K5" i="180"/>
  <c r="I6" i="180"/>
  <c r="I7" i="180" s="1"/>
  <c r="I53" i="179"/>
  <c r="L53" i="179"/>
  <c r="C53" i="179"/>
  <c r="K53" i="179"/>
  <c r="D53" i="179"/>
  <c r="B53" i="179"/>
  <c r="J53" i="179"/>
  <c r="E53" i="179"/>
  <c r="G53" i="179"/>
  <c r="H53" i="179"/>
  <c r="F53" i="179"/>
  <c r="F63" i="178"/>
  <c r="G63" i="178" s="1"/>
  <c r="G70" i="171"/>
  <c r="H70" i="171"/>
  <c r="K47" i="175"/>
  <c r="L47" i="175" s="1"/>
  <c r="J44" i="175"/>
  <c r="J48" i="175"/>
  <c r="H38" i="160" s="1"/>
  <c r="K52" i="175"/>
  <c r="L52" i="175" s="1"/>
  <c r="K53" i="175"/>
  <c r="L53" i="175" s="1"/>
  <c r="K51" i="175"/>
  <c r="J55" i="175"/>
  <c r="H37" i="160" s="1"/>
  <c r="K25" i="175"/>
  <c r="L25" i="175" s="1"/>
  <c r="E33" i="160"/>
  <c r="F33" i="160"/>
  <c r="G33" i="160"/>
  <c r="H33" i="160"/>
  <c r="K87" i="175"/>
  <c r="K88" i="175" s="1"/>
  <c r="K80" i="175"/>
  <c r="K81" i="175"/>
  <c r="L81" i="175" s="1"/>
  <c r="K82" i="175"/>
  <c r="L82" i="175" s="1"/>
  <c r="K83" i="175"/>
  <c r="L83" i="175" s="1"/>
  <c r="K84" i="175"/>
  <c r="L84" i="175" s="1"/>
  <c r="F88" i="175"/>
  <c r="G88" i="175"/>
  <c r="H88" i="175"/>
  <c r="I88" i="175"/>
  <c r="J88" i="175"/>
  <c r="E88" i="175"/>
  <c r="J73" i="175"/>
  <c r="K71" i="175"/>
  <c r="L71" i="175" s="1"/>
  <c r="K72" i="175"/>
  <c r="L72" i="175" s="1"/>
  <c r="K66" i="175"/>
  <c r="K67" i="175"/>
  <c r="L67" i="175" s="1"/>
  <c r="K68" i="175"/>
  <c r="L68" i="175" s="1"/>
  <c r="K69" i="175"/>
  <c r="L69" i="175" s="1"/>
  <c r="K70" i="175"/>
  <c r="L70" i="175" s="1"/>
  <c r="K76" i="175"/>
  <c r="L76" i="175" s="1"/>
  <c r="J77" i="175"/>
  <c r="K37" i="175"/>
  <c r="K38" i="175" s="1"/>
  <c r="J38" i="175"/>
  <c r="H36" i="160" s="1"/>
  <c r="J26" i="175"/>
  <c r="H34" i="160" s="1"/>
  <c r="J30" i="175"/>
  <c r="H35" i="160" s="1"/>
  <c r="J34" i="175"/>
  <c r="H31" i="160" s="1"/>
  <c r="H28" i="160"/>
  <c r="H27" i="160"/>
  <c r="E26" i="160"/>
  <c r="F26" i="160"/>
  <c r="G26" i="160"/>
  <c r="H26" i="160"/>
  <c r="K16" i="175"/>
  <c r="L16" i="175" s="1"/>
  <c r="K17" i="175"/>
  <c r="K18" i="175"/>
  <c r="G19" i="175"/>
  <c r="U15" i="161" s="1"/>
  <c r="H19" i="175"/>
  <c r="V15" i="205" s="1"/>
  <c r="I19" i="175"/>
  <c r="W15" i="205" s="1"/>
  <c r="J19" i="175"/>
  <c r="H29" i="160" s="1"/>
  <c r="E30" i="160"/>
  <c r="F30" i="160"/>
  <c r="G30" i="160"/>
  <c r="H30" i="160"/>
  <c r="D30" i="160"/>
  <c r="F22" i="175"/>
  <c r="K21" i="175"/>
  <c r="K22" i="175" s="1"/>
  <c r="G22" i="175"/>
  <c r="H22" i="175"/>
  <c r="I22" i="175"/>
  <c r="J22" i="175"/>
  <c r="L22" i="175"/>
  <c r="E22" i="175"/>
  <c r="E19" i="175"/>
  <c r="L28" i="163"/>
  <c r="L29" i="163"/>
  <c r="L30" i="163"/>
  <c r="L27" i="163"/>
  <c r="I22" i="177"/>
  <c r="I21" i="177"/>
  <c r="P21" i="177" s="1"/>
  <c r="I20" i="177"/>
  <c r="I19" i="177"/>
  <c r="I17" i="177"/>
  <c r="I16" i="177"/>
  <c r="I15" i="177"/>
  <c r="I14" i="177"/>
  <c r="I13" i="177"/>
  <c r="C9" i="170"/>
  <c r="I11" i="177"/>
  <c r="I10" i="177"/>
  <c r="I8" i="177"/>
  <c r="I7" i="177"/>
  <c r="I6" i="177"/>
  <c r="I5" i="177"/>
  <c r="O35" i="177"/>
  <c r="N30" i="177"/>
  <c r="N29" i="177"/>
  <c r="N28" i="177"/>
  <c r="C28" i="177"/>
  <c r="N27" i="177"/>
  <c r="E27" i="177"/>
  <c r="D27" i="177"/>
  <c r="D28" i="177" s="1"/>
  <c r="N26" i="177"/>
  <c r="D23" i="177"/>
  <c r="K22" i="177"/>
  <c r="C22" i="177"/>
  <c r="C21" i="177"/>
  <c r="K20" i="177"/>
  <c r="F20" i="177"/>
  <c r="E20" i="177"/>
  <c r="C20" i="177"/>
  <c r="K19" i="177"/>
  <c r="F19" i="177"/>
  <c r="E19" i="177"/>
  <c r="C19" i="177"/>
  <c r="D18" i="177"/>
  <c r="K17" i="177"/>
  <c r="C17" i="177"/>
  <c r="N18" i="177"/>
  <c r="K16" i="177"/>
  <c r="C16" i="177"/>
  <c r="K15" i="177"/>
  <c r="C15" i="177"/>
  <c r="K14" i="177"/>
  <c r="C14" i="177"/>
  <c r="K13" i="177"/>
  <c r="C13" i="177"/>
  <c r="K11" i="177"/>
  <c r="K10" i="177"/>
  <c r="C10" i="177"/>
  <c r="K9" i="177"/>
  <c r="K8" i="177"/>
  <c r="C8" i="177"/>
  <c r="K7" i="177"/>
  <c r="D7" i="177"/>
  <c r="D12" i="177" s="1"/>
  <c r="C7" i="177"/>
  <c r="K6" i="177"/>
  <c r="C6" i="177"/>
  <c r="K5" i="177"/>
  <c r="C5" i="177"/>
  <c r="C17" i="160"/>
  <c r="X30" i="161"/>
  <c r="X24" i="161"/>
  <c r="D6" i="161"/>
  <c r="L35" i="175"/>
  <c r="I34" i="175"/>
  <c r="W19" i="205" s="1"/>
  <c r="H34" i="175"/>
  <c r="V19" i="205" s="1"/>
  <c r="G34" i="175"/>
  <c r="E34" i="175"/>
  <c r="F33" i="175"/>
  <c r="F34" i="175" s="1"/>
  <c r="L32" i="175"/>
  <c r="F29" i="175"/>
  <c r="F30" i="175" s="1"/>
  <c r="T18" i="161" s="1"/>
  <c r="L31" i="175"/>
  <c r="I30" i="175"/>
  <c r="W18" i="205" s="1"/>
  <c r="H30" i="175"/>
  <c r="V18" i="205" s="1"/>
  <c r="G30" i="175"/>
  <c r="E30" i="175"/>
  <c r="L28" i="175"/>
  <c r="L12" i="175"/>
  <c r="L13" i="175"/>
  <c r="L23" i="175"/>
  <c r="L24" i="175"/>
  <c r="L27" i="175"/>
  <c r="L36" i="175"/>
  <c r="L39" i="175"/>
  <c r="L40" i="175"/>
  <c r="L45" i="175"/>
  <c r="L46" i="175"/>
  <c r="L49" i="175"/>
  <c r="L50" i="175"/>
  <c r="L56" i="175"/>
  <c r="L57" i="175"/>
  <c r="L64" i="175"/>
  <c r="L65" i="175"/>
  <c r="L74" i="175"/>
  <c r="L75" i="175"/>
  <c r="L78" i="175"/>
  <c r="L79" i="175"/>
  <c r="L86" i="175"/>
  <c r="K62" i="175"/>
  <c r="L62" i="175" s="1"/>
  <c r="K61" i="175"/>
  <c r="L61" i="175" s="1"/>
  <c r="K60" i="175"/>
  <c r="L60" i="175" s="1"/>
  <c r="K59" i="175"/>
  <c r="L59" i="175" s="1"/>
  <c r="K58" i="175"/>
  <c r="L58" i="175" s="1"/>
  <c r="K43" i="175"/>
  <c r="L43" i="175" s="1"/>
  <c r="K42" i="175"/>
  <c r="L42" i="175" s="1"/>
  <c r="K41" i="175"/>
  <c r="L41" i="175" s="1"/>
  <c r="F54" i="175"/>
  <c r="K54" i="175" s="1"/>
  <c r="F15" i="175"/>
  <c r="K15" i="175" s="1"/>
  <c r="F14" i="175"/>
  <c r="F10" i="175"/>
  <c r="K10" i="175" s="1"/>
  <c r="L10" i="175" s="1"/>
  <c r="F9" i="175"/>
  <c r="K9" i="175" s="1"/>
  <c r="L9" i="175" s="1"/>
  <c r="F8" i="175"/>
  <c r="K8" i="175" s="1"/>
  <c r="L8" i="175" s="1"/>
  <c r="G11" i="175"/>
  <c r="H11" i="175"/>
  <c r="V29" i="205" s="1"/>
  <c r="I11" i="175"/>
  <c r="W29" i="205" s="1"/>
  <c r="F26" i="175"/>
  <c r="T17" i="161" s="1"/>
  <c r="G26" i="175"/>
  <c r="H26" i="175"/>
  <c r="V17" i="205" s="1"/>
  <c r="I26" i="175"/>
  <c r="W17" i="205" s="1"/>
  <c r="F38" i="175"/>
  <c r="T22" i="161" s="1"/>
  <c r="G38" i="175"/>
  <c r="H38" i="175"/>
  <c r="V22" i="205" s="1"/>
  <c r="I38" i="175"/>
  <c r="W22" i="205" s="1"/>
  <c r="F44" i="175"/>
  <c r="G44" i="175"/>
  <c r="H44" i="175"/>
  <c r="V23" i="205" s="1"/>
  <c r="I44" i="175"/>
  <c r="F48" i="175"/>
  <c r="G48" i="175"/>
  <c r="E38" i="160" s="1"/>
  <c r="H48" i="175"/>
  <c r="F38" i="160" s="1"/>
  <c r="I48" i="175"/>
  <c r="G38" i="160" s="1"/>
  <c r="G55" i="175"/>
  <c r="E37" i="160" s="1"/>
  <c r="H55" i="175"/>
  <c r="F37" i="160" s="1"/>
  <c r="I55" i="175"/>
  <c r="G37" i="160" s="1"/>
  <c r="F63" i="175"/>
  <c r="G63" i="175"/>
  <c r="H63" i="175"/>
  <c r="I63" i="175"/>
  <c r="F73" i="175"/>
  <c r="G73" i="175"/>
  <c r="H73" i="175"/>
  <c r="I73" i="175"/>
  <c r="F77" i="175"/>
  <c r="G77" i="175"/>
  <c r="H77" i="175"/>
  <c r="I77" i="175"/>
  <c r="F85" i="175"/>
  <c r="T28" i="161" s="1"/>
  <c r="G85" i="175"/>
  <c r="H85" i="175"/>
  <c r="V28" i="205" s="1"/>
  <c r="I85" i="175"/>
  <c r="W28" i="205" s="1"/>
  <c r="W32" i="205" s="1"/>
  <c r="E11" i="175"/>
  <c r="E26" i="175"/>
  <c r="E38" i="175"/>
  <c r="E44" i="175"/>
  <c r="E48" i="175"/>
  <c r="E55" i="175"/>
  <c r="E63" i="175"/>
  <c r="E73" i="175"/>
  <c r="E77" i="175"/>
  <c r="E85" i="175"/>
  <c r="U14" i="161"/>
  <c r="V14" i="161"/>
  <c r="W14" i="161"/>
  <c r="U16" i="161"/>
  <c r="V16" i="161"/>
  <c r="W16" i="161"/>
  <c r="U20" i="161"/>
  <c r="V20" i="161"/>
  <c r="W20" i="161"/>
  <c r="U26" i="161"/>
  <c r="V26" i="161"/>
  <c r="W26" i="161"/>
  <c r="U31" i="161"/>
  <c r="V31" i="161"/>
  <c r="W31" i="161"/>
  <c r="F26" i="208" l="1"/>
  <c r="G18" i="190"/>
  <c r="F18" i="208"/>
  <c r="E19" i="208"/>
  <c r="I17" i="227"/>
  <c r="G17" i="208"/>
  <c r="I17" i="208" s="1"/>
  <c r="F18" i="227"/>
  <c r="X27" i="222"/>
  <c r="F14" i="222"/>
  <c r="D14" i="222"/>
  <c r="X32" i="222"/>
  <c r="F25" i="222"/>
  <c r="D25" i="222"/>
  <c r="D17" i="222"/>
  <c r="F17" i="222"/>
  <c r="F16" i="222"/>
  <c r="D16" i="222"/>
  <c r="T27" i="184"/>
  <c r="F29" i="222"/>
  <c r="D29" i="222"/>
  <c r="G32" i="222"/>
  <c r="F24" i="222"/>
  <c r="D24" i="222"/>
  <c r="G21" i="222"/>
  <c r="D15" i="222"/>
  <c r="F15" i="222"/>
  <c r="D19" i="222"/>
  <c r="F19" i="222"/>
  <c r="D30" i="222"/>
  <c r="F30" i="222"/>
  <c r="X21" i="222"/>
  <c r="T32" i="184"/>
  <c r="T21" i="184"/>
  <c r="F20" i="222"/>
  <c r="D20" i="222"/>
  <c r="F23" i="222"/>
  <c r="D23" i="222"/>
  <c r="G27" i="222"/>
  <c r="D22" i="222"/>
  <c r="F22" i="222"/>
  <c r="D18" i="222"/>
  <c r="F18" i="222"/>
  <c r="T33" i="222"/>
  <c r="T35" i="222" s="1"/>
  <c r="X29" i="205"/>
  <c r="X17" i="205"/>
  <c r="W27" i="205"/>
  <c r="W23" i="205"/>
  <c r="H17" i="190"/>
  <c r="I17" i="190" s="1"/>
  <c r="T21" i="205"/>
  <c r="X15" i="205"/>
  <c r="X21" i="205" s="1"/>
  <c r="V32" i="205"/>
  <c r="X28" i="205"/>
  <c r="X32" i="205" s="1"/>
  <c r="X18" i="205"/>
  <c r="X23" i="205"/>
  <c r="T34" i="184"/>
  <c r="T34" i="205"/>
  <c r="W21" i="205"/>
  <c r="W33" i="205" s="1"/>
  <c r="X25" i="205"/>
  <c r="W25" i="205"/>
  <c r="V25" i="205"/>
  <c r="V27" i="205" s="1"/>
  <c r="V21" i="205"/>
  <c r="X22" i="205"/>
  <c r="T27" i="205"/>
  <c r="D27" i="190"/>
  <c r="I39" i="190"/>
  <c r="D25" i="190"/>
  <c r="I23" i="190"/>
  <c r="I21" i="190"/>
  <c r="I22" i="190" s="1"/>
  <c r="G140" i="187"/>
  <c r="D22" i="190"/>
  <c r="E22" i="190" s="1"/>
  <c r="F22" i="190" s="1"/>
  <c r="G22" i="190" s="1"/>
  <c r="H22" i="190" s="1"/>
  <c r="K24" i="188"/>
  <c r="C24" i="188"/>
  <c r="T28" i="188" s="1"/>
  <c r="T29" i="188" s="1"/>
  <c r="I27" i="184"/>
  <c r="I33" i="184" s="1"/>
  <c r="I35" i="184" s="1"/>
  <c r="I9" i="177"/>
  <c r="I12" i="188"/>
  <c r="I24" i="188" s="1"/>
  <c r="K7" i="180"/>
  <c r="H141" i="187"/>
  <c r="H142" i="187" s="1"/>
  <c r="T33" i="184"/>
  <c r="T35" i="184" s="1"/>
  <c r="K18" i="177"/>
  <c r="G66" i="178"/>
  <c r="V22" i="161"/>
  <c r="V22" i="184"/>
  <c r="W22" i="161"/>
  <c r="W22" i="184"/>
  <c r="G29" i="160"/>
  <c r="W15" i="184"/>
  <c r="V25" i="184"/>
  <c r="U22" i="161"/>
  <c r="U22" i="184"/>
  <c r="U29" i="161"/>
  <c r="U29" i="184"/>
  <c r="K12" i="177"/>
  <c r="E29" i="160"/>
  <c r="U15" i="184"/>
  <c r="H32" i="160"/>
  <c r="F29" i="160"/>
  <c r="V15" i="184"/>
  <c r="E32" i="160"/>
  <c r="U25" i="184"/>
  <c r="C23" i="177"/>
  <c r="K23" i="177"/>
  <c r="I18" i="177"/>
  <c r="W18" i="161"/>
  <c r="W18" i="184"/>
  <c r="G32" i="160"/>
  <c r="W25" i="184"/>
  <c r="W23" i="184"/>
  <c r="D24" i="177"/>
  <c r="D30" i="177" s="1"/>
  <c r="D31" i="177" s="1"/>
  <c r="W19" i="161"/>
  <c r="W19" i="184"/>
  <c r="W17" i="161"/>
  <c r="W17" i="184"/>
  <c r="W28" i="161"/>
  <c r="W28" i="184"/>
  <c r="V23" i="184"/>
  <c r="V17" i="161"/>
  <c r="V17" i="184"/>
  <c r="U18" i="161"/>
  <c r="U18" i="184"/>
  <c r="U19" i="161"/>
  <c r="U19" i="184"/>
  <c r="U28" i="161"/>
  <c r="U32" i="161" s="1"/>
  <c r="U28" i="184"/>
  <c r="W29" i="161"/>
  <c r="W29" i="184"/>
  <c r="L54" i="175"/>
  <c r="V29" i="161"/>
  <c r="V29" i="184"/>
  <c r="T19" i="161"/>
  <c r="V28" i="161"/>
  <c r="V28" i="184"/>
  <c r="U23" i="184"/>
  <c r="U17" i="161"/>
  <c r="U17" i="184"/>
  <c r="V18" i="161"/>
  <c r="V18" i="184"/>
  <c r="V19" i="161"/>
  <c r="V19" i="184"/>
  <c r="C12" i="177"/>
  <c r="C18" i="177"/>
  <c r="N53" i="179"/>
  <c r="F66" i="178"/>
  <c r="X14" i="161"/>
  <c r="X31" i="161"/>
  <c r="W15" i="161"/>
  <c r="F34" i="160"/>
  <c r="G34" i="160"/>
  <c r="D35" i="160"/>
  <c r="E34" i="160"/>
  <c r="G36" i="160"/>
  <c r="G35" i="160"/>
  <c r="F36" i="160"/>
  <c r="F35" i="160"/>
  <c r="E36" i="160"/>
  <c r="G31" i="160"/>
  <c r="F19" i="175"/>
  <c r="T15" i="161" s="1"/>
  <c r="E35" i="160"/>
  <c r="F32" i="160"/>
  <c r="K33" i="175"/>
  <c r="L33" i="175" s="1"/>
  <c r="K29" i="175"/>
  <c r="L29" i="175" s="1"/>
  <c r="K14" i="175"/>
  <c r="K19" i="175" s="1"/>
  <c r="G27" i="160"/>
  <c r="G28" i="160"/>
  <c r="F31" i="160"/>
  <c r="F28" i="160"/>
  <c r="E31" i="160"/>
  <c r="E28" i="160"/>
  <c r="L15" i="175"/>
  <c r="X20" i="161"/>
  <c r="V23" i="161"/>
  <c r="X26" i="161"/>
  <c r="X16" i="161"/>
  <c r="W23" i="161"/>
  <c r="T25" i="161"/>
  <c r="V25" i="161"/>
  <c r="U25" i="161"/>
  <c r="K44" i="175"/>
  <c r="L44" i="175" s="1"/>
  <c r="U23" i="161"/>
  <c r="W25" i="161"/>
  <c r="L38" i="175"/>
  <c r="I23" i="177"/>
  <c r="I12" i="177"/>
  <c r="F55" i="175"/>
  <c r="K55" i="175"/>
  <c r="L55" i="175" s="1"/>
  <c r="H89" i="175"/>
  <c r="L37" i="175"/>
  <c r="K48" i="175"/>
  <c r="L48" i="175" s="1"/>
  <c r="V15" i="161"/>
  <c r="K26" i="175"/>
  <c r="L26" i="175" s="1"/>
  <c r="L51" i="175"/>
  <c r="K63" i="175"/>
  <c r="L63" i="175" s="1"/>
  <c r="F11" i="175"/>
  <c r="E27" i="160" s="1"/>
  <c r="E89" i="175"/>
  <c r="K85" i="175"/>
  <c r="L85" i="175" s="1"/>
  <c r="L80" i="175"/>
  <c r="K77" i="175"/>
  <c r="L77" i="175" s="1"/>
  <c r="I89" i="175"/>
  <c r="K73" i="175"/>
  <c r="L73" i="175" s="1"/>
  <c r="L66" i="175"/>
  <c r="K11" i="175"/>
  <c r="L11" i="175" s="1"/>
  <c r="G89" i="175"/>
  <c r="D52" i="172"/>
  <c r="F52" i="172"/>
  <c r="F41" i="172"/>
  <c r="F56" i="172" s="1"/>
  <c r="E41" i="172"/>
  <c r="D41" i="172"/>
  <c r="D56" i="172" s="1"/>
  <c r="C41" i="172"/>
  <c r="E40" i="172"/>
  <c r="C40" i="172"/>
  <c r="E42" i="172"/>
  <c r="D42" i="172"/>
  <c r="E11" i="172"/>
  <c r="E10" i="172"/>
  <c r="X33" i="222" l="1"/>
  <c r="G33" i="222"/>
  <c r="G35" i="222" s="1"/>
  <c r="H18" i="190"/>
  <c r="G18" i="227"/>
  <c r="G18" i="208"/>
  <c r="F19" i="208"/>
  <c r="G26" i="208"/>
  <c r="H26" i="208" s="1"/>
  <c r="I26" i="208" s="1"/>
  <c r="C15" i="222"/>
  <c r="E15" i="222" s="1"/>
  <c r="G6" i="226"/>
  <c r="G8" i="226"/>
  <c r="C17" i="222"/>
  <c r="E17" i="222" s="1"/>
  <c r="G10" i="226"/>
  <c r="C19" i="222"/>
  <c r="E19" i="222" s="1"/>
  <c r="G13" i="226"/>
  <c r="C22" i="222"/>
  <c r="E22" i="222" s="1"/>
  <c r="C24" i="222"/>
  <c r="E24" i="222" s="1"/>
  <c r="G15" i="226"/>
  <c r="G17" i="226"/>
  <c r="C26" i="222"/>
  <c r="E26" i="222" s="1"/>
  <c r="G20" i="226"/>
  <c r="C29" i="222"/>
  <c r="E29" i="222" s="1"/>
  <c r="G22" i="226"/>
  <c r="C31" i="222"/>
  <c r="E31" i="222" s="1"/>
  <c r="E25" i="222"/>
  <c r="C14" i="222"/>
  <c r="E14" i="222" s="1"/>
  <c r="G5" i="226"/>
  <c r="C16" i="222"/>
  <c r="G7" i="226"/>
  <c r="C18" i="222"/>
  <c r="E18" i="222" s="1"/>
  <c r="G9" i="226"/>
  <c r="G11" i="226"/>
  <c r="C20" i="222"/>
  <c r="E20" i="222" s="1"/>
  <c r="G14" i="226"/>
  <c r="C23" i="222"/>
  <c r="E23" i="222" s="1"/>
  <c r="C25" i="222"/>
  <c r="G16" i="226"/>
  <c r="C28" i="222"/>
  <c r="G19" i="226"/>
  <c r="G21" i="226"/>
  <c r="C30" i="222"/>
  <c r="E30" i="222" s="1"/>
  <c r="E16" i="222"/>
  <c r="F32" i="222"/>
  <c r="D32" i="222"/>
  <c r="F21" i="222"/>
  <c r="D21" i="222"/>
  <c r="F27" i="222"/>
  <c r="D27" i="222"/>
  <c r="T33" i="205"/>
  <c r="T35" i="205" s="1"/>
  <c r="G6" i="188"/>
  <c r="C15" i="205"/>
  <c r="G6" i="204"/>
  <c r="G10" i="188"/>
  <c r="Q10" i="188" s="1"/>
  <c r="C19" i="205"/>
  <c r="G10" i="204"/>
  <c r="G13" i="204"/>
  <c r="C22" i="205"/>
  <c r="G15" i="188"/>
  <c r="C24" i="205"/>
  <c r="G15" i="204"/>
  <c r="G17" i="204"/>
  <c r="C26" i="205"/>
  <c r="C29" i="205"/>
  <c r="G20" i="204"/>
  <c r="G22" i="188"/>
  <c r="G22" i="204"/>
  <c r="C31" i="205"/>
  <c r="X27" i="205"/>
  <c r="X33" i="205"/>
  <c r="G8" i="188"/>
  <c r="Q8" i="188" s="1"/>
  <c r="G8" i="204"/>
  <c r="C17" i="205"/>
  <c r="V33" i="205"/>
  <c r="C14" i="205"/>
  <c r="G5" i="204"/>
  <c r="G7" i="204"/>
  <c r="C16" i="205"/>
  <c r="C18" i="205"/>
  <c r="G9" i="204"/>
  <c r="G11" i="204"/>
  <c r="C20" i="205"/>
  <c r="C23" i="205"/>
  <c r="G14" i="204"/>
  <c r="G16" i="204"/>
  <c r="C25" i="205"/>
  <c r="G19" i="188"/>
  <c r="Q19" i="188" s="1"/>
  <c r="C28" i="205"/>
  <c r="G19" i="204"/>
  <c r="G21" i="188"/>
  <c r="H21" i="188" s="1"/>
  <c r="G21" i="204"/>
  <c r="C30" i="205"/>
  <c r="E25" i="190"/>
  <c r="C30" i="188"/>
  <c r="C31" i="188" s="1"/>
  <c r="E27" i="190"/>
  <c r="C25" i="161"/>
  <c r="G16" i="188"/>
  <c r="H22" i="188"/>
  <c r="Q22" i="188"/>
  <c r="H19" i="188"/>
  <c r="C16" i="161"/>
  <c r="G7" i="188"/>
  <c r="C20" i="161"/>
  <c r="G11" i="188"/>
  <c r="G30" i="172"/>
  <c r="H30" i="172" s="1"/>
  <c r="G17" i="188"/>
  <c r="C14" i="161"/>
  <c r="G5" i="188"/>
  <c r="G22" i="172"/>
  <c r="G9" i="188"/>
  <c r="C23" i="161"/>
  <c r="G14" i="188"/>
  <c r="Q15" i="188"/>
  <c r="H15" i="188"/>
  <c r="H6" i="188"/>
  <c r="Q6" i="188"/>
  <c r="C22" i="161"/>
  <c r="G13" i="188"/>
  <c r="C29" i="161"/>
  <c r="G20" i="188"/>
  <c r="X17" i="161"/>
  <c r="V32" i="161"/>
  <c r="X22" i="161"/>
  <c r="E25" i="172"/>
  <c r="E43" i="172" s="1"/>
  <c r="T21" i="161"/>
  <c r="U21" i="161"/>
  <c r="X19" i="161"/>
  <c r="E12" i="172"/>
  <c r="W32" i="161"/>
  <c r="G34" i="172"/>
  <c r="H34" i="172" s="1"/>
  <c r="C26" i="161"/>
  <c r="E50" i="172"/>
  <c r="E51" i="172" s="1"/>
  <c r="C24" i="177"/>
  <c r="C30" i="177" s="1"/>
  <c r="C31" i="177" s="1"/>
  <c r="V32" i="184"/>
  <c r="K24" i="177"/>
  <c r="D31" i="172"/>
  <c r="D44" i="172" s="1"/>
  <c r="G18" i="172"/>
  <c r="H18" i="172" s="1"/>
  <c r="W32" i="184"/>
  <c r="F31" i="172"/>
  <c r="F44" i="172" s="1"/>
  <c r="C50" i="172"/>
  <c r="C8" i="222" s="1"/>
  <c r="X8" i="222" s="1"/>
  <c r="X18" i="161"/>
  <c r="G19" i="172"/>
  <c r="H19" i="172" s="1"/>
  <c r="C15" i="184"/>
  <c r="G6" i="177"/>
  <c r="G23" i="172"/>
  <c r="H23" i="172" s="1"/>
  <c r="C19" i="184"/>
  <c r="G10" i="177"/>
  <c r="E31" i="172"/>
  <c r="E44" i="172" s="1"/>
  <c r="G29" i="172"/>
  <c r="H29" i="172" s="1"/>
  <c r="D36" i="172"/>
  <c r="D45" i="172" s="1"/>
  <c r="X28" i="184"/>
  <c r="U21" i="184"/>
  <c r="X15" i="184"/>
  <c r="W21" i="184"/>
  <c r="G21" i="172"/>
  <c r="H21" i="172" s="1"/>
  <c r="G32" i="172"/>
  <c r="H32" i="172" s="1"/>
  <c r="C28" i="184"/>
  <c r="G19" i="177"/>
  <c r="C14" i="184"/>
  <c r="G5" i="177"/>
  <c r="G28" i="172"/>
  <c r="H28" i="172" s="1"/>
  <c r="C24" i="184"/>
  <c r="G15" i="177"/>
  <c r="C26" i="184"/>
  <c r="G17" i="177"/>
  <c r="F36" i="172"/>
  <c r="F45" i="172" s="1"/>
  <c r="D50" i="172"/>
  <c r="C6" i="205" s="1"/>
  <c r="X6" i="205" s="1"/>
  <c r="C15" i="161"/>
  <c r="C29" i="184"/>
  <c r="G20" i="177"/>
  <c r="C24" i="161"/>
  <c r="X28" i="161"/>
  <c r="W21" i="161"/>
  <c r="X19" i="184"/>
  <c r="X25" i="184"/>
  <c r="U32" i="184"/>
  <c r="X29" i="184"/>
  <c r="W27" i="184"/>
  <c r="C22" i="184"/>
  <c r="G13" i="177"/>
  <c r="G20" i="172"/>
  <c r="H20" i="172" s="1"/>
  <c r="C16" i="184"/>
  <c r="G7" i="177"/>
  <c r="C18" i="184"/>
  <c r="G9" i="177"/>
  <c r="G24" i="172"/>
  <c r="H24" i="172" s="1"/>
  <c r="C20" i="184"/>
  <c r="G11" i="177"/>
  <c r="G35" i="172"/>
  <c r="H35" i="172" s="1"/>
  <c r="C31" i="184"/>
  <c r="G22" i="177"/>
  <c r="C19" i="161"/>
  <c r="X17" i="184"/>
  <c r="C18" i="161"/>
  <c r="C28" i="161"/>
  <c r="X18" i="184"/>
  <c r="V21" i="184"/>
  <c r="U27" i="184"/>
  <c r="X22" i="184"/>
  <c r="V27" i="184"/>
  <c r="C17" i="184"/>
  <c r="G8" i="177"/>
  <c r="C30" i="184"/>
  <c r="G21" i="177"/>
  <c r="C30" i="161"/>
  <c r="G26" i="172"/>
  <c r="H26" i="172" s="1"/>
  <c r="G33" i="172"/>
  <c r="H33" i="172" s="1"/>
  <c r="F25" i="172"/>
  <c r="F43" i="172" s="1"/>
  <c r="G27" i="172"/>
  <c r="H27" i="172" s="1"/>
  <c r="C23" i="184"/>
  <c r="G14" i="177"/>
  <c r="C25" i="184"/>
  <c r="G16" i="177"/>
  <c r="C42" i="172"/>
  <c r="C17" i="161"/>
  <c r="C31" i="161"/>
  <c r="V21" i="161"/>
  <c r="X23" i="184"/>
  <c r="T23" i="161"/>
  <c r="T27" i="161" s="1"/>
  <c r="I35" i="160"/>
  <c r="V27" i="161"/>
  <c r="W27" i="161"/>
  <c r="U27" i="161"/>
  <c r="X25" i="161"/>
  <c r="K30" i="175"/>
  <c r="L30" i="175" s="1"/>
  <c r="K34" i="175"/>
  <c r="L34" i="175" s="1"/>
  <c r="F89" i="175"/>
  <c r="T29" i="161"/>
  <c r="I24" i="177"/>
  <c r="X15" i="161"/>
  <c r="L19" i="175"/>
  <c r="L14" i="175"/>
  <c r="K89" i="175"/>
  <c r="L89" i="175" s="1"/>
  <c r="E36" i="172"/>
  <c r="E45" i="172" s="1"/>
  <c r="D25" i="172"/>
  <c r="D43" i="172" s="1"/>
  <c r="C36" i="172"/>
  <c r="F42" i="172"/>
  <c r="C31" i="172"/>
  <c r="F50" i="172"/>
  <c r="C25" i="172"/>
  <c r="D51" i="172"/>
  <c r="H10" i="188" l="1"/>
  <c r="H18" i="227"/>
  <c r="H18" i="208"/>
  <c r="H19" i="208" s="1"/>
  <c r="G19" i="208"/>
  <c r="Q14" i="226"/>
  <c r="H14" i="226"/>
  <c r="E21" i="222"/>
  <c r="H21" i="226"/>
  <c r="Q21" i="226"/>
  <c r="H11" i="226"/>
  <c r="Q11" i="226"/>
  <c r="H20" i="226"/>
  <c r="Q20" i="226"/>
  <c r="H10" i="226"/>
  <c r="Q10" i="226"/>
  <c r="H19" i="226"/>
  <c r="Q19" i="226"/>
  <c r="G23" i="226"/>
  <c r="Q9" i="226"/>
  <c r="H9" i="226"/>
  <c r="Q13" i="226"/>
  <c r="H13" i="226"/>
  <c r="G18" i="226"/>
  <c r="C32" i="222"/>
  <c r="E28" i="222"/>
  <c r="E32" i="222" s="1"/>
  <c r="Q17" i="226"/>
  <c r="H17" i="226"/>
  <c r="H8" i="226"/>
  <c r="Q8" i="226"/>
  <c r="H22" i="226"/>
  <c r="Q22" i="226"/>
  <c r="E27" i="222"/>
  <c r="Q16" i="226"/>
  <c r="H16" i="226"/>
  <c r="H7" i="226"/>
  <c r="Q7" i="226"/>
  <c r="Q15" i="226"/>
  <c r="H15" i="226"/>
  <c r="G12" i="226"/>
  <c r="H6" i="226"/>
  <c r="Q6" i="226"/>
  <c r="C21" i="222"/>
  <c r="Q5" i="226"/>
  <c r="H5" i="226"/>
  <c r="C27" i="222"/>
  <c r="D33" i="222"/>
  <c r="D35" i="222" s="1"/>
  <c r="F33" i="222"/>
  <c r="F35" i="222" s="1"/>
  <c r="C32" i="205"/>
  <c r="H17" i="204"/>
  <c r="Q17" i="204"/>
  <c r="H11" i="204"/>
  <c r="Q11" i="204"/>
  <c r="G18" i="204"/>
  <c r="H13" i="204"/>
  <c r="Q13" i="204"/>
  <c r="Q10" i="204"/>
  <c r="H10" i="204"/>
  <c r="H8" i="188"/>
  <c r="Q21" i="188"/>
  <c r="H16" i="204"/>
  <c r="Q16" i="204"/>
  <c r="H7" i="204"/>
  <c r="Q7" i="204"/>
  <c r="H15" i="204"/>
  <c r="Q15" i="204"/>
  <c r="H6" i="204"/>
  <c r="Q6" i="204"/>
  <c r="G12" i="204"/>
  <c r="Q14" i="204"/>
  <c r="H14" i="204"/>
  <c r="Q5" i="204"/>
  <c r="H5" i="204"/>
  <c r="C21" i="205"/>
  <c r="Q20" i="204"/>
  <c r="H20" i="204"/>
  <c r="H8" i="204"/>
  <c r="Q8" i="204"/>
  <c r="C8" i="184"/>
  <c r="X8" i="184" s="1"/>
  <c r="C8" i="205"/>
  <c r="X8" i="205" s="1"/>
  <c r="H21" i="204"/>
  <c r="Q21" i="204"/>
  <c r="H22" i="204"/>
  <c r="Q22" i="204"/>
  <c r="H19" i="204"/>
  <c r="G23" i="204"/>
  <c r="Q19" i="204"/>
  <c r="H9" i="204"/>
  <c r="Q9" i="204"/>
  <c r="C27" i="205"/>
  <c r="C33" i="205" s="1"/>
  <c r="F27" i="190"/>
  <c r="F25" i="190"/>
  <c r="G12" i="188"/>
  <c r="U33" i="161"/>
  <c r="G50" i="172"/>
  <c r="H50" i="172" s="1"/>
  <c r="C51" i="172"/>
  <c r="D46" i="172"/>
  <c r="E46" i="172"/>
  <c r="E57" i="172" s="1"/>
  <c r="F57" i="172" s="1"/>
  <c r="Q13" i="188"/>
  <c r="H13" i="188"/>
  <c r="G18" i="188"/>
  <c r="H17" i="188"/>
  <c r="Q17" i="188"/>
  <c r="Q14" i="188"/>
  <c r="H14" i="188"/>
  <c r="H11" i="188"/>
  <c r="Q11" i="188"/>
  <c r="H9" i="188"/>
  <c r="Q9" i="188"/>
  <c r="H7" i="188"/>
  <c r="Q7" i="188"/>
  <c r="H20" i="188"/>
  <c r="H23" i="188" s="1"/>
  <c r="Q20" i="188"/>
  <c r="Q16" i="188"/>
  <c r="H16" i="188"/>
  <c r="H5" i="188"/>
  <c r="Q5" i="188"/>
  <c r="G23" i="188"/>
  <c r="X21" i="161"/>
  <c r="T28" i="177"/>
  <c r="T29" i="177" s="1"/>
  <c r="W33" i="161"/>
  <c r="C8" i="161"/>
  <c r="F37" i="172"/>
  <c r="V33" i="184"/>
  <c r="W33" i="184"/>
  <c r="H8" i="177"/>
  <c r="Q8" i="177"/>
  <c r="H5" i="177"/>
  <c r="Q5" i="177"/>
  <c r="U33" i="184"/>
  <c r="F46" i="172"/>
  <c r="F47" i="172" s="1"/>
  <c r="F48" i="172" s="1"/>
  <c r="X27" i="184"/>
  <c r="H22" i="177"/>
  <c r="Q22" i="177"/>
  <c r="Q7" i="177"/>
  <c r="H7" i="177"/>
  <c r="C6" i="184"/>
  <c r="X6" i="184" s="1"/>
  <c r="C6" i="161"/>
  <c r="X6" i="161" s="1"/>
  <c r="X32" i="184"/>
  <c r="Q6" i="177"/>
  <c r="G12" i="177"/>
  <c r="H6" i="177"/>
  <c r="H9" i="177"/>
  <c r="Q9" i="177"/>
  <c r="X21" i="184"/>
  <c r="G23" i="177"/>
  <c r="Q19" i="177"/>
  <c r="H19" i="177"/>
  <c r="V33" i="161"/>
  <c r="H16" i="177"/>
  <c r="Q16" i="177"/>
  <c r="H17" i="177"/>
  <c r="Q17" i="177"/>
  <c r="C32" i="184"/>
  <c r="D37" i="172"/>
  <c r="H21" i="177"/>
  <c r="Q21" i="177"/>
  <c r="H11" i="177"/>
  <c r="Q11" i="177"/>
  <c r="Q13" i="177"/>
  <c r="G18" i="177"/>
  <c r="H13" i="177"/>
  <c r="H20" i="177"/>
  <c r="Q20" i="177"/>
  <c r="C21" i="184"/>
  <c r="C37" i="172"/>
  <c r="Q14" i="177"/>
  <c r="H14" i="177"/>
  <c r="C27" i="184"/>
  <c r="H15" i="177"/>
  <c r="Q15" i="177"/>
  <c r="Q10" i="177"/>
  <c r="H10" i="177"/>
  <c r="X23" i="161"/>
  <c r="X27" i="161" s="1"/>
  <c r="T32" i="161"/>
  <c r="T33" i="161" s="1"/>
  <c r="X29" i="161"/>
  <c r="X32" i="161" s="1"/>
  <c r="D47" i="172"/>
  <c r="D48" i="172" s="1"/>
  <c r="D57" i="172"/>
  <c r="G31" i="172"/>
  <c r="H31" i="172" s="1"/>
  <c r="C44" i="172"/>
  <c r="C45" i="172"/>
  <c r="G36" i="172"/>
  <c r="H36" i="172" s="1"/>
  <c r="C43" i="172"/>
  <c r="G25" i="172"/>
  <c r="H25" i="172" s="1"/>
  <c r="F51" i="172"/>
  <c r="E37" i="172"/>
  <c r="Q23" i="188" l="1"/>
  <c r="H12" i="226"/>
  <c r="C33" i="222"/>
  <c r="Q23" i="226"/>
  <c r="Q24" i="226" s="1"/>
  <c r="H23" i="226"/>
  <c r="E33" i="222"/>
  <c r="Q18" i="226"/>
  <c r="Q12" i="226"/>
  <c r="E58" i="172"/>
  <c r="G24" i="226"/>
  <c r="H18" i="226"/>
  <c r="G24" i="204"/>
  <c r="H23" i="204"/>
  <c r="Q12" i="204"/>
  <c r="Q23" i="204"/>
  <c r="H12" i="204"/>
  <c r="H18" i="204"/>
  <c r="Q18" i="204"/>
  <c r="G27" i="190"/>
  <c r="G25" i="190"/>
  <c r="H27" i="190" s="1"/>
  <c r="I25" i="190"/>
  <c r="E47" i="172"/>
  <c r="E48" i="172" s="1"/>
  <c r="G24" i="188"/>
  <c r="Q12" i="188"/>
  <c r="H12" i="188"/>
  <c r="G37" i="172"/>
  <c r="H37" i="172" s="1"/>
  <c r="H18" i="188"/>
  <c r="Q18" i="188"/>
  <c r="C46" i="172"/>
  <c r="C47" i="172" s="1"/>
  <c r="C48" i="172" s="1"/>
  <c r="Q23" i="177"/>
  <c r="C33" i="184"/>
  <c r="X33" i="184"/>
  <c r="H12" i="177"/>
  <c r="H18" i="177"/>
  <c r="G24" i="177"/>
  <c r="Q18" i="177"/>
  <c r="H23" i="177"/>
  <c r="Q12" i="177"/>
  <c r="X33" i="161"/>
  <c r="G57" i="172"/>
  <c r="H57" i="172" s="1"/>
  <c r="I34" i="161"/>
  <c r="F71" i="171"/>
  <c r="E9" i="171"/>
  <c r="F9" i="171"/>
  <c r="E19" i="171"/>
  <c r="F19" i="171"/>
  <c r="E24" i="171"/>
  <c r="F24" i="171"/>
  <c r="L12" i="188" s="1"/>
  <c r="E29" i="171"/>
  <c r="F29" i="171"/>
  <c r="E33" i="171"/>
  <c r="F33" i="171"/>
  <c r="E40" i="171"/>
  <c r="F40" i="171"/>
  <c r="E54" i="171"/>
  <c r="F54" i="171"/>
  <c r="E68" i="171"/>
  <c r="F68" i="171"/>
  <c r="L23" i="188" s="1"/>
  <c r="J7" i="165"/>
  <c r="B18" i="170"/>
  <c r="C18" i="170"/>
  <c r="D18" i="170"/>
  <c r="C16" i="168"/>
  <c r="C19" i="168"/>
  <c r="H34" i="161" s="1"/>
  <c r="C25" i="168"/>
  <c r="G34" i="161" s="1"/>
  <c r="C41" i="168"/>
  <c r="C42" i="168" s="1"/>
  <c r="C50" i="168"/>
  <c r="D5" i="161"/>
  <c r="X5" i="161" s="1"/>
  <c r="H5" i="165"/>
  <c r="K5" i="165" s="1"/>
  <c r="H4" i="165"/>
  <c r="K4" i="165" s="1"/>
  <c r="G7" i="165"/>
  <c r="E11" i="167"/>
  <c r="E18" i="167"/>
  <c r="E22" i="167"/>
  <c r="E28" i="167"/>
  <c r="E32" i="167"/>
  <c r="E37" i="167"/>
  <c r="E42" i="167"/>
  <c r="E46" i="167"/>
  <c r="E54" i="167"/>
  <c r="E58" i="167"/>
  <c r="E63" i="167"/>
  <c r="E77" i="167"/>
  <c r="E82" i="167"/>
  <c r="E86" i="167"/>
  <c r="H24" i="204" l="1"/>
  <c r="H24" i="226"/>
  <c r="Q24" i="204"/>
  <c r="Q24" i="188"/>
  <c r="C57" i="172"/>
  <c r="C58" i="172" s="1"/>
  <c r="G46" i="172"/>
  <c r="H46" i="172" s="1"/>
  <c r="H24" i="188"/>
  <c r="M19" i="177"/>
  <c r="M23" i="188"/>
  <c r="I14" i="161"/>
  <c r="D31" i="160"/>
  <c r="M12" i="188"/>
  <c r="L18" i="188"/>
  <c r="L24" i="188" s="1"/>
  <c r="Q24" i="177"/>
  <c r="D33" i="160"/>
  <c r="L14" i="177"/>
  <c r="D37" i="160"/>
  <c r="D32" i="160"/>
  <c r="C26" i="168"/>
  <c r="C44" i="168" s="1"/>
  <c r="H24" i="177"/>
  <c r="M16" i="177"/>
  <c r="D28" i="160"/>
  <c r="L19" i="177"/>
  <c r="D27" i="160"/>
  <c r="L20" i="177"/>
  <c r="L16" i="177"/>
  <c r="F70" i="171"/>
  <c r="F72" i="171" s="1"/>
  <c r="D29" i="160"/>
  <c r="L6" i="177"/>
  <c r="L5" i="177"/>
  <c r="D26" i="160"/>
  <c r="I24" i="161"/>
  <c r="M15" i="177"/>
  <c r="I17" i="161"/>
  <c r="M8" i="177"/>
  <c r="D34" i="160"/>
  <c r="C37" i="160"/>
  <c r="M14" i="177"/>
  <c r="C39" i="160"/>
  <c r="D39" i="160"/>
  <c r="I15" i="161"/>
  <c r="M6" i="177"/>
  <c r="I29" i="161"/>
  <c r="M20" i="177"/>
  <c r="C38" i="160"/>
  <c r="D38" i="160"/>
  <c r="I22" i="161"/>
  <c r="M13" i="177"/>
  <c r="D36" i="160"/>
  <c r="I19" i="161"/>
  <c r="M10" i="177"/>
  <c r="I28" i="161"/>
  <c r="E88" i="167"/>
  <c r="I25" i="161"/>
  <c r="I23" i="161"/>
  <c r="I4" i="165"/>
  <c r="M18" i="188" l="1"/>
  <c r="M24" i="188" s="1"/>
  <c r="I21" i="161"/>
  <c r="I27" i="161"/>
  <c r="L18" i="177"/>
  <c r="L12" i="177"/>
  <c r="L23" i="177"/>
  <c r="I32" i="161"/>
  <c r="M18" i="177"/>
  <c r="M23" i="177"/>
  <c r="M12" i="177"/>
  <c r="I33" i="161" l="1"/>
  <c r="I35" i="161" s="1"/>
  <c r="L24" i="177"/>
  <c r="M24" i="177"/>
  <c r="E23" i="165"/>
  <c r="C21" i="160" s="1"/>
  <c r="D23" i="165"/>
  <c r="E14" i="165"/>
  <c r="D14" i="165"/>
  <c r="K44" i="163"/>
  <c r="E25" i="165" l="1"/>
  <c r="C19" i="160"/>
  <c r="H6" i="165"/>
  <c r="D25" i="165"/>
  <c r="H27" i="161"/>
  <c r="D8" i="161"/>
  <c r="H7" i="165" l="1"/>
  <c r="K6" i="165"/>
  <c r="K7" i="165" s="1"/>
  <c r="I6" i="165"/>
  <c r="I7" i="165" s="1"/>
  <c r="D19" i="160"/>
  <c r="D20" i="160" s="1"/>
  <c r="E20" i="160" s="1"/>
  <c r="F20" i="160" s="1"/>
  <c r="G20" i="160" s="1"/>
  <c r="H20" i="160" s="1"/>
  <c r="F8" i="161"/>
  <c r="X8" i="161"/>
  <c r="I19" i="160" l="1"/>
  <c r="I20" i="160" s="1"/>
  <c r="D12" i="164"/>
  <c r="C12" i="164"/>
  <c r="D10" i="164"/>
  <c r="N12" i="188" s="1"/>
  <c r="C10" i="164"/>
  <c r="D5" i="164"/>
  <c r="C5" i="164"/>
  <c r="J52" i="163"/>
  <c r="K47" i="163"/>
  <c r="S30" i="205" s="1"/>
  <c r="J47" i="163"/>
  <c r="R30" i="205" s="1"/>
  <c r="I47" i="163"/>
  <c r="Q30" i="205" s="1"/>
  <c r="H47" i="163"/>
  <c r="P30" i="205" s="1"/>
  <c r="G47" i="163"/>
  <c r="O30" i="205" s="1"/>
  <c r="F47" i="163"/>
  <c r="N30" i="205" s="1"/>
  <c r="E47" i="163"/>
  <c r="M30" i="205" s="1"/>
  <c r="D47" i="163"/>
  <c r="L30" i="205" s="1"/>
  <c r="C47" i="163"/>
  <c r="K30" i="205" s="1"/>
  <c r="B47" i="163"/>
  <c r="J30" i="205" s="1"/>
  <c r="K45" i="163"/>
  <c r="S31" i="205" s="1"/>
  <c r="J45" i="163"/>
  <c r="R31" i="205" s="1"/>
  <c r="I45" i="163"/>
  <c r="Q31" i="205" s="1"/>
  <c r="H45" i="163"/>
  <c r="P31" i="205" s="1"/>
  <c r="G45" i="163"/>
  <c r="O31" i="205" s="1"/>
  <c r="F45" i="163"/>
  <c r="N31" i="205" s="1"/>
  <c r="E45" i="163"/>
  <c r="M31" i="205" s="1"/>
  <c r="D45" i="163"/>
  <c r="C45" i="163"/>
  <c r="K31" i="205" s="1"/>
  <c r="B45" i="163"/>
  <c r="J31" i="205" s="1"/>
  <c r="K43" i="163"/>
  <c r="S28" i="205" s="1"/>
  <c r="J43" i="163"/>
  <c r="R28" i="205" s="1"/>
  <c r="I43" i="163"/>
  <c r="Q28" i="205" s="1"/>
  <c r="H43" i="163"/>
  <c r="P28" i="205" s="1"/>
  <c r="G43" i="163"/>
  <c r="O28" i="205" s="1"/>
  <c r="F43" i="163"/>
  <c r="N28" i="205" s="1"/>
  <c r="E43" i="163"/>
  <c r="M28" i="205" s="1"/>
  <c r="D43" i="163"/>
  <c r="L28" i="205" s="1"/>
  <c r="C43" i="163"/>
  <c r="K28" i="205" s="1"/>
  <c r="B43" i="163"/>
  <c r="J28" i="205" s="1"/>
  <c r="K40" i="163"/>
  <c r="S26" i="205" s="1"/>
  <c r="J40" i="163"/>
  <c r="R26" i="205" s="1"/>
  <c r="I40" i="163"/>
  <c r="Q26" i="205" s="1"/>
  <c r="H40" i="163"/>
  <c r="P26" i="205" s="1"/>
  <c r="G40" i="163"/>
  <c r="O26" i="205" s="1"/>
  <c r="F40" i="163"/>
  <c r="N26" i="205" s="1"/>
  <c r="E40" i="163"/>
  <c r="M26" i="205" s="1"/>
  <c r="D40" i="163"/>
  <c r="L26" i="205" s="1"/>
  <c r="C40" i="163"/>
  <c r="K26" i="205" s="1"/>
  <c r="B40" i="163"/>
  <c r="J26" i="205" s="1"/>
  <c r="G26" i="205" s="1"/>
  <c r="K34" i="163"/>
  <c r="S25" i="205" s="1"/>
  <c r="J34" i="163"/>
  <c r="R25" i="205" s="1"/>
  <c r="I34" i="163"/>
  <c r="Q25" i="205" s="1"/>
  <c r="H34" i="163"/>
  <c r="P25" i="205" s="1"/>
  <c r="G34" i="163"/>
  <c r="O25" i="205" s="1"/>
  <c r="F34" i="163"/>
  <c r="N25" i="205" s="1"/>
  <c r="E34" i="163"/>
  <c r="M25" i="205" s="1"/>
  <c r="D34" i="163"/>
  <c r="L25" i="205" s="1"/>
  <c r="C34" i="163"/>
  <c r="K25" i="205" s="1"/>
  <c r="B34" i="163"/>
  <c r="J25" i="205" s="1"/>
  <c r="K31" i="163"/>
  <c r="S24" i="205" s="1"/>
  <c r="J31" i="163"/>
  <c r="R24" i="205" s="1"/>
  <c r="I31" i="163"/>
  <c r="Q24" i="205" s="1"/>
  <c r="H31" i="163"/>
  <c r="P24" i="205" s="1"/>
  <c r="G31" i="163"/>
  <c r="O24" i="205" s="1"/>
  <c r="F31" i="163"/>
  <c r="N24" i="205" s="1"/>
  <c r="E31" i="163"/>
  <c r="M24" i="205" s="1"/>
  <c r="D31" i="163"/>
  <c r="L24" i="205" s="1"/>
  <c r="C31" i="163"/>
  <c r="K24" i="205" s="1"/>
  <c r="B31" i="163"/>
  <c r="J24" i="205" s="1"/>
  <c r="G24" i="205" s="1"/>
  <c r="K26" i="163"/>
  <c r="S23" i="205" s="1"/>
  <c r="J26" i="163"/>
  <c r="R23" i="205" s="1"/>
  <c r="I26" i="163"/>
  <c r="Q23" i="205" s="1"/>
  <c r="H26" i="163"/>
  <c r="P23" i="205" s="1"/>
  <c r="G26" i="163"/>
  <c r="O23" i="205" s="1"/>
  <c r="F26" i="163"/>
  <c r="N23" i="205" s="1"/>
  <c r="E26" i="163"/>
  <c r="M23" i="205" s="1"/>
  <c r="D26" i="163"/>
  <c r="L23" i="205" s="1"/>
  <c r="C26" i="163"/>
  <c r="K23" i="205" s="1"/>
  <c r="B26" i="163"/>
  <c r="J23" i="205" s="1"/>
  <c r="K24" i="163"/>
  <c r="S22" i="205" s="1"/>
  <c r="J24" i="163"/>
  <c r="R22" i="205" s="1"/>
  <c r="R27" i="205" s="1"/>
  <c r="I24" i="163"/>
  <c r="Q22" i="205" s="1"/>
  <c r="Q27" i="205" s="1"/>
  <c r="H24" i="163"/>
  <c r="P22" i="205" s="1"/>
  <c r="P27" i="205" s="1"/>
  <c r="G24" i="163"/>
  <c r="O22" i="205" s="1"/>
  <c r="O27" i="205" s="1"/>
  <c r="F24" i="163"/>
  <c r="N22" i="205" s="1"/>
  <c r="N27" i="205" s="1"/>
  <c r="E24" i="163"/>
  <c r="M22" i="205" s="1"/>
  <c r="D24" i="163"/>
  <c r="L22" i="205" s="1"/>
  <c r="C24" i="163"/>
  <c r="K22" i="205" s="1"/>
  <c r="K27" i="205" s="1"/>
  <c r="B24" i="163"/>
  <c r="K22" i="163"/>
  <c r="S18" i="205" s="1"/>
  <c r="J22" i="163"/>
  <c r="R18" i="205" s="1"/>
  <c r="I22" i="163"/>
  <c r="Q18" i="205" s="1"/>
  <c r="H22" i="163"/>
  <c r="P18" i="205" s="1"/>
  <c r="G22" i="163"/>
  <c r="O18" i="205" s="1"/>
  <c r="F22" i="163"/>
  <c r="N18" i="205" s="1"/>
  <c r="E22" i="163"/>
  <c r="M18" i="205" s="1"/>
  <c r="D22" i="163"/>
  <c r="L18" i="205" s="1"/>
  <c r="C22" i="163"/>
  <c r="K18" i="205" s="1"/>
  <c r="B22" i="163"/>
  <c r="J18" i="205" s="1"/>
  <c r="K20" i="163"/>
  <c r="S20" i="205" s="1"/>
  <c r="J20" i="163"/>
  <c r="R20" i="205" s="1"/>
  <c r="I20" i="163"/>
  <c r="Q20" i="205" s="1"/>
  <c r="H20" i="163"/>
  <c r="P20" i="205" s="1"/>
  <c r="G20" i="163"/>
  <c r="O20" i="205" s="1"/>
  <c r="F20" i="163"/>
  <c r="N20" i="205" s="1"/>
  <c r="E20" i="163"/>
  <c r="M20" i="205" s="1"/>
  <c r="D20" i="163"/>
  <c r="L20" i="205" s="1"/>
  <c r="C20" i="163"/>
  <c r="K20" i="205" s="1"/>
  <c r="B20" i="163"/>
  <c r="J20" i="205" s="1"/>
  <c r="K12" i="163"/>
  <c r="S19" i="205" s="1"/>
  <c r="J12" i="163"/>
  <c r="R19" i="205" s="1"/>
  <c r="I12" i="163"/>
  <c r="Q19" i="205" s="1"/>
  <c r="H12" i="163"/>
  <c r="P19" i="205" s="1"/>
  <c r="G12" i="163"/>
  <c r="O19" i="205" s="1"/>
  <c r="F12" i="163"/>
  <c r="N19" i="205" s="1"/>
  <c r="E12" i="163"/>
  <c r="M19" i="205" s="1"/>
  <c r="D12" i="163"/>
  <c r="L19" i="205" s="1"/>
  <c r="C12" i="163"/>
  <c r="B12" i="163"/>
  <c r="J19" i="205" s="1"/>
  <c r="K10" i="163"/>
  <c r="S17" i="205" s="1"/>
  <c r="J10" i="163"/>
  <c r="R17" i="205" s="1"/>
  <c r="I10" i="163"/>
  <c r="Q17" i="205" s="1"/>
  <c r="H10" i="163"/>
  <c r="P17" i="205" s="1"/>
  <c r="G10" i="163"/>
  <c r="O17" i="205" s="1"/>
  <c r="F10" i="163"/>
  <c r="N17" i="205" s="1"/>
  <c r="E10" i="163"/>
  <c r="M17" i="205" s="1"/>
  <c r="D10" i="163"/>
  <c r="L17" i="205" s="1"/>
  <c r="C10" i="163"/>
  <c r="K17" i="205" s="1"/>
  <c r="B10" i="163"/>
  <c r="J17" i="205" s="1"/>
  <c r="G17" i="205" s="1"/>
  <c r="K8" i="163"/>
  <c r="S16" i="205" s="1"/>
  <c r="J8" i="163"/>
  <c r="R16" i="205" s="1"/>
  <c r="I8" i="163"/>
  <c r="Q16" i="205" s="1"/>
  <c r="H8" i="163"/>
  <c r="P16" i="205" s="1"/>
  <c r="G8" i="163"/>
  <c r="O16" i="205" s="1"/>
  <c r="F8" i="163"/>
  <c r="N16" i="205" s="1"/>
  <c r="E8" i="163"/>
  <c r="M16" i="205" s="1"/>
  <c r="D8" i="163"/>
  <c r="L16" i="205" s="1"/>
  <c r="C8" i="163"/>
  <c r="K16" i="205" s="1"/>
  <c r="B8" i="163"/>
  <c r="J16" i="205" s="1"/>
  <c r="K6" i="163"/>
  <c r="S15" i="205" s="1"/>
  <c r="J6" i="163"/>
  <c r="R15" i="205" s="1"/>
  <c r="I6" i="163"/>
  <c r="Q15" i="205" s="1"/>
  <c r="Q21" i="205" s="1"/>
  <c r="H6" i="163"/>
  <c r="P15" i="205" s="1"/>
  <c r="G6" i="163"/>
  <c r="O15" i="205" s="1"/>
  <c r="F6" i="163"/>
  <c r="N15" i="205" s="1"/>
  <c r="E6" i="163"/>
  <c r="M15" i="205" s="1"/>
  <c r="D6" i="163"/>
  <c r="L15" i="205" s="1"/>
  <c r="C6" i="163"/>
  <c r="K15" i="205" s="1"/>
  <c r="B6" i="163"/>
  <c r="J15" i="205" s="1"/>
  <c r="K4" i="163"/>
  <c r="S29" i="205" s="1"/>
  <c r="J4" i="163"/>
  <c r="R29" i="205" s="1"/>
  <c r="I4" i="163"/>
  <c r="Q29" i="205" s="1"/>
  <c r="H4" i="163"/>
  <c r="P29" i="205" s="1"/>
  <c r="G4" i="163"/>
  <c r="O29" i="205" s="1"/>
  <c r="F4" i="163"/>
  <c r="N29" i="205" s="1"/>
  <c r="E4" i="163"/>
  <c r="M29" i="205" s="1"/>
  <c r="D4" i="163"/>
  <c r="L29" i="205" s="1"/>
  <c r="C4" i="163"/>
  <c r="K29" i="205" s="1"/>
  <c r="B4" i="163"/>
  <c r="J29" i="205" s="1"/>
  <c r="K2" i="163"/>
  <c r="J2" i="163"/>
  <c r="R14" i="205" s="1"/>
  <c r="I2" i="163"/>
  <c r="Q14" i="205" s="1"/>
  <c r="H2" i="163"/>
  <c r="P14" i="205" s="1"/>
  <c r="G2" i="163"/>
  <c r="O14" i="205" s="1"/>
  <c r="F2" i="163"/>
  <c r="E2" i="163"/>
  <c r="D2" i="163"/>
  <c r="C2" i="163"/>
  <c r="B2" i="163"/>
  <c r="J14" i="205" s="1"/>
  <c r="C32" i="161"/>
  <c r="C27" i="161"/>
  <c r="C21" i="161"/>
  <c r="F17" i="205" l="1"/>
  <c r="D17" i="205"/>
  <c r="E17" i="205" s="1"/>
  <c r="J22" i="184"/>
  <c r="J22" i="205"/>
  <c r="D26" i="205"/>
  <c r="E26" i="205" s="1"/>
  <c r="F26" i="205"/>
  <c r="P32" i="205"/>
  <c r="P33" i="205" s="1"/>
  <c r="J21" i="205"/>
  <c r="G15" i="205"/>
  <c r="L21" i="205"/>
  <c r="S14" i="184"/>
  <c r="S14" i="205"/>
  <c r="S33" i="205" s="1"/>
  <c r="Q32" i="205"/>
  <c r="Q33" i="205" s="1"/>
  <c r="L14" i="184"/>
  <c r="L14" i="205"/>
  <c r="P21" i="205"/>
  <c r="G23" i="205"/>
  <c r="J32" i="205"/>
  <c r="G28" i="205"/>
  <c r="R32" i="205"/>
  <c r="G16" i="205"/>
  <c r="N21" i="205"/>
  <c r="K14" i="184"/>
  <c r="K14" i="205"/>
  <c r="G14" i="205" s="1"/>
  <c r="G29" i="205"/>
  <c r="M14" i="184"/>
  <c r="M14" i="205"/>
  <c r="O21" i="205"/>
  <c r="O33" i="205" s="1"/>
  <c r="K19" i="184"/>
  <c r="K19" i="205"/>
  <c r="K21" i="205" s="1"/>
  <c r="S27" i="205"/>
  <c r="K32" i="205"/>
  <c r="S32" i="205"/>
  <c r="G20" i="205"/>
  <c r="L27" i="205"/>
  <c r="F24" i="205"/>
  <c r="D24" i="205"/>
  <c r="E24" i="205" s="1"/>
  <c r="L32" i="205"/>
  <c r="G31" i="205"/>
  <c r="N14" i="184"/>
  <c r="N14" i="205"/>
  <c r="R21" i="205"/>
  <c r="R33" i="205" s="1"/>
  <c r="S21" i="205"/>
  <c r="M27" i="205"/>
  <c r="M32" i="205"/>
  <c r="G18" i="205"/>
  <c r="G25" i="205"/>
  <c r="N32" i="205"/>
  <c r="L31" i="184"/>
  <c r="L31" i="205"/>
  <c r="G30" i="205"/>
  <c r="M21" i="205"/>
  <c r="O32" i="205"/>
  <c r="N23" i="188"/>
  <c r="N24" i="188" s="1"/>
  <c r="L16" i="161"/>
  <c r="L16" i="184"/>
  <c r="N24" i="161"/>
  <c r="N24" i="184"/>
  <c r="Q29" i="161"/>
  <c r="Q29" i="184"/>
  <c r="O15" i="161"/>
  <c r="O15" i="184"/>
  <c r="M16" i="161"/>
  <c r="M16" i="184"/>
  <c r="K17" i="161"/>
  <c r="K17" i="184"/>
  <c r="S17" i="161"/>
  <c r="S17" i="184"/>
  <c r="Q19" i="161"/>
  <c r="Q19" i="184"/>
  <c r="O20" i="161"/>
  <c r="O20" i="184"/>
  <c r="M18" i="161"/>
  <c r="M18" i="184"/>
  <c r="K22" i="161"/>
  <c r="K22" i="184"/>
  <c r="S22" i="161"/>
  <c r="S22" i="184"/>
  <c r="Q23" i="161"/>
  <c r="Q23" i="184"/>
  <c r="O24" i="161"/>
  <c r="O24" i="184"/>
  <c r="M25" i="161"/>
  <c r="M25" i="184"/>
  <c r="K26" i="161"/>
  <c r="K26" i="184"/>
  <c r="S26" i="161"/>
  <c r="S26" i="184"/>
  <c r="Q28" i="161"/>
  <c r="Q28" i="184"/>
  <c r="O31" i="161"/>
  <c r="O31" i="184"/>
  <c r="M30" i="161"/>
  <c r="M30" i="184"/>
  <c r="J29" i="161"/>
  <c r="J29" i="184"/>
  <c r="R29" i="161"/>
  <c r="R29" i="184"/>
  <c r="P15" i="161"/>
  <c r="P15" i="184"/>
  <c r="N16" i="161"/>
  <c r="N16" i="184"/>
  <c r="L17" i="161"/>
  <c r="L17" i="184"/>
  <c r="J19" i="161"/>
  <c r="J19" i="184"/>
  <c r="R19" i="161"/>
  <c r="R19" i="184"/>
  <c r="P20" i="161"/>
  <c r="P20" i="184"/>
  <c r="N18" i="161"/>
  <c r="N18" i="184"/>
  <c r="L22" i="161"/>
  <c r="L22" i="184"/>
  <c r="J23" i="161"/>
  <c r="J23" i="184"/>
  <c r="R23" i="161"/>
  <c r="R23" i="184"/>
  <c r="P24" i="161"/>
  <c r="P24" i="184"/>
  <c r="N25" i="161"/>
  <c r="N25" i="184"/>
  <c r="L26" i="161"/>
  <c r="L26" i="184"/>
  <c r="J28" i="161"/>
  <c r="J28" i="184"/>
  <c r="R28" i="161"/>
  <c r="R28" i="184"/>
  <c r="P31" i="161"/>
  <c r="P31" i="184"/>
  <c r="N30" i="161"/>
  <c r="N30" i="184"/>
  <c r="H29" i="161"/>
  <c r="N20" i="177"/>
  <c r="R14" i="161"/>
  <c r="R14" i="184"/>
  <c r="P28" i="161"/>
  <c r="P28" i="184"/>
  <c r="S29" i="161"/>
  <c r="S29" i="184"/>
  <c r="S19" i="161"/>
  <c r="S19" i="184"/>
  <c r="Q20" i="161"/>
  <c r="Q20" i="184"/>
  <c r="O18" i="161"/>
  <c r="O18" i="184"/>
  <c r="M22" i="161"/>
  <c r="M22" i="184"/>
  <c r="K23" i="161"/>
  <c r="K23" i="184"/>
  <c r="S23" i="161"/>
  <c r="S23" i="184"/>
  <c r="Q24" i="161"/>
  <c r="Q24" i="184"/>
  <c r="O25" i="161"/>
  <c r="O25" i="184"/>
  <c r="M26" i="161"/>
  <c r="M26" i="184"/>
  <c r="K28" i="161"/>
  <c r="K28" i="184"/>
  <c r="S28" i="161"/>
  <c r="S28" i="184"/>
  <c r="Q31" i="161"/>
  <c r="Q31" i="184"/>
  <c r="O30" i="161"/>
  <c r="O30" i="184"/>
  <c r="J14" i="161"/>
  <c r="J14" i="184"/>
  <c r="N15" i="161"/>
  <c r="N15" i="184"/>
  <c r="P19" i="161"/>
  <c r="P19" i="184"/>
  <c r="L18" i="161"/>
  <c r="L18" i="184"/>
  <c r="P23" i="161"/>
  <c r="P23" i="184"/>
  <c r="J26" i="161"/>
  <c r="J26" i="184"/>
  <c r="L30" i="161"/>
  <c r="L30" i="184"/>
  <c r="Q15" i="161"/>
  <c r="Q15" i="184"/>
  <c r="R15" i="161"/>
  <c r="R15" i="184"/>
  <c r="N22" i="161"/>
  <c r="N22" i="184"/>
  <c r="H15" i="161"/>
  <c r="H21" i="161" s="1"/>
  <c r="N6" i="177"/>
  <c r="N12" i="177" s="1"/>
  <c r="O14" i="161"/>
  <c r="O14" i="184"/>
  <c r="M29" i="161"/>
  <c r="M29" i="184"/>
  <c r="K15" i="161"/>
  <c r="K15" i="184"/>
  <c r="S15" i="161"/>
  <c r="S15" i="184"/>
  <c r="Q16" i="161"/>
  <c r="Q16" i="184"/>
  <c r="O17" i="161"/>
  <c r="O17" i="184"/>
  <c r="M19" i="161"/>
  <c r="M19" i="184"/>
  <c r="K20" i="161"/>
  <c r="K20" i="184"/>
  <c r="S20" i="161"/>
  <c r="S20" i="184"/>
  <c r="Q18" i="161"/>
  <c r="Q18" i="184"/>
  <c r="O22" i="161"/>
  <c r="O22" i="184"/>
  <c r="M23" i="161"/>
  <c r="M23" i="184"/>
  <c r="K24" i="161"/>
  <c r="K24" i="184"/>
  <c r="S24" i="161"/>
  <c r="S24" i="184"/>
  <c r="Q25" i="161"/>
  <c r="Q25" i="184"/>
  <c r="O26" i="161"/>
  <c r="O26" i="184"/>
  <c r="M28" i="161"/>
  <c r="M28" i="184"/>
  <c r="K31" i="161"/>
  <c r="K31" i="184"/>
  <c r="S31" i="161"/>
  <c r="S31" i="184"/>
  <c r="Q30" i="161"/>
  <c r="Q30" i="184"/>
  <c r="C13" i="164"/>
  <c r="R17" i="161"/>
  <c r="R17" i="184"/>
  <c r="N31" i="161"/>
  <c r="N31" i="184"/>
  <c r="K29" i="161"/>
  <c r="K29" i="184"/>
  <c r="O16" i="161"/>
  <c r="O16" i="184"/>
  <c r="L29" i="161"/>
  <c r="L29" i="184"/>
  <c r="J15" i="161"/>
  <c r="J15" i="184"/>
  <c r="P16" i="161"/>
  <c r="P16" i="184"/>
  <c r="N17" i="161"/>
  <c r="N17" i="184"/>
  <c r="L19" i="161"/>
  <c r="L19" i="184"/>
  <c r="J20" i="161"/>
  <c r="J20" i="184"/>
  <c r="R20" i="161"/>
  <c r="R20" i="184"/>
  <c r="P18" i="161"/>
  <c r="P18" i="184"/>
  <c r="L23" i="161"/>
  <c r="L23" i="184"/>
  <c r="J24" i="161"/>
  <c r="J24" i="184"/>
  <c r="R24" i="161"/>
  <c r="R24" i="184"/>
  <c r="P25" i="161"/>
  <c r="P25" i="184"/>
  <c r="N26" i="161"/>
  <c r="N26" i="184"/>
  <c r="L28" i="161"/>
  <c r="L28" i="184"/>
  <c r="J31" i="161"/>
  <c r="J31" i="184"/>
  <c r="R31" i="161"/>
  <c r="R31" i="184"/>
  <c r="P30" i="161"/>
  <c r="P30" i="184"/>
  <c r="P14" i="161"/>
  <c r="P14" i="184"/>
  <c r="N29" i="161"/>
  <c r="N29" i="184"/>
  <c r="L15" i="161"/>
  <c r="L15" i="184"/>
  <c r="J16" i="161"/>
  <c r="J16" i="184"/>
  <c r="R16" i="161"/>
  <c r="R16" i="184"/>
  <c r="P17" i="161"/>
  <c r="P17" i="184"/>
  <c r="N19" i="161"/>
  <c r="N19" i="184"/>
  <c r="L20" i="161"/>
  <c r="L20" i="184"/>
  <c r="J18" i="161"/>
  <c r="J18" i="184"/>
  <c r="R18" i="161"/>
  <c r="R18" i="184"/>
  <c r="P22" i="161"/>
  <c r="P22" i="184"/>
  <c r="N23" i="161"/>
  <c r="N23" i="184"/>
  <c r="L24" i="161"/>
  <c r="L24" i="184"/>
  <c r="J25" i="161"/>
  <c r="J25" i="184"/>
  <c r="R25" i="161"/>
  <c r="R25" i="184"/>
  <c r="P26" i="161"/>
  <c r="P26" i="184"/>
  <c r="N28" i="161"/>
  <c r="N28" i="184"/>
  <c r="J30" i="161"/>
  <c r="J30" i="184"/>
  <c r="R30" i="161"/>
  <c r="R30" i="184"/>
  <c r="H28" i="161"/>
  <c r="N19" i="177"/>
  <c r="P29" i="161"/>
  <c r="P29" i="184"/>
  <c r="J17" i="161"/>
  <c r="J17" i="184"/>
  <c r="N20" i="161"/>
  <c r="N20" i="184"/>
  <c r="R22" i="161"/>
  <c r="R22" i="184"/>
  <c r="L25" i="161"/>
  <c r="L25" i="184"/>
  <c r="R26" i="161"/>
  <c r="R26" i="184"/>
  <c r="M17" i="161"/>
  <c r="M17" i="184"/>
  <c r="Q14" i="161"/>
  <c r="Q14" i="184"/>
  <c r="O29" i="161"/>
  <c r="O29" i="184"/>
  <c r="M15" i="161"/>
  <c r="M15" i="184"/>
  <c r="K16" i="161"/>
  <c r="K16" i="184"/>
  <c r="S16" i="161"/>
  <c r="S16" i="184"/>
  <c r="Q17" i="161"/>
  <c r="Q17" i="184"/>
  <c r="O19" i="161"/>
  <c r="O19" i="184"/>
  <c r="M20" i="161"/>
  <c r="M20" i="184"/>
  <c r="K18" i="161"/>
  <c r="K18" i="184"/>
  <c r="S18" i="161"/>
  <c r="S18" i="184"/>
  <c r="Q22" i="161"/>
  <c r="Q22" i="184"/>
  <c r="O23" i="161"/>
  <c r="O23" i="184"/>
  <c r="M24" i="161"/>
  <c r="M24" i="184"/>
  <c r="K25" i="161"/>
  <c r="K25" i="184"/>
  <c r="S25" i="161"/>
  <c r="S25" i="184"/>
  <c r="Q26" i="161"/>
  <c r="Q26" i="184"/>
  <c r="O28" i="161"/>
  <c r="O28" i="184"/>
  <c r="M31" i="161"/>
  <c r="M31" i="184"/>
  <c r="K30" i="161"/>
  <c r="K30" i="184"/>
  <c r="S30" i="161"/>
  <c r="S30" i="184"/>
  <c r="D13" i="164"/>
  <c r="C49" i="163"/>
  <c r="D49" i="163"/>
  <c r="L26" i="163"/>
  <c r="E49" i="163"/>
  <c r="L12" i="163"/>
  <c r="K19" i="161"/>
  <c r="F49" i="163"/>
  <c r="L31" i="163"/>
  <c r="L43" i="163"/>
  <c r="L6" i="163"/>
  <c r="G49" i="163"/>
  <c r="N14" i="161"/>
  <c r="K49" i="163"/>
  <c r="H49" i="163"/>
  <c r="L20" i="163"/>
  <c r="L45" i="163"/>
  <c r="M14" i="161"/>
  <c r="I49" i="163"/>
  <c r="L22" i="163"/>
  <c r="L47" i="163"/>
  <c r="L14" i="161"/>
  <c r="L4" i="163"/>
  <c r="L2" i="163"/>
  <c r="J49" i="163"/>
  <c r="L8" i="163"/>
  <c r="L10" i="163"/>
  <c r="L24" i="163"/>
  <c r="L34" i="163"/>
  <c r="L40" i="163"/>
  <c r="J22" i="161"/>
  <c r="L31" i="161"/>
  <c r="S14" i="161"/>
  <c r="K14" i="161"/>
  <c r="B49" i="163"/>
  <c r="C33" i="161"/>
  <c r="D14" i="205" l="1"/>
  <c r="E14" i="205" s="1"/>
  <c r="F14" i="205"/>
  <c r="F20" i="205"/>
  <c r="D20" i="205"/>
  <c r="E20" i="205" s="1"/>
  <c r="D25" i="205"/>
  <c r="E25" i="205" s="1"/>
  <c r="F25" i="205"/>
  <c r="F29" i="205"/>
  <c r="D29" i="205"/>
  <c r="E29" i="205" s="1"/>
  <c r="D28" i="205"/>
  <c r="F28" i="205"/>
  <c r="G32" i="205"/>
  <c r="K33" i="205"/>
  <c r="F18" i="205"/>
  <c r="D18" i="205"/>
  <c r="E18" i="205" s="1"/>
  <c r="R32" i="161"/>
  <c r="M33" i="205"/>
  <c r="F31" i="205"/>
  <c r="D31" i="205"/>
  <c r="E31" i="205" s="1"/>
  <c r="F23" i="205"/>
  <c r="D23" i="205"/>
  <c r="E23" i="205" s="1"/>
  <c r="J27" i="205"/>
  <c r="J33" i="205" s="1"/>
  <c r="G22" i="205"/>
  <c r="N33" i="205"/>
  <c r="G19" i="205"/>
  <c r="G21" i="205" s="1"/>
  <c r="F30" i="205"/>
  <c r="D30" i="205"/>
  <c r="E30" i="205" s="1"/>
  <c r="D16" i="205"/>
  <c r="E16" i="205" s="1"/>
  <c r="F16" i="205"/>
  <c r="L33" i="205"/>
  <c r="D15" i="205"/>
  <c r="F15" i="205"/>
  <c r="Q32" i="161"/>
  <c r="Q32" i="184"/>
  <c r="H32" i="161"/>
  <c r="O32" i="161"/>
  <c r="P32" i="161"/>
  <c r="L27" i="161"/>
  <c r="G29" i="161"/>
  <c r="F29" i="161" s="1"/>
  <c r="N23" i="177"/>
  <c r="N24" i="177" s="1"/>
  <c r="J32" i="161"/>
  <c r="N27" i="161"/>
  <c r="P27" i="161"/>
  <c r="L21" i="161"/>
  <c r="M32" i="161"/>
  <c r="G23" i="161"/>
  <c r="F23" i="161" s="1"/>
  <c r="N21" i="161"/>
  <c r="S27" i="161"/>
  <c r="O21" i="161"/>
  <c r="M21" i="184"/>
  <c r="G17" i="184"/>
  <c r="G31" i="184"/>
  <c r="J22" i="188" s="1"/>
  <c r="G20" i="161"/>
  <c r="S21" i="161"/>
  <c r="O27" i="161"/>
  <c r="M27" i="161"/>
  <c r="S32" i="161"/>
  <c r="G28" i="161"/>
  <c r="Q21" i="161"/>
  <c r="Q27" i="161"/>
  <c r="G15" i="161"/>
  <c r="G17" i="161"/>
  <c r="F17" i="161" s="1"/>
  <c r="G30" i="161"/>
  <c r="D30" i="161" s="1"/>
  <c r="E30" i="161" s="1"/>
  <c r="G25" i="161"/>
  <c r="R21" i="161"/>
  <c r="N32" i="161"/>
  <c r="G24" i="161"/>
  <c r="G16" i="161"/>
  <c r="K32" i="161"/>
  <c r="G22" i="161"/>
  <c r="F22" i="161" s="1"/>
  <c r="K27" i="161"/>
  <c r="R27" i="161"/>
  <c r="G26" i="161"/>
  <c r="S21" i="184"/>
  <c r="L32" i="161"/>
  <c r="O32" i="184"/>
  <c r="N32" i="184"/>
  <c r="G18" i="184"/>
  <c r="J9" i="188" s="1"/>
  <c r="L32" i="184"/>
  <c r="G24" i="184"/>
  <c r="J15" i="188" s="1"/>
  <c r="G20" i="184"/>
  <c r="J11" i="188" s="1"/>
  <c r="G15" i="184"/>
  <c r="J6" i="188" s="1"/>
  <c r="Q27" i="184"/>
  <c r="O27" i="184"/>
  <c r="K21" i="184"/>
  <c r="N27" i="184"/>
  <c r="G26" i="184"/>
  <c r="J17" i="188" s="1"/>
  <c r="S32" i="184"/>
  <c r="P32" i="184"/>
  <c r="G23" i="184"/>
  <c r="J14" i="188" s="1"/>
  <c r="R21" i="184"/>
  <c r="P21" i="184"/>
  <c r="K27" i="184"/>
  <c r="J32" i="184"/>
  <c r="G28" i="184"/>
  <c r="J19" i="188" s="1"/>
  <c r="K21" i="161"/>
  <c r="M21" i="161"/>
  <c r="J21" i="161"/>
  <c r="P21" i="161"/>
  <c r="G30" i="184"/>
  <c r="S27" i="184"/>
  <c r="G18" i="161"/>
  <c r="R27" i="184"/>
  <c r="M32" i="184"/>
  <c r="G14" i="184"/>
  <c r="J5" i="188" s="1"/>
  <c r="L27" i="184"/>
  <c r="J27" i="184"/>
  <c r="O21" i="184"/>
  <c r="P27" i="184"/>
  <c r="N21" i="184"/>
  <c r="L21" i="184"/>
  <c r="Q21" i="184"/>
  <c r="Q33" i="184" s="1"/>
  <c r="R32" i="184"/>
  <c r="G29" i="184"/>
  <c r="J20" i="188" s="1"/>
  <c r="G25" i="184"/>
  <c r="J16" i="188" s="1"/>
  <c r="M27" i="184"/>
  <c r="G16" i="184"/>
  <c r="J7" i="188" s="1"/>
  <c r="K32" i="184"/>
  <c r="G22" i="184"/>
  <c r="J13" i="188" s="1"/>
  <c r="J21" i="184"/>
  <c r="G19" i="184"/>
  <c r="J10" i="188" s="1"/>
  <c r="F16" i="161"/>
  <c r="D16" i="161"/>
  <c r="E16" i="161" s="1"/>
  <c r="F24" i="161"/>
  <c r="D17" i="161"/>
  <c r="E17" i="161" s="1"/>
  <c r="D23" i="161"/>
  <c r="E23" i="161" s="1"/>
  <c r="D29" i="161"/>
  <c r="E29" i="161" s="1"/>
  <c r="G14" i="161"/>
  <c r="G31" i="161"/>
  <c r="G19" i="161"/>
  <c r="J27" i="161"/>
  <c r="H33" i="161"/>
  <c r="H35" i="161" s="1"/>
  <c r="L49" i="163"/>
  <c r="I41" i="160"/>
  <c r="I40" i="160"/>
  <c r="D23" i="160"/>
  <c r="E42" i="160" s="1"/>
  <c r="I22" i="160"/>
  <c r="I21" i="160"/>
  <c r="I18" i="160"/>
  <c r="I17" i="160"/>
  <c r="G5" i="147"/>
  <c r="I5" i="147"/>
  <c r="G25" i="159"/>
  <c r="D27" i="159"/>
  <c r="E27" i="159"/>
  <c r="F27" i="159"/>
  <c r="I21" i="147"/>
  <c r="I22" i="147"/>
  <c r="O79" i="155"/>
  <c r="C17" i="159" s="1"/>
  <c r="O85" i="155"/>
  <c r="D36" i="157" s="1"/>
  <c r="E30" i="150"/>
  <c r="G6" i="152"/>
  <c r="F6" i="152"/>
  <c r="I8" i="147" s="1"/>
  <c r="N127" i="155"/>
  <c r="I128" i="155"/>
  <c r="J128" i="155"/>
  <c r="K128" i="155"/>
  <c r="M128" i="155"/>
  <c r="O128" i="155"/>
  <c r="C26" i="159" s="1"/>
  <c r="G26" i="159" s="1"/>
  <c r="P128" i="155"/>
  <c r="Q128" i="155"/>
  <c r="R128" i="155"/>
  <c r="S128" i="155"/>
  <c r="H128" i="155"/>
  <c r="F22" i="205" l="1"/>
  <c r="F27" i="205" s="1"/>
  <c r="D22" i="205"/>
  <c r="G27" i="205"/>
  <c r="G33" i="205" s="1"/>
  <c r="G35" i="205" s="1"/>
  <c r="D21" i="205"/>
  <c r="E15" i="205"/>
  <c r="E21" i="205" s="1"/>
  <c r="F32" i="205"/>
  <c r="D32" i="205"/>
  <c r="E28" i="205"/>
  <c r="E32" i="205" s="1"/>
  <c r="D19" i="205"/>
  <c r="E19" i="205" s="1"/>
  <c r="F19" i="205"/>
  <c r="F21" i="205" s="1"/>
  <c r="D31" i="184"/>
  <c r="E31" i="184" s="1"/>
  <c r="F31" i="184"/>
  <c r="L33" i="161"/>
  <c r="Q33" i="161"/>
  <c r="F17" i="184"/>
  <c r="J8" i="188"/>
  <c r="O8" i="188" s="1"/>
  <c r="J15" i="177"/>
  <c r="O15" i="177" s="1"/>
  <c r="O15" i="188"/>
  <c r="J22" i="177"/>
  <c r="O22" i="177" s="1"/>
  <c r="P22" i="177" s="1"/>
  <c r="O22" i="188"/>
  <c r="P22" i="188" s="1"/>
  <c r="J9" i="177"/>
  <c r="O9" i="177" s="1"/>
  <c r="O9" i="188"/>
  <c r="C37" i="190" s="1"/>
  <c r="I37" i="190" s="1"/>
  <c r="J17" i="177"/>
  <c r="O17" i="177" s="1"/>
  <c r="P17" i="177" s="1"/>
  <c r="O17" i="188"/>
  <c r="P17" i="188" s="1"/>
  <c r="D24" i="161"/>
  <c r="E24" i="161" s="1"/>
  <c r="D17" i="184"/>
  <c r="E17" i="184" s="1"/>
  <c r="J16" i="177"/>
  <c r="O16" i="177" s="1"/>
  <c r="P16" i="177" s="1"/>
  <c r="O16" i="188"/>
  <c r="M33" i="161"/>
  <c r="J10" i="177"/>
  <c r="O10" i="177" s="1"/>
  <c r="O10" i="188"/>
  <c r="J5" i="177"/>
  <c r="O5" i="177" s="1"/>
  <c r="P5" i="177" s="1"/>
  <c r="O5" i="188"/>
  <c r="O33" i="161"/>
  <c r="J20" i="177"/>
  <c r="O20" i="177" s="1"/>
  <c r="P20" i="177" s="1"/>
  <c r="O20" i="188"/>
  <c r="J19" i="177"/>
  <c r="O19" i="177" s="1"/>
  <c r="P33" i="161"/>
  <c r="J13" i="177"/>
  <c r="O13" i="177" s="1"/>
  <c r="P13" i="177" s="1"/>
  <c r="O13" i="188"/>
  <c r="C38" i="190" s="1"/>
  <c r="J8" i="177"/>
  <c r="O8" i="177" s="1"/>
  <c r="J14" i="177"/>
  <c r="O14" i="177" s="1"/>
  <c r="P14" i="177" s="1"/>
  <c r="J6" i="177"/>
  <c r="O6" i="177" s="1"/>
  <c r="J11" i="177"/>
  <c r="O11" i="177" s="1"/>
  <c r="P11" i="177" s="1"/>
  <c r="O11" i="188"/>
  <c r="P11" i="188" s="1"/>
  <c r="J7" i="177"/>
  <c r="O7" i="177" s="1"/>
  <c r="O7" i="188"/>
  <c r="K33" i="161"/>
  <c r="M33" i="184"/>
  <c r="N33" i="161"/>
  <c r="D25" i="161"/>
  <c r="E25" i="161" s="1"/>
  <c r="F20" i="161"/>
  <c r="D20" i="161"/>
  <c r="E20" i="161" s="1"/>
  <c r="R33" i="161"/>
  <c r="S33" i="161"/>
  <c r="S33" i="184"/>
  <c r="F28" i="161"/>
  <c r="R33" i="184"/>
  <c r="D28" i="161"/>
  <c r="E28" i="161" s="1"/>
  <c r="D22" i="161"/>
  <c r="E22" i="161" s="1"/>
  <c r="F25" i="161"/>
  <c r="C18" i="159"/>
  <c r="D26" i="161"/>
  <c r="E26" i="161" s="1"/>
  <c r="J33" i="161"/>
  <c r="J33" i="184"/>
  <c r="L33" i="184"/>
  <c r="F30" i="161"/>
  <c r="F15" i="161"/>
  <c r="P33" i="184"/>
  <c r="F26" i="161"/>
  <c r="F27" i="161" s="1"/>
  <c r="N33" i="184"/>
  <c r="G27" i="161"/>
  <c r="D15" i="161"/>
  <c r="E15" i="161" s="1"/>
  <c r="O33" i="184"/>
  <c r="D26" i="184"/>
  <c r="E26" i="184" s="1"/>
  <c r="F26" i="184"/>
  <c r="D40" i="157"/>
  <c r="G27" i="184"/>
  <c r="D22" i="184"/>
  <c r="F22" i="184"/>
  <c r="F16" i="184"/>
  <c r="D16" i="184"/>
  <c r="E16" i="184" s="1"/>
  <c r="F14" i="184"/>
  <c r="D14" i="184"/>
  <c r="D18" i="184"/>
  <c r="E18" i="184" s="1"/>
  <c r="F18" i="184"/>
  <c r="K33" i="184"/>
  <c r="F25" i="184"/>
  <c r="D25" i="184"/>
  <c r="E25" i="184" s="1"/>
  <c r="D23" i="184"/>
  <c r="E23" i="184" s="1"/>
  <c r="F23" i="184"/>
  <c r="D15" i="184"/>
  <c r="F15" i="184"/>
  <c r="G21" i="184"/>
  <c r="D30" i="184"/>
  <c r="E30" i="184" s="1"/>
  <c r="F30" i="184"/>
  <c r="D18" i="161"/>
  <c r="E18" i="161" s="1"/>
  <c r="F29" i="184"/>
  <c r="D29" i="184"/>
  <c r="E29" i="184" s="1"/>
  <c r="D20" i="184"/>
  <c r="E20" i="184" s="1"/>
  <c r="F20" i="184"/>
  <c r="F18" i="161"/>
  <c r="F19" i="184"/>
  <c r="D19" i="184"/>
  <c r="E19" i="184" s="1"/>
  <c r="D28" i="184"/>
  <c r="F28" i="184"/>
  <c r="G32" i="184"/>
  <c r="F24" i="184"/>
  <c r="D24" i="184"/>
  <c r="E24" i="184" s="1"/>
  <c r="P10" i="177"/>
  <c r="C31" i="160"/>
  <c r="I31" i="160" s="1"/>
  <c r="G32" i="161"/>
  <c r="C29" i="160"/>
  <c r="I29" i="160" s="1"/>
  <c r="C28" i="160"/>
  <c r="I28" i="160" s="1"/>
  <c r="P19" i="177"/>
  <c r="D19" i="161"/>
  <c r="E19" i="161" s="1"/>
  <c r="F19" i="161"/>
  <c r="D31" i="161"/>
  <c r="F31" i="161"/>
  <c r="F14" i="161"/>
  <c r="D14" i="161"/>
  <c r="E14" i="161" s="1"/>
  <c r="G21" i="161"/>
  <c r="D25" i="160"/>
  <c r="I37" i="160"/>
  <c r="I38" i="160"/>
  <c r="E23" i="160"/>
  <c r="F42" i="160" s="1"/>
  <c r="C27" i="159"/>
  <c r="G27" i="159"/>
  <c r="C17" i="157"/>
  <c r="I17" i="157" s="1"/>
  <c r="J28" i="158"/>
  <c r="I28" i="158"/>
  <c r="K27" i="158"/>
  <c r="K28" i="158" s="1"/>
  <c r="J25" i="158"/>
  <c r="I25" i="158"/>
  <c r="K24" i="158"/>
  <c r="K23" i="158"/>
  <c r="K22" i="158"/>
  <c r="K21" i="158"/>
  <c r="K20" i="158"/>
  <c r="K19" i="158"/>
  <c r="K18" i="158"/>
  <c r="K17" i="158"/>
  <c r="K16" i="158"/>
  <c r="C36" i="157" s="1"/>
  <c r="K15" i="158"/>
  <c r="K14" i="158"/>
  <c r="J12" i="158"/>
  <c r="I12" i="158"/>
  <c r="K11" i="158"/>
  <c r="K10" i="158"/>
  <c r="K9" i="158"/>
  <c r="K8" i="158"/>
  <c r="K7" i="158"/>
  <c r="K6" i="158"/>
  <c r="C16" i="158"/>
  <c r="C19" i="158"/>
  <c r="C25" i="158"/>
  <c r="C36" i="158"/>
  <c r="C37" i="158" s="1"/>
  <c r="C45" i="158"/>
  <c r="C43" i="157"/>
  <c r="C44" i="157" s="1"/>
  <c r="C46" i="157" s="1"/>
  <c r="C47" i="157" s="1"/>
  <c r="I39" i="157"/>
  <c r="I38" i="157"/>
  <c r="D21" i="157"/>
  <c r="E40" i="157" s="1"/>
  <c r="I20" i="157"/>
  <c r="I19" i="157"/>
  <c r="I18" i="157"/>
  <c r="O69" i="155"/>
  <c r="L68" i="155"/>
  <c r="N122" i="155"/>
  <c r="I123" i="155"/>
  <c r="J123" i="155"/>
  <c r="K123" i="155"/>
  <c r="M123" i="155"/>
  <c r="O123" i="155"/>
  <c r="P123" i="155"/>
  <c r="Q123" i="155"/>
  <c r="R123" i="155"/>
  <c r="S123" i="155"/>
  <c r="H26" i="157" s="1"/>
  <c r="H123" i="155"/>
  <c r="H111" i="155"/>
  <c r="N109" i="155"/>
  <c r="N110" i="155"/>
  <c r="S109" i="155"/>
  <c r="S111" i="155" s="1"/>
  <c r="H30" i="157" s="1"/>
  <c r="R109" i="155"/>
  <c r="R111" i="155" s="1"/>
  <c r="Q109" i="155"/>
  <c r="Q111" i="155" s="1"/>
  <c r="P109" i="155"/>
  <c r="P111" i="155" s="1"/>
  <c r="O109" i="155"/>
  <c r="L108" i="155"/>
  <c r="N108" i="155"/>
  <c r="N89" i="155"/>
  <c r="I90" i="155"/>
  <c r="J90" i="155"/>
  <c r="K90" i="155"/>
  <c r="M90" i="155"/>
  <c r="O90" i="155"/>
  <c r="P90" i="155"/>
  <c r="Q90" i="155"/>
  <c r="E15" i="159" s="1"/>
  <c r="R90" i="155"/>
  <c r="F15" i="159" s="1"/>
  <c r="S90" i="155"/>
  <c r="H31" i="157" s="1"/>
  <c r="H90" i="155"/>
  <c r="I111" i="155"/>
  <c r="J111" i="155"/>
  <c r="K111" i="155"/>
  <c r="G111" i="155"/>
  <c r="G123" i="155" s="1"/>
  <c r="F111" i="155"/>
  <c r="F123" i="155" s="1"/>
  <c r="E111" i="155"/>
  <c r="E123" i="155" s="1"/>
  <c r="E128" i="155" s="1"/>
  <c r="I85" i="155"/>
  <c r="J85" i="155"/>
  <c r="K85" i="155"/>
  <c r="M85" i="155"/>
  <c r="P85" i="155"/>
  <c r="Q85" i="155"/>
  <c r="R85" i="155"/>
  <c r="S85" i="155"/>
  <c r="H36" i="157" s="1"/>
  <c r="H85" i="155"/>
  <c r="N84" i="155"/>
  <c r="I79" i="155"/>
  <c r="J79" i="155"/>
  <c r="K79" i="155"/>
  <c r="D35" i="157"/>
  <c r="P79" i="155"/>
  <c r="Q79" i="155"/>
  <c r="R79" i="155"/>
  <c r="S79" i="155"/>
  <c r="H35" i="157" s="1"/>
  <c r="N78" i="155"/>
  <c r="N77" i="155"/>
  <c r="N76" i="155"/>
  <c r="L76" i="155"/>
  <c r="N75" i="155"/>
  <c r="L75" i="155"/>
  <c r="M74" i="155"/>
  <c r="L74" i="155" s="1"/>
  <c r="M73" i="155"/>
  <c r="H73" i="155"/>
  <c r="H79" i="155" s="1"/>
  <c r="N72" i="155"/>
  <c r="L72" i="155"/>
  <c r="N71" i="155"/>
  <c r="L71" i="155"/>
  <c r="I69" i="155"/>
  <c r="J69" i="155"/>
  <c r="K69" i="155"/>
  <c r="M69" i="155"/>
  <c r="P69" i="155"/>
  <c r="Q69" i="155"/>
  <c r="R69" i="155"/>
  <c r="S69" i="155"/>
  <c r="H67" i="155"/>
  <c r="N67" i="155" s="1"/>
  <c r="I54" i="155"/>
  <c r="J54" i="155"/>
  <c r="K54" i="155"/>
  <c r="M54" i="155"/>
  <c r="O54" i="155"/>
  <c r="P54" i="155"/>
  <c r="Q54" i="155"/>
  <c r="R54" i="155"/>
  <c r="S54" i="155"/>
  <c r="H34" i="157" s="1"/>
  <c r="H54" i="155"/>
  <c r="N53" i="155"/>
  <c r="I49" i="155"/>
  <c r="J49" i="155"/>
  <c r="K49" i="155"/>
  <c r="M49" i="155"/>
  <c r="O49" i="155"/>
  <c r="P49" i="155"/>
  <c r="Q49" i="155"/>
  <c r="R49" i="155"/>
  <c r="F10" i="159" s="1"/>
  <c r="S49" i="155"/>
  <c r="H29" i="157" s="1"/>
  <c r="H49" i="155"/>
  <c r="N48" i="155"/>
  <c r="N41" i="155"/>
  <c r="N40" i="155"/>
  <c r="N39" i="155"/>
  <c r="I42" i="155"/>
  <c r="J42" i="155"/>
  <c r="K42" i="155"/>
  <c r="M42" i="155"/>
  <c r="O42" i="155"/>
  <c r="P42" i="155"/>
  <c r="D11" i="159" s="1"/>
  <c r="Q42" i="155"/>
  <c r="R42" i="155"/>
  <c r="S42" i="155"/>
  <c r="H32" i="157" s="1"/>
  <c r="H42" i="155"/>
  <c r="I33" i="155"/>
  <c r="J33" i="155"/>
  <c r="K33" i="155"/>
  <c r="L33" i="155"/>
  <c r="M33" i="155"/>
  <c r="O33" i="155"/>
  <c r="P33" i="155"/>
  <c r="Q33" i="155"/>
  <c r="R33" i="155"/>
  <c r="S33" i="155"/>
  <c r="H33" i="157" s="1"/>
  <c r="H33" i="155"/>
  <c r="I36" i="155"/>
  <c r="J36" i="155"/>
  <c r="K36" i="155"/>
  <c r="L36" i="155"/>
  <c r="M36" i="155"/>
  <c r="O36" i="155"/>
  <c r="P36" i="155"/>
  <c r="Q36" i="155"/>
  <c r="R36" i="155"/>
  <c r="S36" i="155"/>
  <c r="H28" i="157" s="1"/>
  <c r="H36" i="155"/>
  <c r="N35" i="155"/>
  <c r="N36" i="155" s="1"/>
  <c r="N32" i="155"/>
  <c r="N33" i="155" s="1"/>
  <c r="I30" i="155"/>
  <c r="J30" i="155"/>
  <c r="K30" i="155"/>
  <c r="M30" i="155"/>
  <c r="O30" i="155"/>
  <c r="P30" i="155"/>
  <c r="Q30" i="155"/>
  <c r="R30" i="155"/>
  <c r="S30" i="155"/>
  <c r="H27" i="157" s="1"/>
  <c r="H30" i="155"/>
  <c r="G30" i="155"/>
  <c r="G33" i="155" s="1"/>
  <c r="F30" i="155"/>
  <c r="F33" i="155" s="1"/>
  <c r="F36" i="155" s="1"/>
  <c r="E30" i="155"/>
  <c r="E33" i="155" s="1"/>
  <c r="E36" i="155" s="1"/>
  <c r="I13" i="155"/>
  <c r="J13" i="155"/>
  <c r="K13" i="155"/>
  <c r="M13" i="155"/>
  <c r="O13" i="155"/>
  <c r="P13" i="155"/>
  <c r="D6" i="159" s="1"/>
  <c r="Q13" i="155"/>
  <c r="R13" i="155"/>
  <c r="F6" i="159" s="1"/>
  <c r="S13" i="155"/>
  <c r="H25" i="157" s="1"/>
  <c r="H13" i="155"/>
  <c r="G13" i="155"/>
  <c r="F13" i="155"/>
  <c r="E13" i="155"/>
  <c r="Q3" i="155"/>
  <c r="F24" i="157" s="1"/>
  <c r="R3" i="155"/>
  <c r="G24" i="157" s="1"/>
  <c r="S3" i="155"/>
  <c r="P3" i="155"/>
  <c r="E24" i="157" s="1"/>
  <c r="O3" i="155"/>
  <c r="M3" i="155"/>
  <c r="K3" i="155"/>
  <c r="J3" i="155"/>
  <c r="I3" i="155"/>
  <c r="H3" i="155"/>
  <c r="G3" i="155"/>
  <c r="F3" i="155"/>
  <c r="N5" i="155"/>
  <c r="N6" i="155"/>
  <c r="N7" i="155"/>
  <c r="N8" i="155"/>
  <c r="N9" i="155"/>
  <c r="N10" i="155"/>
  <c r="N11" i="155"/>
  <c r="N12" i="155"/>
  <c r="N15" i="155"/>
  <c r="N16" i="155"/>
  <c r="N17" i="155"/>
  <c r="N18" i="155"/>
  <c r="N19" i="155"/>
  <c r="N20" i="155"/>
  <c r="N21" i="155"/>
  <c r="N22" i="155"/>
  <c r="N23" i="155"/>
  <c r="N24" i="155"/>
  <c r="N25" i="155"/>
  <c r="N26" i="155"/>
  <c r="N27" i="155"/>
  <c r="N28" i="155"/>
  <c r="N29" i="155"/>
  <c r="N38" i="155"/>
  <c r="N44" i="155"/>
  <c r="N45" i="155"/>
  <c r="N46" i="155"/>
  <c r="N47" i="155"/>
  <c r="N51" i="155"/>
  <c r="N52" i="155"/>
  <c r="N82" i="155"/>
  <c r="N58" i="155"/>
  <c r="N59" i="155"/>
  <c r="N83" i="155"/>
  <c r="N60" i="155"/>
  <c r="N61" i="155"/>
  <c r="N64" i="155"/>
  <c r="N65" i="155"/>
  <c r="N66" i="155"/>
  <c r="N81" i="155"/>
  <c r="N62" i="155"/>
  <c r="N63" i="155"/>
  <c r="N87" i="155"/>
  <c r="N88" i="155"/>
  <c r="N92" i="155"/>
  <c r="N93" i="155"/>
  <c r="N94" i="155"/>
  <c r="N96" i="155"/>
  <c r="N98" i="155"/>
  <c r="N100" i="155"/>
  <c r="N101" i="155"/>
  <c r="N102" i="155"/>
  <c r="N103" i="155"/>
  <c r="N104" i="155"/>
  <c r="N105" i="155"/>
  <c r="N106" i="155"/>
  <c r="N107" i="155"/>
  <c r="N113" i="155"/>
  <c r="N114" i="155"/>
  <c r="N115" i="155"/>
  <c r="N116" i="155"/>
  <c r="N117" i="155"/>
  <c r="N118" i="155"/>
  <c r="N119" i="155"/>
  <c r="N120" i="155"/>
  <c r="N121" i="155"/>
  <c r="N125" i="155"/>
  <c r="N126" i="155"/>
  <c r="N2" i="155"/>
  <c r="N3" i="155" s="1"/>
  <c r="O99" i="155"/>
  <c r="L82" i="155"/>
  <c r="L103" i="155"/>
  <c r="L83" i="155"/>
  <c r="L61" i="155"/>
  <c r="L107" i="155"/>
  <c r="L81" i="155"/>
  <c r="L62" i="155"/>
  <c r="L92" i="155"/>
  <c r="L118" i="155"/>
  <c r="L12" i="155"/>
  <c r="L17" i="155"/>
  <c r="L15" i="155"/>
  <c r="L16" i="155"/>
  <c r="L11" i="155"/>
  <c r="L87" i="155"/>
  <c r="L88" i="155"/>
  <c r="L19" i="155"/>
  <c r="L20" i="155"/>
  <c r="L21" i="155"/>
  <c r="L22" i="155"/>
  <c r="L117" i="155"/>
  <c r="L26" i="155"/>
  <c r="L125" i="155"/>
  <c r="L126" i="155"/>
  <c r="L51" i="155"/>
  <c r="L52" i="155"/>
  <c r="L7" i="155"/>
  <c r="L105" i="155"/>
  <c r="L5" i="155"/>
  <c r="L6" i="155"/>
  <c r="L9" i="155"/>
  <c r="L100" i="155"/>
  <c r="L121" i="155"/>
  <c r="L93" i="155"/>
  <c r="L94" i="155"/>
  <c r="L106" i="155"/>
  <c r="L104" i="155"/>
  <c r="L2" i="155"/>
  <c r="L3" i="155" s="1"/>
  <c r="L102" i="155"/>
  <c r="L59" i="155"/>
  <c r="L64" i="155"/>
  <c r="L66" i="155"/>
  <c r="L10" i="155"/>
  <c r="L96" i="155"/>
  <c r="L98" i="155"/>
  <c r="L119" i="155"/>
  <c r="L8" i="155"/>
  <c r="L113" i="155"/>
  <c r="L114" i="155"/>
  <c r="L115" i="155"/>
  <c r="L116" i="155"/>
  <c r="L45" i="155"/>
  <c r="L46" i="155"/>
  <c r="L47" i="155"/>
  <c r="L27" i="155"/>
  <c r="L24" i="155"/>
  <c r="L101" i="155"/>
  <c r="L44" i="155"/>
  <c r="L38" i="155"/>
  <c r="L39" i="155"/>
  <c r="L18" i="155"/>
  <c r="L23" i="155"/>
  <c r="L120" i="155"/>
  <c r="L25" i="155"/>
  <c r="L40" i="155"/>
  <c r="L58" i="155"/>
  <c r="L60" i="155"/>
  <c r="L65" i="155"/>
  <c r="L63" i="155"/>
  <c r="M95" i="155"/>
  <c r="N95" i="155" s="1"/>
  <c r="M99" i="155"/>
  <c r="L99" i="155" s="1"/>
  <c r="M97" i="155"/>
  <c r="L97" i="155" s="1"/>
  <c r="F33" i="205" l="1"/>
  <c r="F35" i="205" s="1"/>
  <c r="J23" i="177"/>
  <c r="E22" i="205"/>
  <c r="E27" i="205" s="1"/>
  <c r="E33" i="205" s="1"/>
  <c r="D27" i="205"/>
  <c r="D33" i="205" s="1"/>
  <c r="D35" i="205" s="1"/>
  <c r="C26" i="160"/>
  <c r="I26" i="160" s="1"/>
  <c r="J18" i="177"/>
  <c r="O12" i="177"/>
  <c r="P8" i="188"/>
  <c r="C36" i="190"/>
  <c r="P20" i="188"/>
  <c r="C29" i="190"/>
  <c r="I29" i="190" s="1"/>
  <c r="P16" i="188"/>
  <c r="C34" i="190"/>
  <c r="I34" i="190" s="1"/>
  <c r="P15" i="188"/>
  <c r="C35" i="190"/>
  <c r="I35" i="190" s="1"/>
  <c r="P5" i="188"/>
  <c r="C28" i="190"/>
  <c r="P7" i="188"/>
  <c r="C32" i="190"/>
  <c r="I32" i="190" s="1"/>
  <c r="P10" i="188"/>
  <c r="C33" i="190"/>
  <c r="I33" i="190" s="1"/>
  <c r="P6" i="177"/>
  <c r="J12" i="177"/>
  <c r="C32" i="160"/>
  <c r="I32" i="160" s="1"/>
  <c r="P23" i="177"/>
  <c r="C27" i="160"/>
  <c r="I27" i="160" s="1"/>
  <c r="O23" i="177"/>
  <c r="J12" i="188"/>
  <c r="O6" i="188"/>
  <c r="C31" i="190" s="1"/>
  <c r="I31" i="190" s="1"/>
  <c r="J23" i="188"/>
  <c r="O19" i="188"/>
  <c r="C30" i="190" s="1"/>
  <c r="I30" i="190" s="1"/>
  <c r="J18" i="188"/>
  <c r="O14" i="188"/>
  <c r="P14" i="188" s="1"/>
  <c r="C35" i="157"/>
  <c r="C36" i="160"/>
  <c r="I36" i="160" s="1"/>
  <c r="C30" i="160"/>
  <c r="I30" i="160" s="1"/>
  <c r="P7" i="177"/>
  <c r="P12" i="177" s="1"/>
  <c r="P8" i="177"/>
  <c r="C34" i="160"/>
  <c r="I34" i="160" s="1"/>
  <c r="O18" i="177"/>
  <c r="P13" i="188"/>
  <c r="I38" i="190" s="1"/>
  <c r="C33" i="160"/>
  <c r="I33" i="160" s="1"/>
  <c r="P15" i="177"/>
  <c r="P18" i="177" s="1"/>
  <c r="F32" i="161"/>
  <c r="D27" i="161"/>
  <c r="E21" i="161"/>
  <c r="J132" i="155"/>
  <c r="E27" i="161"/>
  <c r="O111" i="155"/>
  <c r="H69" i="155"/>
  <c r="H132" i="155" s="1"/>
  <c r="L17" i="158"/>
  <c r="C37" i="157"/>
  <c r="N128" i="155"/>
  <c r="F21" i="161"/>
  <c r="F27" i="184"/>
  <c r="F21" i="184"/>
  <c r="C26" i="158"/>
  <c r="C39" i="158" s="1"/>
  <c r="J30" i="158"/>
  <c r="K25" i="158"/>
  <c r="G33" i="161"/>
  <c r="G35" i="161" s="1"/>
  <c r="F25" i="157"/>
  <c r="E6" i="159"/>
  <c r="G28" i="157"/>
  <c r="F9" i="159"/>
  <c r="F34" i="157"/>
  <c r="E16" i="159"/>
  <c r="L128" i="155"/>
  <c r="F28" i="157"/>
  <c r="E9" i="159"/>
  <c r="D32" i="157"/>
  <c r="C11" i="159"/>
  <c r="E34" i="157"/>
  <c r="D16" i="159"/>
  <c r="G39" i="160"/>
  <c r="F21" i="159"/>
  <c r="E18" i="159"/>
  <c r="F36" i="157"/>
  <c r="K12" i="158"/>
  <c r="E26" i="157"/>
  <c r="D7" i="159"/>
  <c r="E32" i="157"/>
  <c r="D34" i="157"/>
  <c r="C16" i="159"/>
  <c r="E36" i="157"/>
  <c r="D18" i="159"/>
  <c r="K132" i="155"/>
  <c r="D28" i="157"/>
  <c r="C9" i="159"/>
  <c r="G33" i="157"/>
  <c r="F12" i="159"/>
  <c r="E37" i="157"/>
  <c r="E39" i="160"/>
  <c r="D21" i="159"/>
  <c r="F30" i="157"/>
  <c r="E23" i="159"/>
  <c r="E31" i="157"/>
  <c r="D15" i="159"/>
  <c r="D27" i="184"/>
  <c r="E22" i="184"/>
  <c r="E27" i="184" s="1"/>
  <c r="G36" i="157"/>
  <c r="F18" i="159"/>
  <c r="G27" i="157"/>
  <c r="F8" i="159"/>
  <c r="F33" i="157"/>
  <c r="E12" i="159"/>
  <c r="D31" i="157"/>
  <c r="C15" i="159"/>
  <c r="G31" i="157"/>
  <c r="G33" i="184"/>
  <c r="G35" i="184" s="1"/>
  <c r="F39" i="160"/>
  <c r="E21" i="159"/>
  <c r="G30" i="157"/>
  <c r="F23" i="159"/>
  <c r="F27" i="157"/>
  <c r="E8" i="159"/>
  <c r="E33" i="157"/>
  <c r="D12" i="159"/>
  <c r="F29" i="157"/>
  <c r="E10" i="159"/>
  <c r="E30" i="157"/>
  <c r="D23" i="159"/>
  <c r="F31" i="157"/>
  <c r="E15" i="184"/>
  <c r="E21" i="184" s="1"/>
  <c r="D21" i="184"/>
  <c r="E35" i="157"/>
  <c r="D17" i="159"/>
  <c r="E28" i="157"/>
  <c r="D9" i="159"/>
  <c r="E27" i="157"/>
  <c r="D8" i="159"/>
  <c r="D33" i="157"/>
  <c r="C12" i="159"/>
  <c r="G32" i="157"/>
  <c r="F11" i="159"/>
  <c r="E29" i="157"/>
  <c r="D10" i="159"/>
  <c r="G35" i="157"/>
  <c r="F17" i="159"/>
  <c r="G26" i="157"/>
  <c r="F7" i="159"/>
  <c r="G29" i="157"/>
  <c r="F32" i="184"/>
  <c r="E14" i="184"/>
  <c r="H37" i="157"/>
  <c r="H39" i="160"/>
  <c r="D37" i="157"/>
  <c r="C21" i="159"/>
  <c r="F32" i="157"/>
  <c r="E11" i="159"/>
  <c r="D29" i="157"/>
  <c r="C10" i="159"/>
  <c r="G34" i="157"/>
  <c r="F16" i="159"/>
  <c r="F35" i="157"/>
  <c r="E17" i="159"/>
  <c r="F26" i="157"/>
  <c r="E7" i="159"/>
  <c r="J131" i="155"/>
  <c r="I30" i="158"/>
  <c r="G25" i="157"/>
  <c r="D32" i="184"/>
  <c r="E28" i="184"/>
  <c r="E32" i="184" s="1"/>
  <c r="D32" i="161"/>
  <c r="E31" i="161"/>
  <c r="E32" i="161" s="1"/>
  <c r="J24" i="177"/>
  <c r="D21" i="161"/>
  <c r="F23" i="160"/>
  <c r="G42" i="160" s="1"/>
  <c r="S131" i="155"/>
  <c r="I131" i="155"/>
  <c r="P131" i="155"/>
  <c r="R131" i="155"/>
  <c r="E21" i="157"/>
  <c r="F21" i="157" s="1"/>
  <c r="G21" i="157" s="1"/>
  <c r="I132" i="155"/>
  <c r="L123" i="155"/>
  <c r="K131" i="155"/>
  <c r="H24" i="157"/>
  <c r="Q131" i="155"/>
  <c r="F128" i="155"/>
  <c r="G128" i="155"/>
  <c r="S132" i="155"/>
  <c r="E25" i="157"/>
  <c r="G37" i="157"/>
  <c r="F37" i="157"/>
  <c r="N68" i="155"/>
  <c r="N69" i="155" s="1"/>
  <c r="Q132" i="155"/>
  <c r="R132" i="155"/>
  <c r="P132" i="155"/>
  <c r="N123" i="155"/>
  <c r="L90" i="155"/>
  <c r="N85" i="155"/>
  <c r="M79" i="155"/>
  <c r="M111" i="155"/>
  <c r="N90" i="155"/>
  <c r="L85" i="155"/>
  <c r="N74" i="155"/>
  <c r="N73" i="155"/>
  <c r="L73" i="155"/>
  <c r="L79" i="155" s="1"/>
  <c r="L67" i="155"/>
  <c r="L69" i="155" s="1"/>
  <c r="L54" i="155"/>
  <c r="N54" i="155"/>
  <c r="N49" i="155"/>
  <c r="L49" i="155"/>
  <c r="L42" i="155"/>
  <c r="F42" i="155"/>
  <c r="N42" i="155"/>
  <c r="E42" i="155"/>
  <c r="G36" i="155"/>
  <c r="L13" i="155"/>
  <c r="N30" i="155"/>
  <c r="L30" i="155"/>
  <c r="N13" i="155"/>
  <c r="N99" i="155"/>
  <c r="N97" i="155"/>
  <c r="L95" i="155"/>
  <c r="L111" i="155" s="1"/>
  <c r="N20" i="147"/>
  <c r="N19" i="147"/>
  <c r="N16" i="147"/>
  <c r="N18" i="147" s="1"/>
  <c r="M8" i="147"/>
  <c r="K22" i="147"/>
  <c r="K20" i="147"/>
  <c r="K19" i="147"/>
  <c r="K17" i="147"/>
  <c r="K16" i="147"/>
  <c r="K15" i="147"/>
  <c r="K14" i="147"/>
  <c r="K13" i="147"/>
  <c r="K11" i="147"/>
  <c r="K10" i="147"/>
  <c r="K9" i="147"/>
  <c r="K8" i="147"/>
  <c r="K7" i="147"/>
  <c r="K6" i="147"/>
  <c r="K5" i="147"/>
  <c r="J22" i="147"/>
  <c r="J20" i="147"/>
  <c r="J17" i="147"/>
  <c r="O17" i="147" s="1"/>
  <c r="J15" i="147"/>
  <c r="J14" i="147"/>
  <c r="J13" i="147"/>
  <c r="J11" i="147"/>
  <c r="J10" i="147"/>
  <c r="J9" i="147"/>
  <c r="J8" i="147"/>
  <c r="J7" i="147"/>
  <c r="J6" i="147"/>
  <c r="J5" i="147"/>
  <c r="I20" i="147"/>
  <c r="I17" i="147"/>
  <c r="I15" i="147"/>
  <c r="I14" i="147"/>
  <c r="I13" i="147"/>
  <c r="I11" i="147"/>
  <c r="I10" i="147"/>
  <c r="I9" i="147"/>
  <c r="I7" i="147"/>
  <c r="I6" i="147"/>
  <c r="E18" i="152"/>
  <c r="E41" i="153"/>
  <c r="E53" i="153"/>
  <c r="C7" i="159" s="1"/>
  <c r="E21" i="153"/>
  <c r="D27" i="157" s="1"/>
  <c r="E16" i="153"/>
  <c r="D25" i="157" s="1"/>
  <c r="E8" i="153"/>
  <c r="D24" i="157" s="1"/>
  <c r="E46" i="139"/>
  <c r="F13" i="152"/>
  <c r="I16" i="147" s="1"/>
  <c r="G13" i="152"/>
  <c r="J16" i="147" s="1"/>
  <c r="F15" i="152"/>
  <c r="I19" i="147" s="1"/>
  <c r="G15" i="152"/>
  <c r="B18" i="152"/>
  <c r="C18" i="152"/>
  <c r="D18" i="152"/>
  <c r="H18" i="152"/>
  <c r="E8" i="150"/>
  <c r="E14" i="150"/>
  <c r="M20" i="147" s="1"/>
  <c r="E21" i="150"/>
  <c r="E23" i="150" s="1"/>
  <c r="M6" i="147" s="1"/>
  <c r="E37" i="150"/>
  <c r="M10" i="147" s="1"/>
  <c r="E41" i="150"/>
  <c r="M13" i="147" s="1"/>
  <c r="E59" i="150"/>
  <c r="M14" i="147" s="1"/>
  <c r="E77" i="150"/>
  <c r="M16" i="147" s="1"/>
  <c r="E82" i="150"/>
  <c r="M19" i="147" s="1"/>
  <c r="D4" i="148"/>
  <c r="D9" i="148" s="1"/>
  <c r="H22" i="137"/>
  <c r="H21" i="137"/>
  <c r="H20" i="137"/>
  <c r="H19" i="137"/>
  <c r="H17" i="137"/>
  <c r="H16" i="137"/>
  <c r="H15" i="137"/>
  <c r="H14" i="137"/>
  <c r="H13" i="137"/>
  <c r="H11" i="137"/>
  <c r="H10" i="137"/>
  <c r="H9" i="137"/>
  <c r="H8" i="137"/>
  <c r="H6" i="137"/>
  <c r="H5" i="137"/>
  <c r="O35" i="147"/>
  <c r="N30" i="147"/>
  <c r="N29" i="147"/>
  <c r="N28" i="147"/>
  <c r="C28" i="147"/>
  <c r="N27" i="147"/>
  <c r="E27" i="147"/>
  <c r="D27" i="147"/>
  <c r="D28" i="147" s="1"/>
  <c r="N26" i="147"/>
  <c r="D23" i="147"/>
  <c r="C22" i="147"/>
  <c r="C21" i="147"/>
  <c r="G20" i="147"/>
  <c r="F20" i="147"/>
  <c r="E20" i="147"/>
  <c r="C20" i="147"/>
  <c r="G19" i="147"/>
  <c r="H19" i="147" s="1"/>
  <c r="F19" i="147"/>
  <c r="E19" i="147"/>
  <c r="C19" i="147"/>
  <c r="D18" i="147"/>
  <c r="C17" i="147"/>
  <c r="C16" i="147"/>
  <c r="C15" i="147"/>
  <c r="C14" i="147"/>
  <c r="C13" i="147"/>
  <c r="C10" i="147"/>
  <c r="C8" i="147"/>
  <c r="D7" i="147"/>
  <c r="D12" i="147" s="1"/>
  <c r="C7" i="147"/>
  <c r="C6" i="147"/>
  <c r="H5" i="147"/>
  <c r="C5" i="147"/>
  <c r="G20" i="137"/>
  <c r="G19" i="137"/>
  <c r="F50" i="146"/>
  <c r="D50" i="146" s="1"/>
  <c r="E41" i="146"/>
  <c r="E53" i="146" s="1"/>
  <c r="F33" i="146"/>
  <c r="E33" i="146"/>
  <c r="F32" i="146"/>
  <c r="E32" i="146"/>
  <c r="D20" i="146"/>
  <c r="G7" i="147" s="1"/>
  <c r="H7" i="147" s="1"/>
  <c r="D19" i="146"/>
  <c r="G6" i="147" s="1"/>
  <c r="D18" i="146"/>
  <c r="B18" i="146" s="1"/>
  <c r="D12" i="146"/>
  <c r="B12" i="146" s="1"/>
  <c r="B11" i="146"/>
  <c r="B10" i="146"/>
  <c r="E33" i="161" l="1"/>
  <c r="O24" i="177"/>
  <c r="C23" i="159"/>
  <c r="I36" i="190"/>
  <c r="I28" i="190"/>
  <c r="P18" i="188"/>
  <c r="O18" i="188"/>
  <c r="P24" i="177"/>
  <c r="O23" i="188"/>
  <c r="P19" i="188"/>
  <c r="P23" i="188" s="1"/>
  <c r="J24" i="188"/>
  <c r="E19" i="213" s="1"/>
  <c r="F19" i="213" s="1"/>
  <c r="O12" i="188"/>
  <c r="P6" i="188"/>
  <c r="P12" i="188" s="1"/>
  <c r="F33" i="161"/>
  <c r="I35" i="157"/>
  <c r="D33" i="184"/>
  <c r="D35" i="184" s="1"/>
  <c r="G12" i="159"/>
  <c r="I36" i="157"/>
  <c r="F19" i="159"/>
  <c r="I33" i="157"/>
  <c r="F33" i="184"/>
  <c r="F35" i="184" s="1"/>
  <c r="G6" i="137"/>
  <c r="F13" i="159"/>
  <c r="I23" i="147"/>
  <c r="K30" i="158"/>
  <c r="G7" i="159"/>
  <c r="E19" i="146"/>
  <c r="E23" i="157"/>
  <c r="N6" i="147"/>
  <c r="N12" i="147" s="1"/>
  <c r="E19" i="159"/>
  <c r="G18" i="152"/>
  <c r="I18" i="152" s="1"/>
  <c r="G23" i="159"/>
  <c r="D26" i="157"/>
  <c r="F18" i="146"/>
  <c r="F18" i="152"/>
  <c r="J19" i="147"/>
  <c r="M132" i="155"/>
  <c r="G18" i="159"/>
  <c r="L5" i="147"/>
  <c r="O5" i="147" s="1"/>
  <c r="C24" i="157" s="1"/>
  <c r="I24" i="157" s="1"/>
  <c r="G5" i="137"/>
  <c r="N111" i="155"/>
  <c r="G7" i="137"/>
  <c r="O22" i="147"/>
  <c r="P22" i="147" s="1"/>
  <c r="L6" i="147"/>
  <c r="C8" i="159"/>
  <c r="G8" i="159" s="1"/>
  <c r="G15" i="159"/>
  <c r="C19" i="159"/>
  <c r="I39" i="160"/>
  <c r="E25" i="160"/>
  <c r="G11" i="159"/>
  <c r="E33" i="184"/>
  <c r="L19" i="147"/>
  <c r="M131" i="155"/>
  <c r="G17" i="159"/>
  <c r="G16" i="159"/>
  <c r="E13" i="159"/>
  <c r="D21" i="146"/>
  <c r="I21" i="146" s="1"/>
  <c r="L20" i="147"/>
  <c r="G21" i="159"/>
  <c r="D24" i="147"/>
  <c r="D30" i="147" s="1"/>
  <c r="D31" i="147" s="1"/>
  <c r="L16" i="147"/>
  <c r="D30" i="157"/>
  <c r="D19" i="159"/>
  <c r="C6" i="159"/>
  <c r="O7" i="147"/>
  <c r="C28" i="157" s="1"/>
  <c r="I28" i="157" s="1"/>
  <c r="D33" i="161"/>
  <c r="G10" i="159"/>
  <c r="G9" i="159"/>
  <c r="D13" i="159"/>
  <c r="D22" i="146"/>
  <c r="N34" i="177"/>
  <c r="C49" i="177"/>
  <c r="G23" i="160"/>
  <c r="H42" i="160" s="1"/>
  <c r="G25" i="160"/>
  <c r="F25" i="160"/>
  <c r="C23" i="147"/>
  <c r="M23" i="147"/>
  <c r="C12" i="147"/>
  <c r="O14" i="147"/>
  <c r="P14" i="147" s="1"/>
  <c r="Q7" i="147"/>
  <c r="N23" i="147"/>
  <c r="C18" i="147"/>
  <c r="I18" i="147"/>
  <c r="H6" i="147"/>
  <c r="Q6" i="147"/>
  <c r="F40" i="157"/>
  <c r="F23" i="157" s="1"/>
  <c r="M18" i="147"/>
  <c r="M12" i="147"/>
  <c r="E84" i="150"/>
  <c r="E85" i="150"/>
  <c r="I37" i="157"/>
  <c r="G40" i="157"/>
  <c r="G23" i="157" s="1"/>
  <c r="H40" i="157"/>
  <c r="H23" i="157" s="1"/>
  <c r="I21" i="157"/>
  <c r="O132" i="155"/>
  <c r="L132" i="155"/>
  <c r="O131" i="155"/>
  <c r="H131" i="155"/>
  <c r="L131" i="155"/>
  <c r="N79" i="155"/>
  <c r="E49" i="155"/>
  <c r="E54" i="155" s="1"/>
  <c r="E69" i="155" s="1"/>
  <c r="F49" i="155"/>
  <c r="F54" i="155" s="1"/>
  <c r="F69" i="155" s="1"/>
  <c r="G42" i="155"/>
  <c r="O10" i="147"/>
  <c r="O13" i="147"/>
  <c r="O15" i="147"/>
  <c r="J18" i="147"/>
  <c r="O11" i="147"/>
  <c r="P11" i="147" s="1"/>
  <c r="J12" i="147"/>
  <c r="O9" i="147"/>
  <c r="O8" i="147"/>
  <c r="P17" i="147"/>
  <c r="K12" i="147"/>
  <c r="E55" i="153"/>
  <c r="H18" i="137"/>
  <c r="K18" i="147"/>
  <c r="Q5" i="147"/>
  <c r="H20" i="147"/>
  <c r="Q20" i="147"/>
  <c r="K23" i="147"/>
  <c r="I12" i="147"/>
  <c r="Q19" i="147"/>
  <c r="H23" i="137"/>
  <c r="I22" i="146"/>
  <c r="F22" i="146"/>
  <c r="E22" i="146"/>
  <c r="D51" i="146"/>
  <c r="E51" i="146" s="1"/>
  <c r="I32" i="146"/>
  <c r="I18" i="146"/>
  <c r="I33" i="146"/>
  <c r="E50" i="146"/>
  <c r="I20" i="146"/>
  <c r="D29" i="146"/>
  <c r="D35" i="146"/>
  <c r="I19" i="146"/>
  <c r="E20" i="146"/>
  <c r="D27" i="146"/>
  <c r="D24" i="146"/>
  <c r="F20" i="146"/>
  <c r="D23" i="146"/>
  <c r="D42" i="146"/>
  <c r="D26" i="146"/>
  <c r="D30" i="146"/>
  <c r="F19" i="146"/>
  <c r="E19" i="189" l="1"/>
  <c r="F19" i="189" s="1"/>
  <c r="F20" i="189" s="1"/>
  <c r="E19" i="197"/>
  <c r="F19" i="197" s="1"/>
  <c r="F20" i="197" s="1"/>
  <c r="P24" i="188"/>
  <c r="F4" i="159"/>
  <c r="O24" i="188"/>
  <c r="E21" i="146"/>
  <c r="P7" i="147"/>
  <c r="M24" i="147"/>
  <c r="E4" i="159"/>
  <c r="N24" i="147"/>
  <c r="D23" i="157"/>
  <c r="O6" i="147"/>
  <c r="C27" i="157" s="1"/>
  <c r="I27" i="157" s="1"/>
  <c r="N132" i="155"/>
  <c r="E86" i="150"/>
  <c r="D4" i="159"/>
  <c r="G22" i="147"/>
  <c r="G22" i="137"/>
  <c r="G10" i="137"/>
  <c r="G10" i="147"/>
  <c r="C24" i="147"/>
  <c r="C30" i="147" s="1"/>
  <c r="C31" i="147" s="1"/>
  <c r="G11" i="147"/>
  <c r="G11" i="137"/>
  <c r="E24" i="146"/>
  <c r="N131" i="155"/>
  <c r="G16" i="147"/>
  <c r="G16" i="137"/>
  <c r="G19" i="159"/>
  <c r="G17" i="147"/>
  <c r="G17" i="137"/>
  <c r="G6" i="159"/>
  <c r="G13" i="159" s="1"/>
  <c r="C13" i="159"/>
  <c r="C4" i="159" s="1"/>
  <c r="F21" i="146"/>
  <c r="G8" i="147"/>
  <c r="G8" i="137"/>
  <c r="G14" i="147"/>
  <c r="G14" i="137"/>
  <c r="G13" i="137"/>
  <c r="G13" i="147"/>
  <c r="G9" i="147"/>
  <c r="G9" i="137"/>
  <c r="C50" i="177"/>
  <c r="H50" i="177" s="1"/>
  <c r="H49" i="177"/>
  <c r="H25" i="160"/>
  <c r="I23" i="160"/>
  <c r="I24" i="147"/>
  <c r="P15" i="147"/>
  <c r="C31" i="157"/>
  <c r="I31" i="157" s="1"/>
  <c r="P10" i="147"/>
  <c r="C29" i="157"/>
  <c r="I29" i="157" s="1"/>
  <c r="P13" i="147"/>
  <c r="C34" i="157"/>
  <c r="I34" i="157" s="1"/>
  <c r="P8" i="147"/>
  <c r="C32" i="157"/>
  <c r="F79" i="155"/>
  <c r="E79" i="155"/>
  <c r="G49" i="155"/>
  <c r="K24" i="147"/>
  <c r="O21" i="147"/>
  <c r="J23" i="147"/>
  <c r="J24" i="147" s="1"/>
  <c r="F42" i="146"/>
  <c r="E42" i="146"/>
  <c r="F23" i="146"/>
  <c r="E23" i="146"/>
  <c r="I23" i="146"/>
  <c r="E30" i="146"/>
  <c r="I30" i="146"/>
  <c r="F30" i="146"/>
  <c r="E26" i="146"/>
  <c r="I26" i="146"/>
  <c r="F26" i="146"/>
  <c r="F35" i="146"/>
  <c r="I35" i="146"/>
  <c r="E35" i="146"/>
  <c r="F24" i="146"/>
  <c r="I24" i="146"/>
  <c r="D25" i="146"/>
  <c r="G23" i="146" s="1"/>
  <c r="F27" i="146"/>
  <c r="E27" i="146"/>
  <c r="I27" i="146"/>
  <c r="I29" i="146"/>
  <c r="F29" i="146"/>
  <c r="E29" i="146"/>
  <c r="T28" i="147" l="1"/>
  <c r="T29" i="147" s="1"/>
  <c r="C49" i="188"/>
  <c r="N34" i="188"/>
  <c r="G12" i="137"/>
  <c r="F25" i="146"/>
  <c r="G12" i="147"/>
  <c r="H8" i="147"/>
  <c r="Q8" i="147"/>
  <c r="H10" i="147"/>
  <c r="Q10" i="147"/>
  <c r="Q14" i="147"/>
  <c r="H14" i="147"/>
  <c r="H16" i="147"/>
  <c r="Q16" i="147"/>
  <c r="H9" i="147"/>
  <c r="Q9" i="147"/>
  <c r="G4" i="159"/>
  <c r="H6" i="159" s="1"/>
  <c r="H22" i="147"/>
  <c r="Q22" i="147"/>
  <c r="Q13" i="147"/>
  <c r="H13" i="147"/>
  <c r="H17" i="147"/>
  <c r="Q17" i="147"/>
  <c r="H11" i="147"/>
  <c r="Q11" i="147"/>
  <c r="I32" i="157"/>
  <c r="E85" i="155"/>
  <c r="E90" i="155" s="1"/>
  <c r="F85" i="155"/>
  <c r="F90" i="155" s="1"/>
  <c r="G54" i="155"/>
  <c r="P21" i="147"/>
  <c r="I25" i="146"/>
  <c r="D34" i="146"/>
  <c r="D28" i="146"/>
  <c r="E25" i="146"/>
  <c r="D43" i="146"/>
  <c r="G20" i="146"/>
  <c r="G22" i="146"/>
  <c r="G18" i="146"/>
  <c r="G21" i="146"/>
  <c r="G19" i="146"/>
  <c r="G24" i="146"/>
  <c r="C50" i="188" l="1"/>
  <c r="H50" i="188" s="1"/>
  <c r="H49" i="188"/>
  <c r="H13" i="159"/>
  <c r="G15" i="137"/>
  <c r="G18" i="137" s="1"/>
  <c r="G15" i="147"/>
  <c r="G21" i="137"/>
  <c r="G23" i="137" s="1"/>
  <c r="G21" i="147"/>
  <c r="Q12" i="147"/>
  <c r="H11" i="159"/>
  <c r="H21" i="159"/>
  <c r="H26" i="159"/>
  <c r="H10" i="159"/>
  <c r="H23" i="159"/>
  <c r="H16" i="159"/>
  <c r="H25" i="159"/>
  <c r="H19" i="159"/>
  <c r="H9" i="159"/>
  <c r="H27" i="159"/>
  <c r="H18" i="159"/>
  <c r="H8" i="159"/>
  <c r="H7" i="159"/>
  <c r="H15" i="159"/>
  <c r="H12" i="159"/>
  <c r="H17" i="159"/>
  <c r="H12" i="147"/>
  <c r="F131" i="155"/>
  <c r="G69" i="155"/>
  <c r="G79" i="155" s="1"/>
  <c r="F43" i="146"/>
  <c r="E43" i="146"/>
  <c r="D36" i="146"/>
  <c r="G34" i="146" s="1"/>
  <c r="F34" i="146"/>
  <c r="F36" i="146" s="1"/>
  <c r="E34" i="146"/>
  <c r="I34" i="146"/>
  <c r="I28" i="146"/>
  <c r="F28" i="146"/>
  <c r="F31" i="146" s="1"/>
  <c r="E28" i="146"/>
  <c r="E31" i="146" s="1"/>
  <c r="D31" i="146"/>
  <c r="H21" i="147" l="1"/>
  <c r="H23" i="147" s="1"/>
  <c r="Q21" i="147"/>
  <c r="Q23" i="147" s="1"/>
  <c r="G23" i="147"/>
  <c r="H15" i="147"/>
  <c r="H18" i="147" s="1"/>
  <c r="H24" i="147" s="1"/>
  <c r="Q15" i="147"/>
  <c r="Q18" i="147" s="1"/>
  <c r="G18" i="147"/>
  <c r="G24" i="147" s="1"/>
  <c r="G24" i="137"/>
  <c r="H4" i="159"/>
  <c r="G85" i="155"/>
  <c r="D44" i="146"/>
  <c r="I31" i="146"/>
  <c r="G27" i="146"/>
  <c r="G30" i="146"/>
  <c r="G29" i="146"/>
  <c r="G26" i="146"/>
  <c r="D37" i="146"/>
  <c r="H31" i="146" s="1"/>
  <c r="G32" i="146"/>
  <c r="D45" i="146"/>
  <c r="I36" i="146"/>
  <c r="G36" i="146"/>
  <c r="E36" i="146"/>
  <c r="G33" i="146"/>
  <c r="G35" i="146"/>
  <c r="F37" i="146"/>
  <c r="G28" i="146"/>
  <c r="H36" i="146" l="1"/>
  <c r="Q24" i="147"/>
  <c r="G90" i="155"/>
  <c r="G131" i="155" s="1"/>
  <c r="F44" i="146"/>
  <c r="E44" i="146"/>
  <c r="D46" i="146"/>
  <c r="E37" i="146"/>
  <c r="H32" i="146"/>
  <c r="D38" i="146"/>
  <c r="D59" i="146" s="1"/>
  <c r="H33" i="146"/>
  <c r="H19" i="146"/>
  <c r="I37" i="146"/>
  <c r="H18" i="146"/>
  <c r="H20" i="146"/>
  <c r="H22" i="146"/>
  <c r="H21" i="146"/>
  <c r="H23" i="146"/>
  <c r="H29" i="146"/>
  <c r="H26" i="146"/>
  <c r="H24" i="146"/>
  <c r="H35" i="146"/>
  <c r="H30" i="146"/>
  <c r="H27" i="146"/>
  <c r="H25" i="146"/>
  <c r="H28" i="146"/>
  <c r="H34" i="146"/>
  <c r="E45" i="146"/>
  <c r="F45" i="146"/>
  <c r="D47" i="146" l="1"/>
  <c r="E46" i="146"/>
  <c r="B55" i="146" s="1"/>
  <c r="D54" i="146"/>
  <c r="F46" i="146"/>
  <c r="D48" i="146" l="1"/>
  <c r="E47" i="146"/>
  <c r="E48" i="146" s="1"/>
  <c r="E54" i="146"/>
  <c r="D55" i="146"/>
  <c r="F55" i="146" l="1"/>
  <c r="F54" i="146"/>
  <c r="F15" i="132" l="1"/>
  <c r="E15" i="132"/>
  <c r="F13" i="132"/>
  <c r="E13" i="132"/>
  <c r="E9" i="132" l="1"/>
  <c r="I9" i="137" s="1"/>
  <c r="Q9" i="137" s="1"/>
  <c r="L29" i="144"/>
  <c r="L30" i="144" s="1"/>
  <c r="D33" i="138" s="1"/>
  <c r="P30" i="144"/>
  <c r="H33" i="138" s="1"/>
  <c r="O30" i="144"/>
  <c r="G33" i="138" s="1"/>
  <c r="N30" i="144"/>
  <c r="F33" i="138" s="1"/>
  <c r="M30" i="144"/>
  <c r="E33" i="138" s="1"/>
  <c r="I30" i="144"/>
  <c r="H30" i="144"/>
  <c r="G30" i="144"/>
  <c r="F30" i="144"/>
  <c r="I13" i="141"/>
  <c r="I20" i="138"/>
  <c r="I9" i="141"/>
  <c r="I12" i="141"/>
  <c r="C43" i="138"/>
  <c r="C44" i="138" s="1"/>
  <c r="C46" i="138" s="1"/>
  <c r="C47" i="138" s="1"/>
  <c r="F104" i="144"/>
  <c r="G104" i="144"/>
  <c r="H104" i="144"/>
  <c r="O104" i="144"/>
  <c r="P104" i="144"/>
  <c r="E104" i="144"/>
  <c r="J103" i="144"/>
  <c r="K103" i="144" s="1"/>
  <c r="M103" i="144" s="1"/>
  <c r="F13" i="144"/>
  <c r="G13" i="144"/>
  <c r="H13" i="144"/>
  <c r="O13" i="144"/>
  <c r="G25" i="138" s="1"/>
  <c r="P13" i="144"/>
  <c r="H25" i="138" s="1"/>
  <c r="E12" i="144"/>
  <c r="J12" i="144" s="1"/>
  <c r="K12" i="144" s="1"/>
  <c r="C17" i="138"/>
  <c r="E37" i="138"/>
  <c r="F37" i="138"/>
  <c r="G37" i="138"/>
  <c r="H37" i="138"/>
  <c r="E36" i="138"/>
  <c r="F36" i="138"/>
  <c r="G36" i="138"/>
  <c r="H36" i="138"/>
  <c r="E35" i="138"/>
  <c r="F35" i="138"/>
  <c r="G35" i="138"/>
  <c r="H35" i="138"/>
  <c r="D35" i="138"/>
  <c r="F33" i="144"/>
  <c r="G33" i="144"/>
  <c r="H33" i="144"/>
  <c r="I33" i="144"/>
  <c r="L33" i="144"/>
  <c r="D28" i="138" s="1"/>
  <c r="M33" i="144"/>
  <c r="E28" i="138" s="1"/>
  <c r="N33" i="144"/>
  <c r="F28" i="138" s="1"/>
  <c r="O33" i="144"/>
  <c r="G28" i="138" s="1"/>
  <c r="P33" i="144"/>
  <c r="H28" i="138" s="1"/>
  <c r="E33" i="144"/>
  <c r="E27" i="144"/>
  <c r="E55" i="144"/>
  <c r="J55" i="144" s="1"/>
  <c r="K55" i="144" s="1"/>
  <c r="L55" i="144" s="1"/>
  <c r="F93" i="144"/>
  <c r="G93" i="144"/>
  <c r="L91" i="144"/>
  <c r="K90" i="144"/>
  <c r="J90" i="144" s="1"/>
  <c r="E90" i="144" s="1"/>
  <c r="P91" i="144"/>
  <c r="P93" i="144" s="1"/>
  <c r="H30" i="138" s="1"/>
  <c r="O91" i="144"/>
  <c r="O93" i="144" s="1"/>
  <c r="G30" i="138" s="1"/>
  <c r="N91" i="144"/>
  <c r="N93" i="144" s="1"/>
  <c r="F30" i="138" s="1"/>
  <c r="M91" i="144"/>
  <c r="K92" i="144"/>
  <c r="J92" i="144" s="1"/>
  <c r="E92" i="144" s="1"/>
  <c r="K60" i="144"/>
  <c r="J60" i="144" s="1"/>
  <c r="E60" i="144" s="1"/>
  <c r="K51" i="144"/>
  <c r="J51" i="144" s="1"/>
  <c r="K56" i="144"/>
  <c r="J56" i="144" s="1"/>
  <c r="E56" i="144" s="1"/>
  <c r="F58" i="144"/>
  <c r="G58" i="144"/>
  <c r="H58" i="144"/>
  <c r="I58" i="144"/>
  <c r="M58" i="144"/>
  <c r="N58" i="144"/>
  <c r="O58" i="144"/>
  <c r="P58" i="144"/>
  <c r="K57" i="144"/>
  <c r="J57" i="144" s="1"/>
  <c r="E57" i="144" s="1"/>
  <c r="K46" i="144"/>
  <c r="J46" i="144" s="1"/>
  <c r="E46" i="144" s="1"/>
  <c r="K43" i="144"/>
  <c r="J43" i="144" s="1"/>
  <c r="E43" i="144" s="1"/>
  <c r="E44" i="144" s="1"/>
  <c r="K35" i="144"/>
  <c r="J35" i="144" s="1"/>
  <c r="E35" i="144" s="1"/>
  <c r="K26" i="144"/>
  <c r="K25" i="144"/>
  <c r="F44" i="144"/>
  <c r="G44" i="144"/>
  <c r="H44" i="144"/>
  <c r="I44" i="144"/>
  <c r="N44" i="144"/>
  <c r="F29" i="138" s="1"/>
  <c r="O44" i="144"/>
  <c r="G29" i="138" s="1"/>
  <c r="P44" i="144"/>
  <c r="H29" i="138" s="1"/>
  <c r="J32" i="144"/>
  <c r="K32" i="144" s="1"/>
  <c r="K33" i="144" s="1"/>
  <c r="F27" i="144"/>
  <c r="G27" i="144"/>
  <c r="H27" i="144"/>
  <c r="O27" i="144"/>
  <c r="G27" i="138" s="1"/>
  <c r="P27" i="144"/>
  <c r="H27" i="138" s="1"/>
  <c r="J25" i="144"/>
  <c r="J26" i="144"/>
  <c r="J10" i="144"/>
  <c r="E11" i="144"/>
  <c r="B21" i="145"/>
  <c r="C21" i="145"/>
  <c r="B51" i="145"/>
  <c r="C51" i="145"/>
  <c r="E13" i="144" l="1"/>
  <c r="C54" i="145"/>
  <c r="K29" i="144"/>
  <c r="J29" i="144" s="1"/>
  <c r="J30" i="144" s="1"/>
  <c r="E29" i="144"/>
  <c r="E30" i="144" s="1"/>
  <c r="I33" i="138"/>
  <c r="K30" i="144"/>
  <c r="N12" i="144"/>
  <c r="N13" i="144" s="1"/>
  <c r="F25" i="138" s="1"/>
  <c r="M12" i="144"/>
  <c r="J33" i="144"/>
  <c r="K91" i="144"/>
  <c r="J91" i="144" s="1"/>
  <c r="E91" i="144" s="1"/>
  <c r="E93" i="144" s="1"/>
  <c r="E51" i="144"/>
  <c r="E58" i="144" s="1"/>
  <c r="J11" i="144"/>
  <c r="K11" i="144" s="1"/>
  <c r="M11" i="144" s="1"/>
  <c r="J2" i="144" l="1"/>
  <c r="M108" i="144"/>
  <c r="N108" i="144"/>
  <c r="O108" i="144"/>
  <c r="P108" i="144"/>
  <c r="G26" i="138"/>
  <c r="H26" i="138"/>
  <c r="M61" i="144"/>
  <c r="E31" i="138" s="1"/>
  <c r="N61" i="144"/>
  <c r="F31" i="138" s="1"/>
  <c r="O61" i="144"/>
  <c r="G31" i="138" s="1"/>
  <c r="P61" i="144"/>
  <c r="H31" i="138" s="1"/>
  <c r="M47" i="144"/>
  <c r="E34" i="138" s="1"/>
  <c r="N47" i="144"/>
  <c r="F34" i="138" s="1"/>
  <c r="O47" i="144"/>
  <c r="G34" i="138" s="1"/>
  <c r="P47" i="144"/>
  <c r="H34" i="138" s="1"/>
  <c r="N38" i="144"/>
  <c r="F32" i="138" s="1"/>
  <c r="O38" i="144"/>
  <c r="G32" i="138" s="1"/>
  <c r="P38" i="144"/>
  <c r="H32" i="138" s="1"/>
  <c r="M3" i="144"/>
  <c r="N3" i="144"/>
  <c r="O3" i="144"/>
  <c r="P3" i="144"/>
  <c r="J61" i="144"/>
  <c r="H69" i="144"/>
  <c r="J107" i="144"/>
  <c r="K107" i="144" s="1"/>
  <c r="L107" i="144" s="1"/>
  <c r="J106" i="144"/>
  <c r="K106" i="144" s="1"/>
  <c r="L106" i="144" s="1"/>
  <c r="J96" i="144"/>
  <c r="K96" i="144" s="1"/>
  <c r="N96" i="144" s="1"/>
  <c r="J97" i="144"/>
  <c r="J98" i="144"/>
  <c r="K98" i="144" s="1"/>
  <c r="M98" i="144" s="1"/>
  <c r="J99" i="144"/>
  <c r="J100" i="144"/>
  <c r="K100" i="144" s="1"/>
  <c r="J101" i="144"/>
  <c r="K101" i="144" s="1"/>
  <c r="M101" i="144" s="1"/>
  <c r="J102" i="144"/>
  <c r="J95" i="144"/>
  <c r="J64" i="144"/>
  <c r="K64" i="144" s="1"/>
  <c r="L64" i="144" s="1"/>
  <c r="J65" i="144"/>
  <c r="J66" i="144"/>
  <c r="K66" i="144" s="1"/>
  <c r="L66" i="144" s="1"/>
  <c r="J67" i="144"/>
  <c r="J68" i="144"/>
  <c r="K68" i="144" s="1"/>
  <c r="M68" i="144" s="1"/>
  <c r="J70" i="144"/>
  <c r="K70" i="144" s="1"/>
  <c r="L70" i="144" s="1"/>
  <c r="J71" i="144"/>
  <c r="J72" i="144"/>
  <c r="K72" i="144" s="1"/>
  <c r="L72" i="144" s="1"/>
  <c r="J73" i="144"/>
  <c r="K73" i="144" s="1"/>
  <c r="M73" i="144" s="1"/>
  <c r="J74" i="144"/>
  <c r="K74" i="144" s="1"/>
  <c r="L74" i="144" s="1"/>
  <c r="J75" i="144"/>
  <c r="J76" i="144"/>
  <c r="K76" i="144" s="1"/>
  <c r="J77" i="144"/>
  <c r="K77" i="144" s="1"/>
  <c r="L77" i="144" s="1"/>
  <c r="J78" i="144"/>
  <c r="J79" i="144"/>
  <c r="K79" i="144" s="1"/>
  <c r="L79" i="144" s="1"/>
  <c r="J80" i="144"/>
  <c r="K80" i="144" s="1"/>
  <c r="L80" i="144" s="1"/>
  <c r="J81" i="144"/>
  <c r="K81" i="144" s="1"/>
  <c r="L81" i="144" s="1"/>
  <c r="J82" i="144"/>
  <c r="K82" i="144" s="1"/>
  <c r="L82" i="144" s="1"/>
  <c r="J83" i="144"/>
  <c r="J84" i="144"/>
  <c r="J85" i="144"/>
  <c r="J86" i="144"/>
  <c r="J87" i="144"/>
  <c r="K87" i="144" s="1"/>
  <c r="J88" i="144"/>
  <c r="K88" i="144" s="1"/>
  <c r="M88" i="144" s="1"/>
  <c r="J89" i="144"/>
  <c r="J63" i="144"/>
  <c r="J50" i="144"/>
  <c r="K50" i="144" s="1"/>
  <c r="L50" i="144" s="1"/>
  <c r="D36" i="138" s="1"/>
  <c r="J52" i="144"/>
  <c r="K52" i="144" s="1"/>
  <c r="L52" i="144" s="1"/>
  <c r="J53" i="144"/>
  <c r="K53" i="144" s="1"/>
  <c r="L53" i="144" s="1"/>
  <c r="J54" i="144"/>
  <c r="K54" i="144" s="1"/>
  <c r="L54" i="144" s="1"/>
  <c r="J49" i="144"/>
  <c r="J47" i="144"/>
  <c r="J41" i="144"/>
  <c r="K41" i="144" s="1"/>
  <c r="L41" i="144" s="1"/>
  <c r="J42" i="144"/>
  <c r="K42" i="144" s="1"/>
  <c r="M42" i="144" s="1"/>
  <c r="M44" i="144" s="1"/>
  <c r="E29" i="138" s="1"/>
  <c r="J40" i="144"/>
  <c r="J36" i="144"/>
  <c r="K36" i="144" s="1"/>
  <c r="M36" i="144" s="1"/>
  <c r="J37" i="144"/>
  <c r="K37" i="144" s="1"/>
  <c r="M37" i="144" s="1"/>
  <c r="J16" i="144"/>
  <c r="K16" i="144" s="1"/>
  <c r="L16" i="144" s="1"/>
  <c r="J17" i="144"/>
  <c r="K17" i="144" s="1"/>
  <c r="L17" i="144" s="1"/>
  <c r="J18" i="144"/>
  <c r="J19" i="144"/>
  <c r="K19" i="144" s="1"/>
  <c r="M19" i="144" s="1"/>
  <c r="J20" i="144"/>
  <c r="K20" i="144" s="1"/>
  <c r="N20" i="144" s="1"/>
  <c r="J21" i="144"/>
  <c r="J22" i="144"/>
  <c r="K22" i="144" s="1"/>
  <c r="M22" i="144" s="1"/>
  <c r="J23" i="144"/>
  <c r="K23" i="144" s="1"/>
  <c r="M23" i="144" s="1"/>
  <c r="J24" i="144"/>
  <c r="J15" i="144"/>
  <c r="J6" i="144"/>
  <c r="J7" i="144"/>
  <c r="J8" i="144"/>
  <c r="J9" i="144"/>
  <c r="K10" i="144"/>
  <c r="M10" i="144" s="1"/>
  <c r="J5" i="144"/>
  <c r="E108" i="144"/>
  <c r="E38" i="144"/>
  <c r="F61" i="144"/>
  <c r="G61" i="144"/>
  <c r="H61" i="144"/>
  <c r="I61" i="144"/>
  <c r="E61" i="144"/>
  <c r="I108" i="144"/>
  <c r="I47" i="144"/>
  <c r="I38" i="144"/>
  <c r="I97" i="144"/>
  <c r="I99" i="144"/>
  <c r="I102" i="144"/>
  <c r="I89" i="144"/>
  <c r="I84" i="144"/>
  <c r="I86" i="144"/>
  <c r="I78" i="144"/>
  <c r="I69" i="144"/>
  <c r="I85" i="144"/>
  <c r="I75" i="144"/>
  <c r="I71" i="144"/>
  <c r="I65" i="144"/>
  <c r="I67" i="144"/>
  <c r="I24" i="144"/>
  <c r="I21" i="144"/>
  <c r="I7" i="144"/>
  <c r="I6" i="144"/>
  <c r="I9" i="144"/>
  <c r="I8" i="144"/>
  <c r="I2" i="144"/>
  <c r="E3" i="144"/>
  <c r="F3" i="144"/>
  <c r="G3" i="144"/>
  <c r="H3" i="144"/>
  <c r="F38" i="144"/>
  <c r="G38" i="144"/>
  <c r="H38" i="144"/>
  <c r="E47" i="144"/>
  <c r="F47" i="144"/>
  <c r="G47" i="144"/>
  <c r="H47" i="144"/>
  <c r="F108" i="144"/>
  <c r="G108" i="144"/>
  <c r="H108" i="144"/>
  <c r="F20" i="137"/>
  <c r="F19" i="137"/>
  <c r="K9" i="137"/>
  <c r="M9" i="137"/>
  <c r="F50" i="143"/>
  <c r="D50" i="143" s="1"/>
  <c r="I32" i="143" s="1"/>
  <c r="E41" i="143"/>
  <c r="E53" i="143" s="1"/>
  <c r="F33" i="143"/>
  <c r="E33" i="143"/>
  <c r="F32" i="143"/>
  <c r="E32" i="143"/>
  <c r="D20" i="143"/>
  <c r="F7" i="204" s="1"/>
  <c r="D19" i="143"/>
  <c r="D18" i="143"/>
  <c r="F5" i="204" s="1"/>
  <c r="D12" i="143"/>
  <c r="B12" i="143" s="1"/>
  <c r="B11" i="143"/>
  <c r="B10" i="143"/>
  <c r="F6" i="188" l="1"/>
  <c r="F6" i="204"/>
  <c r="B18" i="143"/>
  <c r="F5" i="188"/>
  <c r="F20" i="143"/>
  <c r="F7" i="188"/>
  <c r="O9" i="137"/>
  <c r="E19" i="143"/>
  <c r="F6" i="177"/>
  <c r="F6" i="147"/>
  <c r="D22" i="143"/>
  <c r="D23" i="143"/>
  <c r="F5" i="137"/>
  <c r="F6" i="137"/>
  <c r="F7" i="177"/>
  <c r="F7" i="147"/>
  <c r="I18" i="143"/>
  <c r="F5" i="177"/>
  <c r="F5" i="147"/>
  <c r="F7" i="137"/>
  <c r="N104" i="144"/>
  <c r="F26" i="138" s="1"/>
  <c r="K95" i="144"/>
  <c r="J104" i="144"/>
  <c r="M104" i="144"/>
  <c r="E26" i="138" s="1"/>
  <c r="I104" i="144"/>
  <c r="I13" i="144"/>
  <c r="J13" i="144"/>
  <c r="G24" i="138"/>
  <c r="O111" i="144"/>
  <c r="G111" i="144"/>
  <c r="L108" i="144"/>
  <c r="D40" i="138" s="1"/>
  <c r="F24" i="138"/>
  <c r="H24" i="138"/>
  <c r="P111" i="144"/>
  <c r="F111" i="144"/>
  <c r="E24" i="138"/>
  <c r="E111" i="144"/>
  <c r="K63" i="144"/>
  <c r="I93" i="144"/>
  <c r="J69" i="144"/>
  <c r="J93" i="144" s="1"/>
  <c r="H93" i="144"/>
  <c r="H111" i="144" s="1"/>
  <c r="K49" i="144"/>
  <c r="J58" i="144"/>
  <c r="K40" i="144"/>
  <c r="J44" i="144"/>
  <c r="I27" i="144"/>
  <c r="K7" i="144"/>
  <c r="L7" i="144" s="1"/>
  <c r="N27" i="144"/>
  <c r="F27" i="138" s="1"/>
  <c r="K18" i="144"/>
  <c r="K2" i="144"/>
  <c r="K3" i="144" s="1"/>
  <c r="K71" i="144"/>
  <c r="L71" i="144" s="1"/>
  <c r="K67" i="144"/>
  <c r="L67" i="144" s="1"/>
  <c r="M27" i="144"/>
  <c r="E27" i="138" s="1"/>
  <c r="K15" i="144"/>
  <c r="J27" i="144"/>
  <c r="K5" i="144"/>
  <c r="M5" i="144" s="1"/>
  <c r="K9" i="144"/>
  <c r="M9" i="144" s="1"/>
  <c r="K84" i="144"/>
  <c r="L84" i="144" s="1"/>
  <c r="M38" i="144"/>
  <c r="E32" i="138" s="1"/>
  <c r="P110" i="144"/>
  <c r="K99" i="144"/>
  <c r="L99" i="144" s="1"/>
  <c r="K86" i="144"/>
  <c r="L86" i="144" s="1"/>
  <c r="K8" i="144"/>
  <c r="M8" i="144" s="1"/>
  <c r="O110" i="144"/>
  <c r="K6" i="144"/>
  <c r="L6" i="144" s="1"/>
  <c r="K83" i="144"/>
  <c r="L83" i="144" s="1"/>
  <c r="K75" i="144"/>
  <c r="L75" i="144" s="1"/>
  <c r="K97" i="144"/>
  <c r="L97" i="144" s="1"/>
  <c r="K24" i="144"/>
  <c r="L24" i="144" s="1"/>
  <c r="K89" i="144"/>
  <c r="L89" i="144" s="1"/>
  <c r="K65" i="144"/>
  <c r="L65" i="144" s="1"/>
  <c r="K102" i="144"/>
  <c r="L102" i="144" s="1"/>
  <c r="K21" i="144"/>
  <c r="L21" i="144" s="1"/>
  <c r="K78" i="144"/>
  <c r="L78" i="144" s="1"/>
  <c r="K85" i="144"/>
  <c r="M85" i="144" s="1"/>
  <c r="M93" i="144" s="1"/>
  <c r="E30" i="138" s="1"/>
  <c r="K108" i="144"/>
  <c r="J38" i="144"/>
  <c r="J3" i="144"/>
  <c r="E110" i="144"/>
  <c r="J108" i="144"/>
  <c r="I3" i="144"/>
  <c r="F110" i="144"/>
  <c r="G110" i="144"/>
  <c r="I19" i="143"/>
  <c r="D24" i="143"/>
  <c r="D35" i="143"/>
  <c r="D21" i="143"/>
  <c r="D29" i="143"/>
  <c r="F19" i="143"/>
  <c r="D30" i="143"/>
  <c r="D26" i="143"/>
  <c r="D27" i="143"/>
  <c r="E50" i="143"/>
  <c r="I20" i="143"/>
  <c r="D51" i="143"/>
  <c r="E51" i="143" s="1"/>
  <c r="F18" i="143"/>
  <c r="I33" i="143"/>
  <c r="D42" i="143"/>
  <c r="E20" i="143"/>
  <c r="F8" i="188" l="1"/>
  <c r="F8" i="204"/>
  <c r="F22" i="188"/>
  <c r="F22" i="204"/>
  <c r="F11" i="188"/>
  <c r="F11" i="204"/>
  <c r="F9" i="188"/>
  <c r="F9" i="204"/>
  <c r="F12" i="204" s="1"/>
  <c r="F14" i="188"/>
  <c r="F14" i="204"/>
  <c r="F17" i="188"/>
  <c r="F17" i="204"/>
  <c r="F10" i="188"/>
  <c r="F10" i="204"/>
  <c r="F13" i="188"/>
  <c r="F13" i="204"/>
  <c r="F16" i="188"/>
  <c r="F16" i="204"/>
  <c r="H110" i="144"/>
  <c r="G112" i="144"/>
  <c r="F10" i="177"/>
  <c r="F10" i="147"/>
  <c r="F10" i="137"/>
  <c r="F16" i="177"/>
  <c r="F16" i="147"/>
  <c r="F16" i="137"/>
  <c r="F14" i="177"/>
  <c r="F14" i="147"/>
  <c r="F14" i="137"/>
  <c r="F13" i="177"/>
  <c r="F13" i="147"/>
  <c r="F13" i="137"/>
  <c r="F11" i="177"/>
  <c r="F11" i="147"/>
  <c r="F11" i="137"/>
  <c r="F9" i="177"/>
  <c r="F9" i="147"/>
  <c r="F9" i="137"/>
  <c r="E23" i="143"/>
  <c r="F23" i="143"/>
  <c r="I23" i="143"/>
  <c r="F8" i="177"/>
  <c r="F8" i="147"/>
  <c r="F8" i="137"/>
  <c r="F22" i="177"/>
  <c r="F22" i="147"/>
  <c r="F22" i="137"/>
  <c r="F17" i="177"/>
  <c r="F17" i="147"/>
  <c r="F17" i="137"/>
  <c r="E112" i="144"/>
  <c r="L2" i="144"/>
  <c r="L3" i="144" s="1"/>
  <c r="M13" i="144"/>
  <c r="M110" i="144" s="1"/>
  <c r="F112" i="144"/>
  <c r="L95" i="144"/>
  <c r="L104" i="144" s="1"/>
  <c r="D26" i="138" s="1"/>
  <c r="K104" i="144"/>
  <c r="O112" i="144"/>
  <c r="N111" i="144"/>
  <c r="L13" i="144"/>
  <c r="D25" i="138" s="1"/>
  <c r="K13" i="144"/>
  <c r="P112" i="144"/>
  <c r="K69" i="144"/>
  <c r="L69" i="144" s="1"/>
  <c r="J111" i="144"/>
  <c r="H112" i="144"/>
  <c r="I111" i="144"/>
  <c r="L63" i="144"/>
  <c r="L49" i="144"/>
  <c r="K58" i="144"/>
  <c r="L40" i="144"/>
  <c r="L44" i="144" s="1"/>
  <c r="D29" i="138" s="1"/>
  <c r="K44" i="144"/>
  <c r="N110" i="144"/>
  <c r="L18" i="144"/>
  <c r="L15" i="144"/>
  <c r="K27" i="144"/>
  <c r="K47" i="144"/>
  <c r="L47" i="144"/>
  <c r="D34" i="138" s="1"/>
  <c r="K61" i="144"/>
  <c r="L61" i="144"/>
  <c r="D31" i="138" s="1"/>
  <c r="I110" i="144"/>
  <c r="J110" i="144"/>
  <c r="E24" i="143"/>
  <c r="I24" i="143"/>
  <c r="F24" i="143"/>
  <c r="E35" i="143"/>
  <c r="F35" i="143"/>
  <c r="I35" i="143"/>
  <c r="F29" i="143"/>
  <c r="E29" i="143"/>
  <c r="I29" i="143"/>
  <c r="I27" i="143"/>
  <c r="F27" i="143"/>
  <c r="E27" i="143"/>
  <c r="I30" i="143"/>
  <c r="F30" i="143"/>
  <c r="E30" i="143"/>
  <c r="I22" i="143"/>
  <c r="F22" i="143"/>
  <c r="E22" i="143"/>
  <c r="E21" i="143"/>
  <c r="F21" i="143"/>
  <c r="I21" i="143"/>
  <c r="F42" i="143"/>
  <c r="E42" i="143"/>
  <c r="I26" i="143"/>
  <c r="F26" i="143"/>
  <c r="E26" i="143"/>
  <c r="D25" i="143"/>
  <c r="G21" i="143" s="1"/>
  <c r="F12" i="188" l="1"/>
  <c r="F25" i="143"/>
  <c r="F12" i="177"/>
  <c r="F12" i="147"/>
  <c r="F12" i="137"/>
  <c r="N112" i="144"/>
  <c r="E25" i="138"/>
  <c r="M111" i="144"/>
  <c r="M112" i="144" s="1"/>
  <c r="J112" i="144"/>
  <c r="K93" i="144"/>
  <c r="L93" i="144"/>
  <c r="D30" i="138" s="1"/>
  <c r="D24" i="138"/>
  <c r="I112" i="144"/>
  <c r="L58" i="144"/>
  <c r="D37" i="138"/>
  <c r="L27" i="144"/>
  <c r="D27" i="138" s="1"/>
  <c r="J150" i="144"/>
  <c r="D34" i="143"/>
  <c r="D28" i="143"/>
  <c r="E25" i="143"/>
  <c r="G20" i="143"/>
  <c r="I25" i="143"/>
  <c r="D43" i="143"/>
  <c r="G23" i="143"/>
  <c r="G18" i="143"/>
  <c r="G19" i="143"/>
  <c r="G22" i="143"/>
  <c r="G24" i="143"/>
  <c r="F15" i="188" l="1"/>
  <c r="F18" i="188" s="1"/>
  <c r="F15" i="204"/>
  <c r="F18" i="204" s="1"/>
  <c r="F21" i="188"/>
  <c r="F23" i="188" s="1"/>
  <c r="F21" i="204"/>
  <c r="F23" i="204" s="1"/>
  <c r="F24" i="188"/>
  <c r="F15" i="177"/>
  <c r="F18" i="177" s="1"/>
  <c r="F15" i="147"/>
  <c r="F18" i="147" s="1"/>
  <c r="F15" i="137"/>
  <c r="F18" i="137" s="1"/>
  <c r="F21" i="177"/>
  <c r="F23" i="177" s="1"/>
  <c r="F21" i="147"/>
  <c r="F23" i="147" s="1"/>
  <c r="F21" i="137"/>
  <c r="F23" i="137" s="1"/>
  <c r="F43" i="143"/>
  <c r="E43" i="143"/>
  <c r="F28" i="143"/>
  <c r="F31" i="143" s="1"/>
  <c r="E28" i="143"/>
  <c r="E31" i="143" s="1"/>
  <c r="I28" i="143"/>
  <c r="D31" i="143"/>
  <c r="G28" i="143" s="1"/>
  <c r="E34" i="143"/>
  <c r="I34" i="143"/>
  <c r="D36" i="143"/>
  <c r="G34" i="143" s="1"/>
  <c r="F34" i="143"/>
  <c r="F36" i="143" s="1"/>
  <c r="F24" i="204" l="1"/>
  <c r="F24" i="137"/>
  <c r="F24" i="147"/>
  <c r="F24" i="177"/>
  <c r="I36" i="143"/>
  <c r="D45" i="143"/>
  <c r="G32" i="143"/>
  <c r="G36" i="143"/>
  <c r="E36" i="143"/>
  <c r="G33" i="143"/>
  <c r="G35" i="143"/>
  <c r="F37" i="143"/>
  <c r="D44" i="143"/>
  <c r="I31" i="143"/>
  <c r="G27" i="143"/>
  <c r="G26" i="143"/>
  <c r="G30" i="143"/>
  <c r="G29" i="143"/>
  <c r="D37" i="143"/>
  <c r="H36" i="143" s="1"/>
  <c r="H31" i="143" l="1"/>
  <c r="E44" i="143"/>
  <c r="F44" i="143"/>
  <c r="D46" i="143"/>
  <c r="E45" i="143"/>
  <c r="F45" i="143"/>
  <c r="H32" i="143"/>
  <c r="H33" i="143"/>
  <c r="I37" i="143"/>
  <c r="H20" i="143"/>
  <c r="E37" i="143"/>
  <c r="H23" i="143"/>
  <c r="H18" i="143"/>
  <c r="H19" i="143"/>
  <c r="H24" i="143"/>
  <c r="H35" i="143"/>
  <c r="H27" i="143"/>
  <c r="H26" i="143"/>
  <c r="H29" i="143"/>
  <c r="H22" i="143"/>
  <c r="H21" i="143"/>
  <c r="H30" i="143"/>
  <c r="H25" i="143"/>
  <c r="H28" i="143"/>
  <c r="H34" i="143"/>
  <c r="D47" i="143" l="1"/>
  <c r="E46" i="143"/>
  <c r="B55" i="143" s="1"/>
  <c r="D54" i="143"/>
  <c r="F46" i="143"/>
  <c r="E54" i="143" l="1"/>
  <c r="D55" i="143"/>
  <c r="D48" i="143"/>
  <c r="E47" i="143"/>
  <c r="E48" i="143" s="1"/>
  <c r="F54" i="143" l="1"/>
  <c r="F55" i="143"/>
  <c r="N29" i="137" l="1"/>
  <c r="G18" i="132"/>
  <c r="K5" i="137"/>
  <c r="K6" i="137"/>
  <c r="K7" i="137"/>
  <c r="K11" i="137"/>
  <c r="K8" i="137"/>
  <c r="K10" i="137"/>
  <c r="K13" i="137"/>
  <c r="K14" i="137"/>
  <c r="K15" i="137"/>
  <c r="K16" i="137"/>
  <c r="K17" i="137"/>
  <c r="K19" i="137"/>
  <c r="K20" i="137"/>
  <c r="K22" i="137"/>
  <c r="N16" i="137"/>
  <c r="I11" i="136"/>
  <c r="K11" i="136" s="1"/>
  <c r="I12" i="136"/>
  <c r="K12" i="136" s="1"/>
  <c r="I13" i="136"/>
  <c r="K13" i="136" s="1"/>
  <c r="I14" i="136"/>
  <c r="K14" i="136" s="1"/>
  <c r="I15" i="136"/>
  <c r="K15" i="136" s="1"/>
  <c r="I35" i="136"/>
  <c r="E39" i="139"/>
  <c r="L16" i="137" l="1"/>
  <c r="L18" i="137" s="1"/>
  <c r="K12" i="137"/>
  <c r="K18" i="137"/>
  <c r="I27" i="141"/>
  <c r="I26" i="141"/>
  <c r="I25" i="141"/>
  <c r="I24" i="141"/>
  <c r="I23" i="141"/>
  <c r="I22" i="141"/>
  <c r="I21" i="141"/>
  <c r="I20" i="141"/>
  <c r="I19" i="141"/>
  <c r="I18" i="141"/>
  <c r="I17" i="141"/>
  <c r="I16" i="141"/>
  <c r="I15" i="141"/>
  <c r="I14" i="141"/>
  <c r="I10" i="141"/>
  <c r="I8" i="141"/>
  <c r="I7" i="141"/>
  <c r="L18" i="147" l="1"/>
  <c r="O16" i="147"/>
  <c r="C30" i="157" s="1"/>
  <c r="I30" i="157" s="1"/>
  <c r="E8" i="139"/>
  <c r="E16" i="139"/>
  <c r="E21" i="139"/>
  <c r="I18" i="138"/>
  <c r="I17" i="138"/>
  <c r="I39" i="138"/>
  <c r="I38" i="138"/>
  <c r="N28" i="137"/>
  <c r="O35" i="137"/>
  <c r="N30" i="137"/>
  <c r="N27" i="137"/>
  <c r="N26" i="137"/>
  <c r="N18" i="137"/>
  <c r="N19" i="137"/>
  <c r="N20" i="137"/>
  <c r="J22" i="137"/>
  <c r="O22" i="137" s="1"/>
  <c r="I22" i="137"/>
  <c r="Q22" i="137" s="1"/>
  <c r="I21" i="137"/>
  <c r="Q21" i="137" s="1"/>
  <c r="J20" i="137"/>
  <c r="I20" i="137"/>
  <c r="Q20" i="137" s="1"/>
  <c r="J19" i="137"/>
  <c r="I19" i="137"/>
  <c r="Q19" i="137" s="1"/>
  <c r="J17" i="137"/>
  <c r="O17" i="137" s="1"/>
  <c r="I17" i="137"/>
  <c r="Q17" i="137" s="1"/>
  <c r="J16" i="137"/>
  <c r="I16" i="137"/>
  <c r="Q16" i="137" s="1"/>
  <c r="J15" i="137"/>
  <c r="O15" i="137" s="1"/>
  <c r="I15" i="137"/>
  <c r="Q15" i="137" s="1"/>
  <c r="I14" i="137"/>
  <c r="Q14" i="137" s="1"/>
  <c r="J13" i="137"/>
  <c r="O13" i="137" s="1"/>
  <c r="I13" i="137"/>
  <c r="Q13" i="137" s="1"/>
  <c r="J10" i="137"/>
  <c r="I10" i="137"/>
  <c r="Q10" i="137" s="1"/>
  <c r="J8" i="137"/>
  <c r="I8" i="137"/>
  <c r="Q8" i="137" s="1"/>
  <c r="J11" i="137"/>
  <c r="O11" i="137" s="1"/>
  <c r="I11" i="137"/>
  <c r="Q11" i="137" s="1"/>
  <c r="J7" i="137"/>
  <c r="O7" i="137" s="1"/>
  <c r="I7" i="137"/>
  <c r="J6" i="137"/>
  <c r="I6" i="137"/>
  <c r="Q6" i="137" s="1"/>
  <c r="J5" i="137"/>
  <c r="I5" i="137"/>
  <c r="Q5" i="137" s="1"/>
  <c r="C28" i="137"/>
  <c r="E27" i="137"/>
  <c r="D27" i="137"/>
  <c r="D28" i="137" s="1"/>
  <c r="D23" i="137"/>
  <c r="C22" i="137"/>
  <c r="C21" i="137"/>
  <c r="E20" i="137"/>
  <c r="C20" i="137"/>
  <c r="E19" i="137"/>
  <c r="C19" i="137"/>
  <c r="D18" i="137"/>
  <c r="C17" i="137"/>
  <c r="C16" i="137"/>
  <c r="C15" i="137"/>
  <c r="C14" i="137"/>
  <c r="C13" i="137"/>
  <c r="C10" i="137"/>
  <c r="C8" i="137"/>
  <c r="D7" i="137"/>
  <c r="C7" i="137"/>
  <c r="C6" i="137"/>
  <c r="C5" i="137"/>
  <c r="I10" i="136"/>
  <c r="I16" i="136" s="1"/>
  <c r="G16" i="136"/>
  <c r="H16" i="136"/>
  <c r="I18" i="136"/>
  <c r="I19" i="136"/>
  <c r="I20" i="136"/>
  <c r="C36" i="138" s="1"/>
  <c r="I21" i="136"/>
  <c r="C35" i="138" s="1"/>
  <c r="I22" i="136"/>
  <c r="I23" i="136"/>
  <c r="I24" i="136"/>
  <c r="I25" i="136"/>
  <c r="I26" i="136"/>
  <c r="I27" i="136"/>
  <c r="I28" i="136"/>
  <c r="G29" i="136"/>
  <c r="H29" i="136"/>
  <c r="I31" i="136"/>
  <c r="K31" i="136" s="1"/>
  <c r="G32" i="136"/>
  <c r="H32" i="136"/>
  <c r="F11" i="132"/>
  <c r="J14" i="137" s="1"/>
  <c r="K19" i="136" l="1"/>
  <c r="H7" i="137"/>
  <c r="H12" i="137" s="1"/>
  <c r="Q7" i="137"/>
  <c r="K24" i="136"/>
  <c r="L19" i="137"/>
  <c r="L6" i="137"/>
  <c r="L12" i="137" s="1"/>
  <c r="P5" i="147"/>
  <c r="L5" i="137"/>
  <c r="O5" i="137" s="1"/>
  <c r="O20" i="147"/>
  <c r="L20" i="137"/>
  <c r="O20" i="137" s="1"/>
  <c r="C25" i="138" s="1"/>
  <c r="I25" i="138" s="1"/>
  <c r="P16" i="147"/>
  <c r="P18" i="147" s="1"/>
  <c r="O18" i="147"/>
  <c r="K21" i="137"/>
  <c r="K23" i="137" s="1"/>
  <c r="K24" i="137" s="1"/>
  <c r="J21" i="137"/>
  <c r="J12" i="137"/>
  <c r="I12" i="137"/>
  <c r="D21" i="138"/>
  <c r="E40" i="138" s="1"/>
  <c r="I19" i="138"/>
  <c r="D12" i="137"/>
  <c r="D24" i="137" s="1"/>
  <c r="D30" i="137" s="1"/>
  <c r="D31" i="137" s="1"/>
  <c r="P11" i="137"/>
  <c r="G34" i="136"/>
  <c r="I32" i="136"/>
  <c r="H34" i="136"/>
  <c r="I29" i="136"/>
  <c r="J18" i="137"/>
  <c r="C23" i="137"/>
  <c r="C31" i="138"/>
  <c r="I31" i="138" s="1"/>
  <c r="P22" i="137"/>
  <c r="N23" i="137"/>
  <c r="P7" i="137"/>
  <c r="C28" i="138"/>
  <c r="I28" i="138" s="1"/>
  <c r="P17" i="137"/>
  <c r="C12" i="137"/>
  <c r="I18" i="137"/>
  <c r="I23" i="137"/>
  <c r="C18" i="137"/>
  <c r="E48" i="139"/>
  <c r="I36" i="138"/>
  <c r="I35" i="138"/>
  <c r="Q23" i="137"/>
  <c r="P15" i="137"/>
  <c r="C34" i="138"/>
  <c r="E13" i="134"/>
  <c r="E20" i="134"/>
  <c r="E22" i="134" s="1"/>
  <c r="M6" i="137" s="1"/>
  <c r="E27" i="134"/>
  <c r="E31" i="134"/>
  <c r="E37" i="134"/>
  <c r="M10" i="137" s="1"/>
  <c r="O10" i="137" s="1"/>
  <c r="E42" i="134"/>
  <c r="M14" i="137" s="1"/>
  <c r="O14" i="137" s="1"/>
  <c r="E62" i="134"/>
  <c r="M16" i="137" s="1"/>
  <c r="O16" i="137" s="1"/>
  <c r="D6" i="133"/>
  <c r="D11" i="125"/>
  <c r="F18" i="132"/>
  <c r="E18" i="132"/>
  <c r="D18" i="132"/>
  <c r="C18" i="132"/>
  <c r="B18" i="132"/>
  <c r="J106" i="127"/>
  <c r="J105" i="127"/>
  <c r="H19" i="129"/>
  <c r="H20" i="129"/>
  <c r="H21" i="129"/>
  <c r="H18" i="129"/>
  <c r="H13" i="129"/>
  <c r="H14" i="129"/>
  <c r="H15" i="129"/>
  <c r="H16" i="129"/>
  <c r="H12" i="129"/>
  <c r="H8" i="129"/>
  <c r="H9" i="129"/>
  <c r="H10" i="129"/>
  <c r="H6" i="129"/>
  <c r="H5" i="129"/>
  <c r="I7" i="129"/>
  <c r="I8" i="129"/>
  <c r="O8" i="129" s="1"/>
  <c r="E19" i="129"/>
  <c r="E18" i="129"/>
  <c r="N32" i="188" l="1"/>
  <c r="N33" i="188" s="1"/>
  <c r="N35" i="188" s="1"/>
  <c r="P35" i="188" s="1"/>
  <c r="N32" i="204"/>
  <c r="N33" i="204" s="1"/>
  <c r="N35" i="204" s="1"/>
  <c r="P35" i="204" s="1"/>
  <c r="O21" i="137"/>
  <c r="C44" i="190" s="1"/>
  <c r="J107" i="127"/>
  <c r="J109" i="127" s="1"/>
  <c r="O18" i="137"/>
  <c r="I34" i="136"/>
  <c r="I36" i="136" s="1"/>
  <c r="M19" i="137"/>
  <c r="M23" i="137" s="1"/>
  <c r="M8" i="137"/>
  <c r="O8" i="137" s="1"/>
  <c r="P8" i="137" s="1"/>
  <c r="N6" i="137"/>
  <c r="N12" i="137" s="1"/>
  <c r="N24" i="137" s="1"/>
  <c r="D13" i="133"/>
  <c r="J23" i="137"/>
  <c r="J24" i="137" s="1"/>
  <c r="N32" i="177"/>
  <c r="N33" i="177" s="1"/>
  <c r="N35" i="177" s="1"/>
  <c r="P35" i="177" s="1"/>
  <c r="N32" i="147"/>
  <c r="N33" i="147" s="1"/>
  <c r="P21" i="137"/>
  <c r="C42" i="160"/>
  <c r="C40" i="157"/>
  <c r="I40" i="157" s="1"/>
  <c r="P20" i="147"/>
  <c r="C25" i="157"/>
  <c r="P5" i="137"/>
  <c r="C24" i="138"/>
  <c r="I24" i="138" s="1"/>
  <c r="L12" i="147"/>
  <c r="L23" i="137"/>
  <c r="L24" i="137" s="1"/>
  <c r="L23" i="147"/>
  <c r="O19" i="147"/>
  <c r="C26" i="157" s="1"/>
  <c r="I26" i="157" s="1"/>
  <c r="Q12" i="137"/>
  <c r="E21" i="138"/>
  <c r="F21" i="138" s="1"/>
  <c r="C24" i="137"/>
  <c r="C30" i="137" s="1"/>
  <c r="C31" i="137" s="1"/>
  <c r="H24" i="137"/>
  <c r="P20" i="137"/>
  <c r="E68" i="134"/>
  <c r="E65" i="134"/>
  <c r="C30" i="138"/>
  <c r="P16" i="137"/>
  <c r="N32" i="137"/>
  <c r="C37" i="138"/>
  <c r="C40" i="138"/>
  <c r="I24" i="137"/>
  <c r="P10" i="137"/>
  <c r="C29" i="138"/>
  <c r="I34" i="138"/>
  <c r="Q18" i="137"/>
  <c r="P13" i="137"/>
  <c r="F50" i="131"/>
  <c r="E41" i="131"/>
  <c r="E53" i="131" s="1"/>
  <c r="E33" i="131"/>
  <c r="E32" i="131"/>
  <c r="O25" i="131"/>
  <c r="D7" i="131" s="1"/>
  <c r="F33" i="131" s="1"/>
  <c r="M25" i="131"/>
  <c r="B22" i="131"/>
  <c r="D20" i="131"/>
  <c r="B19" i="131"/>
  <c r="D18" i="131"/>
  <c r="P17" i="131"/>
  <c r="P25" i="131" s="1"/>
  <c r="B10" i="131"/>
  <c r="E5" i="188" l="1"/>
  <c r="E5" i="204"/>
  <c r="O19" i="137"/>
  <c r="O23" i="137" s="1"/>
  <c r="I44" i="190"/>
  <c r="C27" i="190"/>
  <c r="C26" i="190" s="1"/>
  <c r="M26" i="131"/>
  <c r="D5" i="131" s="1"/>
  <c r="M12" i="137"/>
  <c r="C32" i="138"/>
  <c r="C25" i="160"/>
  <c r="I42" i="160"/>
  <c r="B18" i="131"/>
  <c r="E5" i="177"/>
  <c r="E5" i="147"/>
  <c r="E5" i="137"/>
  <c r="E5" i="129"/>
  <c r="E69" i="134"/>
  <c r="E67" i="134"/>
  <c r="O6" i="137"/>
  <c r="O12" i="137" s="1"/>
  <c r="O24" i="137" s="1"/>
  <c r="I25" i="157"/>
  <c r="C23" i="157"/>
  <c r="L24" i="147"/>
  <c r="P19" i="147"/>
  <c r="P23" i="147" s="1"/>
  <c r="O23" i="147"/>
  <c r="O12" i="147"/>
  <c r="P6" i="147"/>
  <c r="P12" i="147" s="1"/>
  <c r="T28" i="137"/>
  <c r="T29" i="137" s="1"/>
  <c r="F40" i="138"/>
  <c r="F23" i="138" s="1"/>
  <c r="N33" i="137"/>
  <c r="Q24" i="137"/>
  <c r="M18" i="137"/>
  <c r="C26" i="138"/>
  <c r="P19" i="137"/>
  <c r="P23" i="137" s="1"/>
  <c r="I29" i="138"/>
  <c r="E23" i="138"/>
  <c r="I30" i="138"/>
  <c r="G21" i="138"/>
  <c r="G40" i="138"/>
  <c r="G23" i="138" s="1"/>
  <c r="F32" i="131"/>
  <c r="D11" i="131"/>
  <c r="D42" i="131"/>
  <c r="E20" i="131"/>
  <c r="F20" i="131"/>
  <c r="F18" i="131"/>
  <c r="C27" i="138" l="1"/>
  <c r="I27" i="138" s="1"/>
  <c r="M24" i="137"/>
  <c r="D26" i="190"/>
  <c r="E26" i="190" s="1"/>
  <c r="F26" i="190" s="1"/>
  <c r="G26" i="190" s="1"/>
  <c r="H26" i="190" s="1"/>
  <c r="I27" i="190"/>
  <c r="P6" i="137"/>
  <c r="P12" i="137" s="1"/>
  <c r="C24" i="160"/>
  <c r="D24" i="160" s="1"/>
  <c r="E24" i="160" s="1"/>
  <c r="F24" i="160" s="1"/>
  <c r="G24" i="160" s="1"/>
  <c r="H24" i="160" s="1"/>
  <c r="I24" i="160" s="1"/>
  <c r="I25" i="160"/>
  <c r="C22" i="157"/>
  <c r="D22" i="157" s="1"/>
  <c r="I23" i="157"/>
  <c r="O24" i="147"/>
  <c r="P24" i="147"/>
  <c r="H40" i="138"/>
  <c r="H23" i="138" s="1"/>
  <c r="I21" i="138"/>
  <c r="I26" i="138"/>
  <c r="C23" i="138"/>
  <c r="C22" i="138" s="1"/>
  <c r="P14" i="137"/>
  <c r="P18" i="137" s="1"/>
  <c r="P24" i="137" s="1"/>
  <c r="D21" i="131"/>
  <c r="B11" i="131"/>
  <c r="D12" i="131"/>
  <c r="B12" i="131" s="1"/>
  <c r="D22" i="131"/>
  <c r="D50" i="131"/>
  <c r="E42" i="131"/>
  <c r="F42" i="131"/>
  <c r="E7" i="188" l="1"/>
  <c r="E7" i="204"/>
  <c r="E19" i="190"/>
  <c r="E7" i="177"/>
  <c r="E7" i="147"/>
  <c r="E7" i="137"/>
  <c r="E7" i="129"/>
  <c r="E22" i="157"/>
  <c r="C49" i="147"/>
  <c r="N34" i="147"/>
  <c r="N35" i="147" s="1"/>
  <c r="P35" i="147" s="1"/>
  <c r="I40" i="138"/>
  <c r="I37" i="138"/>
  <c r="I33" i="131"/>
  <c r="D51" i="131"/>
  <c r="E51" i="131" s="1"/>
  <c r="E50" i="131"/>
  <c r="I20" i="131"/>
  <c r="I32" i="131"/>
  <c r="I18" i="131"/>
  <c r="I22" i="131"/>
  <c r="F22" i="131"/>
  <c r="E22" i="131"/>
  <c r="I21" i="131"/>
  <c r="F21" i="131"/>
  <c r="E21" i="131"/>
  <c r="D19" i="131"/>
  <c r="E6" i="188" l="1"/>
  <c r="E6" i="204"/>
  <c r="F19" i="190"/>
  <c r="G19" i="190"/>
  <c r="D27" i="131"/>
  <c r="E14" i="177"/>
  <c r="E14" i="147"/>
  <c r="E14" i="137"/>
  <c r="E6" i="177"/>
  <c r="E6" i="147"/>
  <c r="E6" i="137"/>
  <c r="E6" i="129"/>
  <c r="F22" i="157"/>
  <c r="G22" i="157" s="1"/>
  <c r="H22" i="157" s="1"/>
  <c r="I22" i="157" s="1"/>
  <c r="H49" i="147"/>
  <c r="C50" i="147"/>
  <c r="H50" i="147" s="1"/>
  <c r="N34" i="137"/>
  <c r="N35" i="137" s="1"/>
  <c r="P35" i="137" s="1"/>
  <c r="C49" i="137"/>
  <c r="H49" i="137" s="1"/>
  <c r="E27" i="131"/>
  <c r="D35" i="131"/>
  <c r="D23" i="131"/>
  <c r="E19" i="131"/>
  <c r="D29" i="131"/>
  <c r="D30" i="131"/>
  <c r="F19" i="131"/>
  <c r="D24" i="131"/>
  <c r="D26" i="131"/>
  <c r="I19" i="131"/>
  <c r="E8" i="188" l="1"/>
  <c r="E8" i="204"/>
  <c r="E12" i="204" s="1"/>
  <c r="E14" i="188"/>
  <c r="E14" i="204"/>
  <c r="E17" i="188"/>
  <c r="E17" i="204"/>
  <c r="E22" i="188"/>
  <c r="E22" i="204"/>
  <c r="E13" i="188"/>
  <c r="E13" i="204"/>
  <c r="E10" i="204"/>
  <c r="E11" i="204"/>
  <c r="E16" i="188"/>
  <c r="E16" i="204"/>
  <c r="F27" i="131"/>
  <c r="I27" i="131"/>
  <c r="E13" i="129"/>
  <c r="H19" i="190"/>
  <c r="I26" i="190"/>
  <c r="E11" i="188"/>
  <c r="E10" i="188"/>
  <c r="E17" i="177"/>
  <c r="E17" i="147"/>
  <c r="E17" i="137"/>
  <c r="E16" i="129"/>
  <c r="E13" i="177"/>
  <c r="E13" i="147"/>
  <c r="E13" i="137"/>
  <c r="E12" i="129"/>
  <c r="E11" i="177"/>
  <c r="E10" i="177"/>
  <c r="E11" i="147"/>
  <c r="E10" i="147"/>
  <c r="E11" i="137"/>
  <c r="E10" i="137"/>
  <c r="E10" i="129"/>
  <c r="E8" i="129"/>
  <c r="E16" i="177"/>
  <c r="E16" i="147"/>
  <c r="E16" i="137"/>
  <c r="E15" i="129"/>
  <c r="D25" i="131"/>
  <c r="G18" i="131" s="1"/>
  <c r="E8" i="177"/>
  <c r="E8" i="147"/>
  <c r="E8" i="137"/>
  <c r="E9" i="129"/>
  <c r="E22" i="177"/>
  <c r="E22" i="147"/>
  <c r="E22" i="137"/>
  <c r="E21" i="129"/>
  <c r="C50" i="137"/>
  <c r="H50" i="137" s="1"/>
  <c r="F35" i="131"/>
  <c r="E35" i="131"/>
  <c r="I35" i="131"/>
  <c r="E26" i="131"/>
  <c r="I26" i="131"/>
  <c r="F26" i="131"/>
  <c r="F24" i="131"/>
  <c r="E24" i="131"/>
  <c r="I24" i="131"/>
  <c r="I30" i="131"/>
  <c r="F30" i="131"/>
  <c r="E30" i="131"/>
  <c r="I23" i="131"/>
  <c r="F23" i="131"/>
  <c r="E23" i="131"/>
  <c r="E29" i="131"/>
  <c r="F29" i="131"/>
  <c r="I29" i="131"/>
  <c r="E12" i="137" l="1"/>
  <c r="G23" i="131"/>
  <c r="E12" i="188"/>
  <c r="E11" i="129"/>
  <c r="F25" i="131"/>
  <c r="E12" i="177"/>
  <c r="D43" i="131"/>
  <c r="F43" i="131" s="1"/>
  <c r="G20" i="131"/>
  <c r="G24" i="131"/>
  <c r="E25" i="131"/>
  <c r="I25" i="131"/>
  <c r="D28" i="131"/>
  <c r="E15" i="204" s="1"/>
  <c r="E18" i="204" s="1"/>
  <c r="E24" i="204" s="1"/>
  <c r="E30" i="204" s="1"/>
  <c r="E31" i="204" s="1"/>
  <c r="G21" i="131"/>
  <c r="E12" i="147"/>
  <c r="D34" i="131"/>
  <c r="E21" i="204" s="1"/>
  <c r="E23" i="204" s="1"/>
  <c r="G19" i="131"/>
  <c r="G22" i="131"/>
  <c r="F28" i="131" l="1"/>
  <c r="F31" i="131" s="1"/>
  <c r="E15" i="188"/>
  <c r="E18" i="188" s="1"/>
  <c r="D36" i="131"/>
  <c r="G32" i="131" s="1"/>
  <c r="E21" i="188"/>
  <c r="E23" i="188" s="1"/>
  <c r="E24" i="188" s="1"/>
  <c r="E30" i="188" s="1"/>
  <c r="E31" i="188" s="1"/>
  <c r="E43" i="131"/>
  <c r="I34" i="131"/>
  <c r="F34" i="131"/>
  <c r="F36" i="131" s="1"/>
  <c r="F37" i="131" s="1"/>
  <c r="E28" i="131"/>
  <c r="E31" i="131" s="1"/>
  <c r="I28" i="131"/>
  <c r="E21" i="177"/>
  <c r="E23" i="177" s="1"/>
  <c r="E21" i="147"/>
  <c r="E23" i="147" s="1"/>
  <c r="E21" i="137"/>
  <c r="E23" i="137" s="1"/>
  <c r="E20" i="129"/>
  <c r="E15" i="177"/>
  <c r="E18" i="177" s="1"/>
  <c r="E15" i="147"/>
  <c r="E18" i="147" s="1"/>
  <c r="E15" i="137"/>
  <c r="E18" i="137" s="1"/>
  <c r="E14" i="129"/>
  <c r="D31" i="131"/>
  <c r="E34" i="131"/>
  <c r="G36" i="131"/>
  <c r="G33" i="131"/>
  <c r="D45" i="131"/>
  <c r="I36" i="131"/>
  <c r="G34" i="131"/>
  <c r="E36" i="131" l="1"/>
  <c r="G35" i="131"/>
  <c r="E24" i="137"/>
  <c r="E30" i="137" s="1"/>
  <c r="E31" i="137" s="1"/>
  <c r="E24" i="177"/>
  <c r="E30" i="177" s="1"/>
  <c r="E31" i="177" s="1"/>
  <c r="D44" i="131"/>
  <c r="D37" i="131"/>
  <c r="I31" i="131"/>
  <c r="G30" i="131"/>
  <c r="G27" i="131"/>
  <c r="G26" i="131"/>
  <c r="G28" i="131"/>
  <c r="G29" i="131"/>
  <c r="E24" i="147"/>
  <c r="E30" i="147" s="1"/>
  <c r="E31" i="147" s="1"/>
  <c r="F45" i="131"/>
  <c r="E45" i="131"/>
  <c r="D46" i="131"/>
  <c r="H34" i="131" l="1"/>
  <c r="E37" i="131"/>
  <c r="H30" i="131"/>
  <c r="H20" i="131"/>
  <c r="H26" i="131"/>
  <c r="H22" i="131"/>
  <c r="H33" i="131"/>
  <c r="H19" i="131"/>
  <c r="I37" i="131"/>
  <c r="H28" i="131"/>
  <c r="H32" i="131"/>
  <c r="H24" i="131"/>
  <c r="H18" i="131"/>
  <c r="H29" i="131"/>
  <c r="H21" i="131"/>
  <c r="H35" i="131"/>
  <c r="H27" i="131"/>
  <c r="H23" i="131"/>
  <c r="H25" i="131"/>
  <c r="H36" i="131"/>
  <c r="H31" i="131"/>
  <c r="E44" i="131"/>
  <c r="F44" i="131"/>
  <c r="F46" i="131" s="1"/>
  <c r="D47" i="131"/>
  <c r="E46" i="131"/>
  <c r="B55" i="131" s="1"/>
  <c r="D54" i="131"/>
  <c r="I5" i="129"/>
  <c r="O5" i="129" s="1"/>
  <c r="F19" i="129"/>
  <c r="G8" i="129" l="1"/>
  <c r="D55" i="131"/>
  <c r="E54" i="131"/>
  <c r="E47" i="131"/>
  <c r="E48" i="131" s="1"/>
  <c r="D48" i="131"/>
  <c r="E26" i="129"/>
  <c r="F14" i="129" s="1"/>
  <c r="C27" i="129"/>
  <c r="D26" i="129"/>
  <c r="D27" i="129" s="1"/>
  <c r="F9" i="129"/>
  <c r="F10" i="129"/>
  <c r="F8" i="129"/>
  <c r="F5" i="129"/>
  <c r="F12" i="129"/>
  <c r="F16" i="129"/>
  <c r="F18" i="129"/>
  <c r="F20" i="129"/>
  <c r="F21" i="129"/>
  <c r="F6" i="129"/>
  <c r="E22" i="129"/>
  <c r="K24" i="127"/>
  <c r="J88" i="127"/>
  <c r="N86" i="127"/>
  <c r="N88" i="127" s="1"/>
  <c r="G26" i="130" s="1"/>
  <c r="L86" i="127"/>
  <c r="J37" i="130"/>
  <c r="J38" i="130"/>
  <c r="K85" i="127"/>
  <c r="L85" i="127"/>
  <c r="L84" i="127"/>
  <c r="K84" i="127"/>
  <c r="K74" i="127"/>
  <c r="R69" i="127"/>
  <c r="R70" i="127" s="1"/>
  <c r="R71" i="127" s="1"/>
  <c r="J34" i="127"/>
  <c r="J35" i="127" s="1"/>
  <c r="L23" i="127"/>
  <c r="J38" i="127"/>
  <c r="J37" i="127"/>
  <c r="J10" i="129"/>
  <c r="E35" i="130"/>
  <c r="F35" i="130"/>
  <c r="G35" i="130"/>
  <c r="H35" i="130"/>
  <c r="I35" i="130"/>
  <c r="E34" i="130"/>
  <c r="F34" i="130"/>
  <c r="G34" i="130"/>
  <c r="H34" i="130"/>
  <c r="I34" i="130"/>
  <c r="D34" i="130"/>
  <c r="C19" i="130"/>
  <c r="D39" i="130" s="1"/>
  <c r="C17" i="130"/>
  <c r="J17" i="130" s="1"/>
  <c r="J36" i="130"/>
  <c r="C42" i="130"/>
  <c r="C43" i="130" s="1"/>
  <c r="C45" i="130" s="1"/>
  <c r="C46" i="130" s="1"/>
  <c r="I21" i="130"/>
  <c r="I39" i="130" s="1"/>
  <c r="J18" i="130"/>
  <c r="M34" i="129"/>
  <c r="L29" i="129"/>
  <c r="L26" i="129"/>
  <c r="L25" i="129"/>
  <c r="L19" i="129"/>
  <c r="L18" i="129"/>
  <c r="L6" i="129"/>
  <c r="L11" i="129" s="1"/>
  <c r="J5" i="129"/>
  <c r="J21" i="129"/>
  <c r="M21" i="129" s="1"/>
  <c r="I21" i="129"/>
  <c r="O21" i="129" s="1"/>
  <c r="J20" i="129"/>
  <c r="M20" i="129" s="1"/>
  <c r="I20" i="129"/>
  <c r="O20" i="129" s="1"/>
  <c r="J19" i="129"/>
  <c r="I19" i="129"/>
  <c r="O19" i="129" s="1"/>
  <c r="J18" i="129"/>
  <c r="I18" i="129"/>
  <c r="O18" i="129" s="1"/>
  <c r="J16" i="129"/>
  <c r="M16" i="129" s="1"/>
  <c r="I16" i="129"/>
  <c r="O16" i="129" s="1"/>
  <c r="J15" i="129"/>
  <c r="I15" i="129"/>
  <c r="O15" i="129" s="1"/>
  <c r="J14" i="129"/>
  <c r="M14" i="129" s="1"/>
  <c r="C31" i="130" s="1"/>
  <c r="I14" i="129"/>
  <c r="O14" i="129" s="1"/>
  <c r="J13" i="129"/>
  <c r="I13" i="129"/>
  <c r="O13" i="129" s="1"/>
  <c r="J12" i="129"/>
  <c r="M12" i="129" s="1"/>
  <c r="C33" i="130" s="1"/>
  <c r="I12" i="129"/>
  <c r="O12" i="129" s="1"/>
  <c r="I10" i="129"/>
  <c r="O10" i="129" s="1"/>
  <c r="J9" i="129"/>
  <c r="I9" i="129"/>
  <c r="O9" i="129" s="1"/>
  <c r="J8" i="129"/>
  <c r="J7" i="129"/>
  <c r="M7" i="129" s="1"/>
  <c r="C28" i="130" s="1"/>
  <c r="J6" i="129"/>
  <c r="I6" i="129"/>
  <c r="O6" i="129" s="1"/>
  <c r="D22" i="129"/>
  <c r="C21" i="129"/>
  <c r="G21" i="129" s="1"/>
  <c r="C20" i="129"/>
  <c r="G20" i="129" s="1"/>
  <c r="C19" i="129"/>
  <c r="G19" i="129" s="1"/>
  <c r="C18" i="129"/>
  <c r="G18" i="129" s="1"/>
  <c r="L17" i="129"/>
  <c r="D17" i="129"/>
  <c r="C16" i="129"/>
  <c r="G16" i="129" s="1"/>
  <c r="C15" i="129"/>
  <c r="G15" i="129" s="1"/>
  <c r="C14" i="129"/>
  <c r="G14" i="129" s="1"/>
  <c r="C13" i="129"/>
  <c r="G13" i="129" s="1"/>
  <c r="C12" i="129"/>
  <c r="C10" i="129"/>
  <c r="G10" i="129" s="1"/>
  <c r="C9" i="129"/>
  <c r="G9" i="129" s="1"/>
  <c r="D7" i="129"/>
  <c r="C7" i="129"/>
  <c r="G7" i="129" s="1"/>
  <c r="C6" i="129"/>
  <c r="G6" i="129" s="1"/>
  <c r="C5" i="129"/>
  <c r="G5" i="129" s="1"/>
  <c r="H27" i="128"/>
  <c r="G27" i="128"/>
  <c r="I26" i="128"/>
  <c r="I27" i="128" s="1"/>
  <c r="H24" i="128"/>
  <c r="G24" i="128"/>
  <c r="I23" i="128"/>
  <c r="I22" i="128"/>
  <c r="I21" i="128"/>
  <c r="I20" i="128"/>
  <c r="I19" i="128"/>
  <c r="I18" i="128"/>
  <c r="I17" i="128"/>
  <c r="I16" i="128"/>
  <c r="C34" i="130" s="1"/>
  <c r="I15" i="128"/>
  <c r="C35" i="130" s="1"/>
  <c r="I14" i="128"/>
  <c r="H12" i="128"/>
  <c r="G12" i="128"/>
  <c r="I11" i="128"/>
  <c r="I10" i="128"/>
  <c r="I9" i="128"/>
  <c r="I8" i="128"/>
  <c r="I7" i="128"/>
  <c r="I6" i="128"/>
  <c r="C16" i="128"/>
  <c r="L27" i="129" s="1"/>
  <c r="C19" i="128"/>
  <c r="C26" i="128"/>
  <c r="C39" i="128"/>
  <c r="C40" i="128"/>
  <c r="C48" i="128"/>
  <c r="K3" i="127"/>
  <c r="F4" i="127"/>
  <c r="G4" i="127"/>
  <c r="H4" i="127"/>
  <c r="I4" i="127"/>
  <c r="J4" i="127"/>
  <c r="L4" i="127"/>
  <c r="E24" i="130" s="1"/>
  <c r="M4" i="127"/>
  <c r="F24" i="130" s="1"/>
  <c r="N4" i="127"/>
  <c r="G24" i="130" s="1"/>
  <c r="O4" i="127"/>
  <c r="H24" i="130" s="1"/>
  <c r="P4" i="127"/>
  <c r="I24" i="130" s="1"/>
  <c r="K6" i="127"/>
  <c r="K7" i="127"/>
  <c r="L8" i="127"/>
  <c r="L9" i="127"/>
  <c r="F10" i="127"/>
  <c r="G10" i="127"/>
  <c r="H10" i="127"/>
  <c r="I10" i="127"/>
  <c r="J10" i="127"/>
  <c r="M10" i="127"/>
  <c r="F25" i="130" s="1"/>
  <c r="N10" i="127"/>
  <c r="G25" i="130" s="1"/>
  <c r="O10" i="127"/>
  <c r="H25" i="130" s="1"/>
  <c r="P10" i="127"/>
  <c r="I25" i="130" s="1"/>
  <c r="K12" i="127"/>
  <c r="K13" i="127"/>
  <c r="K14" i="127"/>
  <c r="L15" i="127"/>
  <c r="M17" i="127"/>
  <c r="M18" i="127"/>
  <c r="K19" i="127"/>
  <c r="K20" i="127"/>
  <c r="K21" i="127"/>
  <c r="K22" i="127"/>
  <c r="F27" i="127"/>
  <c r="G27" i="127"/>
  <c r="H27" i="127"/>
  <c r="I27" i="127"/>
  <c r="J27" i="127"/>
  <c r="N27" i="127"/>
  <c r="G27" i="130" s="1"/>
  <c r="O27" i="127"/>
  <c r="H27" i="130" s="1"/>
  <c r="P27" i="127"/>
  <c r="I27" i="130" s="1"/>
  <c r="F30" i="127"/>
  <c r="G30" i="127"/>
  <c r="H30" i="127"/>
  <c r="I30" i="127"/>
  <c r="J30" i="127"/>
  <c r="K30" i="127"/>
  <c r="D28" i="130" s="1"/>
  <c r="L30" i="127"/>
  <c r="E28" i="130" s="1"/>
  <c r="M30" i="127"/>
  <c r="F28" i="130" s="1"/>
  <c r="N30" i="127"/>
  <c r="G28" i="130" s="1"/>
  <c r="O30" i="127"/>
  <c r="H28" i="130" s="1"/>
  <c r="P30" i="127"/>
  <c r="I28" i="130" s="1"/>
  <c r="M32" i="127"/>
  <c r="M35" i="127" s="1"/>
  <c r="F32" i="130" s="1"/>
  <c r="K33" i="127"/>
  <c r="K35" i="127" s="1"/>
  <c r="D32" i="130" s="1"/>
  <c r="F35" i="127"/>
  <c r="G35" i="127"/>
  <c r="H35" i="127"/>
  <c r="I35" i="127"/>
  <c r="L35" i="127"/>
  <c r="E32" i="130" s="1"/>
  <c r="N35" i="127"/>
  <c r="G32" i="130" s="1"/>
  <c r="O35" i="127"/>
  <c r="H32" i="130" s="1"/>
  <c r="P35" i="127"/>
  <c r="I32" i="130" s="1"/>
  <c r="F39" i="127"/>
  <c r="G39" i="127"/>
  <c r="H39" i="127"/>
  <c r="I39" i="127"/>
  <c r="L39" i="127"/>
  <c r="E29" i="130" s="1"/>
  <c r="M39" i="127"/>
  <c r="F29" i="130" s="1"/>
  <c r="N39" i="127"/>
  <c r="G29" i="130" s="1"/>
  <c r="O39" i="127"/>
  <c r="H29" i="130" s="1"/>
  <c r="P39" i="127"/>
  <c r="I29" i="130" s="1"/>
  <c r="J41" i="127"/>
  <c r="J42" i="127" s="1"/>
  <c r="F42" i="127"/>
  <c r="G42" i="127"/>
  <c r="H42" i="127"/>
  <c r="I42" i="127"/>
  <c r="K42" i="127"/>
  <c r="D33" i="130" s="1"/>
  <c r="L42" i="127"/>
  <c r="E33" i="130" s="1"/>
  <c r="M42" i="127"/>
  <c r="F33" i="130" s="1"/>
  <c r="N42" i="127"/>
  <c r="G33" i="130" s="1"/>
  <c r="O42" i="127"/>
  <c r="H33" i="130" s="1"/>
  <c r="P42" i="127"/>
  <c r="I33" i="130" s="1"/>
  <c r="J44" i="127"/>
  <c r="J45" i="127"/>
  <c r="F46" i="127"/>
  <c r="G46" i="127"/>
  <c r="H46" i="127"/>
  <c r="I46" i="127"/>
  <c r="K46" i="127"/>
  <c r="D31" i="130" s="1"/>
  <c r="L46" i="127"/>
  <c r="E31" i="130" s="1"/>
  <c r="M46" i="127"/>
  <c r="F31" i="130" s="1"/>
  <c r="N46" i="127"/>
  <c r="G31" i="130" s="1"/>
  <c r="O46" i="127"/>
  <c r="H31" i="130" s="1"/>
  <c r="P46" i="127"/>
  <c r="I31" i="130" s="1"/>
  <c r="K48" i="127"/>
  <c r="J49" i="127"/>
  <c r="J50" i="127"/>
  <c r="F51" i="127"/>
  <c r="G51" i="127"/>
  <c r="H51" i="127"/>
  <c r="I51" i="127"/>
  <c r="L51" i="127"/>
  <c r="M51" i="127"/>
  <c r="N51" i="127"/>
  <c r="O51" i="127"/>
  <c r="P51" i="127"/>
  <c r="K53" i="127"/>
  <c r="K54" i="127"/>
  <c r="K55" i="127"/>
  <c r="L56" i="127"/>
  <c r="L57" i="127"/>
  <c r="K59" i="127"/>
  <c r="K60" i="127"/>
  <c r="K61" i="127"/>
  <c r="K62" i="127"/>
  <c r="K63" i="127"/>
  <c r="K64" i="127"/>
  <c r="K65" i="127"/>
  <c r="L66" i="127"/>
  <c r="K67" i="127"/>
  <c r="K68" i="127"/>
  <c r="L69" i="127"/>
  <c r="K70" i="127"/>
  <c r="L70" i="127"/>
  <c r="K71" i="127"/>
  <c r="K72" i="127"/>
  <c r="L73" i="127"/>
  <c r="K75" i="127"/>
  <c r="L76" i="127"/>
  <c r="M76" i="127"/>
  <c r="M77" i="127" s="1"/>
  <c r="F30" i="130" s="1"/>
  <c r="N76" i="127"/>
  <c r="N77" i="127" s="1"/>
  <c r="G30" i="130" s="1"/>
  <c r="O76" i="127"/>
  <c r="O77" i="127" s="1"/>
  <c r="H30" i="130" s="1"/>
  <c r="P76" i="127"/>
  <c r="P77" i="127" s="1"/>
  <c r="I30" i="130" s="1"/>
  <c r="F77" i="127"/>
  <c r="G77" i="127"/>
  <c r="H77" i="127"/>
  <c r="I77" i="127"/>
  <c r="K79" i="127"/>
  <c r="K80" i="127"/>
  <c r="K81" i="127"/>
  <c r="L82" i="127"/>
  <c r="K83" i="127"/>
  <c r="L87" i="127"/>
  <c r="F88" i="127"/>
  <c r="G88" i="127"/>
  <c r="H88" i="127"/>
  <c r="I88" i="127"/>
  <c r="O88" i="127"/>
  <c r="H26" i="130" s="1"/>
  <c r="P88" i="127"/>
  <c r="I26" i="130" s="1"/>
  <c r="E10" i="126"/>
  <c r="L28" i="129" s="1"/>
  <c r="E14" i="126"/>
  <c r="K5" i="129" s="1"/>
  <c r="E18" i="126"/>
  <c r="K19" i="129" s="1"/>
  <c r="E23" i="126"/>
  <c r="K6" i="129" s="1"/>
  <c r="E27" i="126"/>
  <c r="K9" i="129" s="1"/>
  <c r="E32" i="126"/>
  <c r="K10" i="129" s="1"/>
  <c r="E36" i="126"/>
  <c r="K13" i="129" s="1"/>
  <c r="E58" i="126"/>
  <c r="K15" i="129" s="1"/>
  <c r="E65" i="126"/>
  <c r="K18" i="129" s="1"/>
  <c r="F17" i="124"/>
  <c r="E17" i="124"/>
  <c r="D17" i="124"/>
  <c r="C17" i="124"/>
  <c r="B17" i="124"/>
  <c r="F12" i="113"/>
  <c r="E5" i="120"/>
  <c r="J19" i="130" l="1"/>
  <c r="H29" i="128"/>
  <c r="M9" i="129"/>
  <c r="C32" i="130" s="1"/>
  <c r="J32" i="130" s="1"/>
  <c r="E67" i="126"/>
  <c r="E69" i="126" s="1"/>
  <c r="K51" i="127"/>
  <c r="J110" i="127"/>
  <c r="J111" i="127" s="1"/>
  <c r="D11" i="129"/>
  <c r="D23" i="129" s="1"/>
  <c r="D29" i="129" s="1"/>
  <c r="D30" i="129" s="1"/>
  <c r="O7" i="129"/>
  <c r="O11" i="129" s="1"/>
  <c r="H7" i="129"/>
  <c r="H11" i="129" s="1"/>
  <c r="D21" i="130"/>
  <c r="M5" i="129"/>
  <c r="C24" i="130" s="1"/>
  <c r="L22" i="129"/>
  <c r="L23" i="129" s="1"/>
  <c r="G12" i="129"/>
  <c r="O17" i="129"/>
  <c r="E57" i="131"/>
  <c r="F55" i="131"/>
  <c r="F54" i="131"/>
  <c r="F22" i="129"/>
  <c r="F13" i="129"/>
  <c r="F15" i="129"/>
  <c r="E17" i="129"/>
  <c r="J22" i="129"/>
  <c r="F7" i="129"/>
  <c r="C17" i="129"/>
  <c r="H22" i="129"/>
  <c r="N21" i="129"/>
  <c r="N9" i="129"/>
  <c r="C11" i="129"/>
  <c r="G11" i="129" s="1"/>
  <c r="H17" i="129"/>
  <c r="N20" i="129"/>
  <c r="M13" i="129"/>
  <c r="N13" i="129" s="1"/>
  <c r="C22" i="129"/>
  <c r="G22" i="129" s="1"/>
  <c r="L32" i="129"/>
  <c r="M88" i="127"/>
  <c r="F26" i="130" s="1"/>
  <c r="Q73" i="127"/>
  <c r="Q74" i="127" s="1"/>
  <c r="L74" i="127"/>
  <c r="L77" i="127" s="1"/>
  <c r="E30" i="130" s="1"/>
  <c r="K10" i="127"/>
  <c r="D25" i="130" s="1"/>
  <c r="L88" i="127"/>
  <c r="L27" i="127"/>
  <c r="E27" i="130" s="1"/>
  <c r="K88" i="127"/>
  <c r="D26" i="130" s="1"/>
  <c r="K77" i="127"/>
  <c r="D30" i="130" s="1"/>
  <c r="J11" i="129"/>
  <c r="M10" i="129"/>
  <c r="C29" i="130" s="1"/>
  <c r="J28" i="130"/>
  <c r="J31" i="130"/>
  <c r="K27" i="127"/>
  <c r="D27" i="130" s="1"/>
  <c r="J34" i="130"/>
  <c r="D35" i="130"/>
  <c r="J35" i="130" s="1"/>
  <c r="J33" i="130"/>
  <c r="I23" i="130"/>
  <c r="L10" i="127"/>
  <c r="P91" i="127"/>
  <c r="N90" i="127"/>
  <c r="J51" i="127"/>
  <c r="M27" i="127"/>
  <c r="I91" i="127"/>
  <c r="J76" i="127"/>
  <c r="J77" i="127" s="1"/>
  <c r="J46" i="127"/>
  <c r="G91" i="127"/>
  <c r="H91" i="127"/>
  <c r="F91" i="127"/>
  <c r="K22" i="129"/>
  <c r="M18" i="129"/>
  <c r="M15" i="129"/>
  <c r="C30" i="130" s="1"/>
  <c r="K17" i="129"/>
  <c r="K11" i="129"/>
  <c r="I22" i="129"/>
  <c r="N14" i="129"/>
  <c r="N7" i="129"/>
  <c r="N12" i="129"/>
  <c r="M19" i="129"/>
  <c r="O22" i="129"/>
  <c r="I17" i="129"/>
  <c r="J17" i="129"/>
  <c r="I11" i="129"/>
  <c r="N5" i="129"/>
  <c r="M6" i="129"/>
  <c r="N6" i="129" s="1"/>
  <c r="N16" i="129"/>
  <c r="I12" i="128"/>
  <c r="G29" i="128"/>
  <c r="C27" i="128"/>
  <c r="C42" i="128" s="1"/>
  <c r="I24" i="128"/>
  <c r="O90" i="127"/>
  <c r="P90" i="127"/>
  <c r="O91" i="127"/>
  <c r="K4" i="127"/>
  <c r="D24" i="130" s="1"/>
  <c r="J24" i="130" s="1"/>
  <c r="N91" i="127"/>
  <c r="C23" i="129" l="1"/>
  <c r="C29" i="129" s="1"/>
  <c r="C30" i="129" s="1"/>
  <c r="E21" i="130"/>
  <c r="E39" i="130"/>
  <c r="H23" i="129"/>
  <c r="F17" i="129"/>
  <c r="G17" i="129"/>
  <c r="F11" i="129"/>
  <c r="E23" i="129"/>
  <c r="E29" i="129" s="1"/>
  <c r="E30" i="129" s="1"/>
  <c r="R27" i="129"/>
  <c r="R28" i="129" s="1"/>
  <c r="N10" i="129"/>
  <c r="N11" i="129" s="1"/>
  <c r="M17" i="129"/>
  <c r="N15" i="129"/>
  <c r="N17" i="129" s="1"/>
  <c r="J23" i="129"/>
  <c r="M11" i="129"/>
  <c r="C27" i="130"/>
  <c r="N18" i="129"/>
  <c r="C26" i="130"/>
  <c r="I23" i="129"/>
  <c r="M22" i="129"/>
  <c r="C25" i="130"/>
  <c r="N92" i="127"/>
  <c r="P92" i="127"/>
  <c r="J30" i="130"/>
  <c r="M90" i="127"/>
  <c r="F27" i="130"/>
  <c r="L90" i="127"/>
  <c r="E25" i="130"/>
  <c r="L91" i="127"/>
  <c r="E26" i="130"/>
  <c r="M91" i="127"/>
  <c r="O92" i="127"/>
  <c r="K23" i="129"/>
  <c r="N19" i="129"/>
  <c r="O23" i="129"/>
  <c r="I29" i="128"/>
  <c r="E33" i="117"/>
  <c r="F33" i="117"/>
  <c r="G33" i="117"/>
  <c r="H33" i="117"/>
  <c r="I33" i="117"/>
  <c r="J33" i="117"/>
  <c r="D33" i="117"/>
  <c r="E32" i="117"/>
  <c r="F32" i="117"/>
  <c r="G32" i="117"/>
  <c r="H32" i="117"/>
  <c r="I32" i="117"/>
  <c r="J32" i="117"/>
  <c r="D32" i="117"/>
  <c r="C17" i="117"/>
  <c r="K17" i="117" s="1"/>
  <c r="K18" i="117"/>
  <c r="C19" i="117"/>
  <c r="D20" i="117" s="1"/>
  <c r="J33" i="121"/>
  <c r="I33" i="121"/>
  <c r="K31" i="121"/>
  <c r="K30" i="121"/>
  <c r="K29" i="121"/>
  <c r="K28" i="121"/>
  <c r="K27" i="121"/>
  <c r="K26" i="121"/>
  <c r="K25" i="121"/>
  <c r="K24" i="121"/>
  <c r="C32" i="117" s="1"/>
  <c r="K23" i="121"/>
  <c r="C33" i="117" s="1"/>
  <c r="K22" i="121"/>
  <c r="E34" i="118"/>
  <c r="C14" i="103"/>
  <c r="J34" i="120"/>
  <c r="E46" i="121"/>
  <c r="I29" i="120"/>
  <c r="I26" i="120"/>
  <c r="I25" i="120"/>
  <c r="C14" i="121"/>
  <c r="I27" i="120" s="1"/>
  <c r="C17" i="121"/>
  <c r="C24" i="121"/>
  <c r="C38" i="121"/>
  <c r="C39" i="121" s="1"/>
  <c r="C47" i="121"/>
  <c r="L69" i="119"/>
  <c r="L50" i="119"/>
  <c r="M50" i="119" s="1"/>
  <c r="M56" i="119"/>
  <c r="R62" i="119"/>
  <c r="R64" i="119" s="1"/>
  <c r="J28" i="117" s="1"/>
  <c r="Q62" i="119"/>
  <c r="Q64" i="119" s="1"/>
  <c r="I28" i="117" s="1"/>
  <c r="P62" i="119"/>
  <c r="P64" i="119" s="1"/>
  <c r="H28" i="117" s="1"/>
  <c r="O62" i="119"/>
  <c r="O64" i="119" s="1"/>
  <c r="G28" i="117" s="1"/>
  <c r="N62" i="119"/>
  <c r="M62" i="119"/>
  <c r="L62" i="119"/>
  <c r="L58" i="119"/>
  <c r="L59" i="119"/>
  <c r="M57" i="119"/>
  <c r="L57" i="119"/>
  <c r="E20" i="117" l="1"/>
  <c r="E37" i="117"/>
  <c r="C37" i="117"/>
  <c r="K19" i="117"/>
  <c r="D37" i="117"/>
  <c r="F21" i="130"/>
  <c r="F39" i="130"/>
  <c r="F23" i="130" s="1"/>
  <c r="K33" i="121"/>
  <c r="K34" i="121" s="1"/>
  <c r="C25" i="121"/>
  <c r="C41" i="121" s="1"/>
  <c r="C23" i="130"/>
  <c r="C22" i="130" s="1"/>
  <c r="M23" i="129"/>
  <c r="L33" i="129" s="1"/>
  <c r="L34" i="129" s="1"/>
  <c r="N34" i="129" s="1"/>
  <c r="G23" i="129"/>
  <c r="F23" i="129"/>
  <c r="J27" i="130"/>
  <c r="J26" i="130"/>
  <c r="N22" i="129"/>
  <c r="N23" i="129" s="1"/>
  <c r="M92" i="127"/>
  <c r="J25" i="130"/>
  <c r="E23" i="130"/>
  <c r="L92" i="127"/>
  <c r="F20" i="117"/>
  <c r="K33" i="117"/>
  <c r="K62" i="119"/>
  <c r="M22" i="119"/>
  <c r="I19" i="120"/>
  <c r="I18" i="120"/>
  <c r="I22" i="120" s="1"/>
  <c r="I6" i="120"/>
  <c r="I11" i="120" s="1"/>
  <c r="H15" i="120"/>
  <c r="G5" i="120"/>
  <c r="G21" i="120"/>
  <c r="J21" i="120" s="1"/>
  <c r="G20" i="120"/>
  <c r="J20" i="120" s="1"/>
  <c r="G19" i="120"/>
  <c r="G18" i="120"/>
  <c r="G16" i="120"/>
  <c r="J16" i="120" s="1"/>
  <c r="G15" i="120"/>
  <c r="G14" i="120"/>
  <c r="J14" i="120" s="1"/>
  <c r="C29" i="117" s="1"/>
  <c r="G13" i="120"/>
  <c r="G12" i="120"/>
  <c r="G10" i="120"/>
  <c r="J10" i="120" s="1"/>
  <c r="G9" i="120"/>
  <c r="G8" i="120"/>
  <c r="G7" i="120"/>
  <c r="J7" i="120" s="1"/>
  <c r="G6" i="120"/>
  <c r="F5" i="120"/>
  <c r="L5" i="120" s="1"/>
  <c r="E17" i="113"/>
  <c r="F21" i="120"/>
  <c r="L21" i="120" s="1"/>
  <c r="F20" i="120"/>
  <c r="L20" i="120" s="1"/>
  <c r="F19" i="120"/>
  <c r="L19" i="120" s="1"/>
  <c r="F18" i="120"/>
  <c r="F16" i="120"/>
  <c r="L16" i="120" s="1"/>
  <c r="F15" i="120"/>
  <c r="L15" i="120" s="1"/>
  <c r="F14" i="120"/>
  <c r="L14" i="120" s="1"/>
  <c r="F13" i="120"/>
  <c r="F12" i="120"/>
  <c r="F10" i="120"/>
  <c r="L10" i="120" s="1"/>
  <c r="F9" i="120"/>
  <c r="L9" i="120" s="1"/>
  <c r="F8" i="120"/>
  <c r="F7" i="120"/>
  <c r="F6" i="120"/>
  <c r="L6" i="120" s="1"/>
  <c r="D22" i="120"/>
  <c r="E21" i="120"/>
  <c r="C21" i="120"/>
  <c r="E20" i="120"/>
  <c r="C20" i="120"/>
  <c r="E19" i="120"/>
  <c r="C19" i="120"/>
  <c r="E18" i="120"/>
  <c r="C18" i="120"/>
  <c r="I17" i="120"/>
  <c r="D17" i="120"/>
  <c r="E16" i="120"/>
  <c r="C16" i="120"/>
  <c r="E15" i="120"/>
  <c r="C15" i="120"/>
  <c r="E14" i="120"/>
  <c r="C14" i="120"/>
  <c r="E13" i="120"/>
  <c r="C13" i="120"/>
  <c r="E12" i="120"/>
  <c r="C12" i="120"/>
  <c r="E10" i="120"/>
  <c r="C10" i="120"/>
  <c r="E9" i="120"/>
  <c r="C9" i="120"/>
  <c r="E8" i="120"/>
  <c r="D7" i="120"/>
  <c r="C7" i="120"/>
  <c r="E6" i="120"/>
  <c r="C6" i="120"/>
  <c r="C5" i="120"/>
  <c r="M19" i="119"/>
  <c r="K39" i="119"/>
  <c r="L3" i="119"/>
  <c r="F4" i="119"/>
  <c r="G4" i="119"/>
  <c r="H4" i="119"/>
  <c r="I4" i="119"/>
  <c r="J4" i="119"/>
  <c r="K4" i="119"/>
  <c r="M4" i="119"/>
  <c r="E23" i="117" s="1"/>
  <c r="N4" i="119"/>
  <c r="F23" i="117" s="1"/>
  <c r="O4" i="119"/>
  <c r="G23" i="117" s="1"/>
  <c r="P4" i="119"/>
  <c r="H23" i="117" s="1"/>
  <c r="Q4" i="119"/>
  <c r="I23" i="117" s="1"/>
  <c r="R4" i="119"/>
  <c r="J23" i="117" s="1"/>
  <c r="L6" i="119"/>
  <c r="L7" i="119"/>
  <c r="M8" i="119"/>
  <c r="M9" i="119"/>
  <c r="F10" i="119"/>
  <c r="G10" i="119"/>
  <c r="H10" i="119"/>
  <c r="I10" i="119"/>
  <c r="J10" i="119"/>
  <c r="K10" i="119"/>
  <c r="N10" i="119"/>
  <c r="F24" i="117" s="1"/>
  <c r="O10" i="119"/>
  <c r="G24" i="117" s="1"/>
  <c r="P10" i="119"/>
  <c r="H24" i="117" s="1"/>
  <c r="Q10" i="119"/>
  <c r="I24" i="117" s="1"/>
  <c r="R10" i="119"/>
  <c r="J24" i="117" s="1"/>
  <c r="M12" i="119"/>
  <c r="K14" i="119"/>
  <c r="K23" i="119" s="1"/>
  <c r="L15" i="119"/>
  <c r="M16" i="119"/>
  <c r="L17" i="119"/>
  <c r="M18" i="119"/>
  <c r="F23" i="119"/>
  <c r="G23" i="119"/>
  <c r="H23" i="119"/>
  <c r="I23" i="119"/>
  <c r="J23" i="119"/>
  <c r="N23" i="119"/>
  <c r="F26" i="117" s="1"/>
  <c r="O23" i="119"/>
  <c r="G26" i="117" s="1"/>
  <c r="P23" i="119"/>
  <c r="H26" i="117" s="1"/>
  <c r="Q23" i="119"/>
  <c r="I26" i="117" s="1"/>
  <c r="R23" i="119"/>
  <c r="J26" i="117" s="1"/>
  <c r="F26" i="119"/>
  <c r="G26" i="119"/>
  <c r="H26" i="119"/>
  <c r="I26" i="119"/>
  <c r="J26" i="119"/>
  <c r="K26" i="119"/>
  <c r="L26" i="119"/>
  <c r="D27" i="117" s="1"/>
  <c r="M26" i="119"/>
  <c r="E27" i="117" s="1"/>
  <c r="N26" i="119"/>
  <c r="F27" i="117" s="1"/>
  <c r="O26" i="119"/>
  <c r="G27" i="117" s="1"/>
  <c r="P26" i="119"/>
  <c r="H27" i="117" s="1"/>
  <c r="Q26" i="119"/>
  <c r="I27" i="117" s="1"/>
  <c r="R26" i="119"/>
  <c r="J27" i="117" s="1"/>
  <c r="M28" i="119"/>
  <c r="L30" i="119" s="1"/>
  <c r="D30" i="117" s="1"/>
  <c r="K29" i="119"/>
  <c r="K30" i="119" s="1"/>
  <c r="F30" i="119"/>
  <c r="G30" i="119"/>
  <c r="H30" i="119"/>
  <c r="I30" i="119"/>
  <c r="J30" i="119"/>
  <c r="N30" i="119"/>
  <c r="F30" i="117" s="1"/>
  <c r="O30" i="119"/>
  <c r="G30" i="117" s="1"/>
  <c r="P30" i="119"/>
  <c r="H30" i="117" s="1"/>
  <c r="Q30" i="119"/>
  <c r="I30" i="117" s="1"/>
  <c r="R30" i="119"/>
  <c r="J30" i="117" s="1"/>
  <c r="K32" i="119"/>
  <c r="K33" i="119" s="1"/>
  <c r="F33" i="119"/>
  <c r="G33" i="119"/>
  <c r="H33" i="119"/>
  <c r="I33" i="119"/>
  <c r="J33" i="119"/>
  <c r="L33" i="119"/>
  <c r="D31" i="117" s="1"/>
  <c r="M33" i="119"/>
  <c r="E31" i="117" s="1"/>
  <c r="N33" i="119"/>
  <c r="F31" i="117" s="1"/>
  <c r="O33" i="119"/>
  <c r="G31" i="117" s="1"/>
  <c r="P33" i="119"/>
  <c r="H31" i="117" s="1"/>
  <c r="Q33" i="119"/>
  <c r="I31" i="117" s="1"/>
  <c r="R33" i="119"/>
  <c r="J31" i="117" s="1"/>
  <c r="K35" i="119"/>
  <c r="K36" i="119"/>
  <c r="F37" i="119"/>
  <c r="G37" i="119"/>
  <c r="H37" i="119"/>
  <c r="I37" i="119"/>
  <c r="J37" i="119"/>
  <c r="L37" i="119"/>
  <c r="M37" i="119"/>
  <c r="N37" i="119"/>
  <c r="O37" i="119"/>
  <c r="P37" i="119"/>
  <c r="Q37" i="119"/>
  <c r="R37" i="119"/>
  <c r="K40" i="119"/>
  <c r="F41" i="119"/>
  <c r="G41" i="119"/>
  <c r="H41" i="119"/>
  <c r="I41" i="119"/>
  <c r="J41" i="119"/>
  <c r="L41" i="119"/>
  <c r="D29" i="117" s="1"/>
  <c r="M41" i="119"/>
  <c r="E29" i="117" s="1"/>
  <c r="N41" i="119"/>
  <c r="F29" i="117" s="1"/>
  <c r="O41" i="119"/>
  <c r="G29" i="117" s="1"/>
  <c r="P41" i="119"/>
  <c r="H29" i="117" s="1"/>
  <c r="Q41" i="119"/>
  <c r="I29" i="117" s="1"/>
  <c r="R41" i="119"/>
  <c r="J29" i="117" s="1"/>
  <c r="L43" i="119"/>
  <c r="L44" i="119"/>
  <c r="M44" i="119"/>
  <c r="L45" i="119"/>
  <c r="M45" i="119"/>
  <c r="N45" i="119"/>
  <c r="N64" i="119" s="1"/>
  <c r="F28" i="117" s="1"/>
  <c r="L46" i="119"/>
  <c r="L47" i="119"/>
  <c r="L48" i="119"/>
  <c r="L51" i="119"/>
  <c r="M52" i="119"/>
  <c r="K53" i="119"/>
  <c r="K54" i="119"/>
  <c r="K61" i="119"/>
  <c r="L55" i="119"/>
  <c r="M55" i="119"/>
  <c r="K63" i="119"/>
  <c r="L60" i="119"/>
  <c r="F64" i="119"/>
  <c r="G64" i="119"/>
  <c r="H64" i="119"/>
  <c r="I64" i="119"/>
  <c r="J64" i="119"/>
  <c r="M66" i="119"/>
  <c r="L67" i="119"/>
  <c r="M68" i="119"/>
  <c r="L70" i="119"/>
  <c r="M71" i="119"/>
  <c r="M72" i="119"/>
  <c r="F73" i="119"/>
  <c r="G73" i="119"/>
  <c r="H73" i="119"/>
  <c r="I73" i="119"/>
  <c r="J73" i="119"/>
  <c r="K73" i="119"/>
  <c r="N73" i="119"/>
  <c r="F25" i="117" s="1"/>
  <c r="O73" i="119"/>
  <c r="G25" i="117" s="1"/>
  <c r="P73" i="119"/>
  <c r="H25" i="117" s="1"/>
  <c r="Q73" i="119"/>
  <c r="I25" i="117" s="1"/>
  <c r="R73" i="119"/>
  <c r="J25" i="117" s="1"/>
  <c r="L7" i="120" l="1"/>
  <c r="K21" i="120"/>
  <c r="E7" i="120"/>
  <c r="K16" i="120"/>
  <c r="F22" i="120"/>
  <c r="K7" i="120"/>
  <c r="C27" i="117"/>
  <c r="C11" i="120"/>
  <c r="D11" i="120"/>
  <c r="D23" i="120" s="1"/>
  <c r="L80" i="119"/>
  <c r="C17" i="120"/>
  <c r="G39" i="130"/>
  <c r="G23" i="130" s="1"/>
  <c r="G21" i="130"/>
  <c r="H39" i="130" s="1"/>
  <c r="C22" i="120"/>
  <c r="L77" i="119"/>
  <c r="M27" i="129"/>
  <c r="C48" i="129"/>
  <c r="C49" i="129" s="1"/>
  <c r="H49" i="129" s="1"/>
  <c r="M28" i="129"/>
  <c r="L18" i="120"/>
  <c r="G11" i="120"/>
  <c r="F17" i="120"/>
  <c r="L12" i="120"/>
  <c r="K10" i="120"/>
  <c r="F11" i="120"/>
  <c r="E22" i="120"/>
  <c r="E11" i="120"/>
  <c r="E17" i="120"/>
  <c r="G20" i="117"/>
  <c r="G37" i="117" s="1"/>
  <c r="F37" i="117"/>
  <c r="J15" i="120"/>
  <c r="C28" i="117" s="1"/>
  <c r="G17" i="120"/>
  <c r="M30" i="119"/>
  <c r="E30" i="117" s="1"/>
  <c r="M43" i="119"/>
  <c r="L64" i="119"/>
  <c r="D28" i="117" s="1"/>
  <c r="R75" i="119"/>
  <c r="Q75" i="119"/>
  <c r="P75" i="119"/>
  <c r="O75" i="119"/>
  <c r="L73" i="119"/>
  <c r="D25" i="117" s="1"/>
  <c r="L4" i="119"/>
  <c r="D23" i="117" s="1"/>
  <c r="H17" i="120"/>
  <c r="J13" i="120"/>
  <c r="K13" i="120" s="1"/>
  <c r="L13" i="120"/>
  <c r="L11" i="120"/>
  <c r="K14" i="120"/>
  <c r="L22" i="120"/>
  <c r="I23" i="120"/>
  <c r="J9" i="120"/>
  <c r="J12" i="120"/>
  <c r="K12" i="120" s="1"/>
  <c r="G22" i="120"/>
  <c r="K20" i="120"/>
  <c r="K41" i="119"/>
  <c r="G75" i="119"/>
  <c r="N75" i="119"/>
  <c r="L10" i="119"/>
  <c r="D24" i="117" s="1"/>
  <c r="M10" i="119"/>
  <c r="E24" i="117" s="1"/>
  <c r="I75" i="119"/>
  <c r="J75" i="119"/>
  <c r="F75" i="119"/>
  <c r="K55" i="119"/>
  <c r="K37" i="119"/>
  <c r="H75" i="119"/>
  <c r="M14" i="119"/>
  <c r="L23" i="119" s="1"/>
  <c r="M73" i="119"/>
  <c r="E25" i="117" s="1"/>
  <c r="M60" i="119"/>
  <c r="E11" i="118"/>
  <c r="I28" i="120" s="1"/>
  <c r="I32" i="120" s="1"/>
  <c r="E15" i="118"/>
  <c r="E19" i="118"/>
  <c r="H19" i="120" s="1"/>
  <c r="E23" i="118"/>
  <c r="H6" i="120" s="1"/>
  <c r="J6" i="120" s="1"/>
  <c r="C26" i="117" s="1"/>
  <c r="E38" i="118"/>
  <c r="H18" i="120" s="1"/>
  <c r="J18" i="120" s="1"/>
  <c r="C40" i="117"/>
  <c r="K36" i="117"/>
  <c r="K34" i="117"/>
  <c r="J20" i="117"/>
  <c r="J37" i="117" s="1"/>
  <c r="I20" i="117"/>
  <c r="I37" i="117" s="1"/>
  <c r="H20" i="117"/>
  <c r="H37" i="117" s="1"/>
  <c r="F23" i="120" l="1"/>
  <c r="E23" i="120"/>
  <c r="C23" i="120"/>
  <c r="O27" i="120" s="1"/>
  <c r="O28" i="120" s="1"/>
  <c r="C25" i="117"/>
  <c r="K18" i="120"/>
  <c r="L75" i="119"/>
  <c r="L79" i="119" s="1"/>
  <c r="L81" i="119" s="1"/>
  <c r="H11" i="120"/>
  <c r="C41" i="117"/>
  <c r="C43" i="117" s="1"/>
  <c r="C44" i="117" s="1"/>
  <c r="H48" i="129"/>
  <c r="M32" i="129"/>
  <c r="H23" i="130"/>
  <c r="J39" i="130"/>
  <c r="L17" i="120"/>
  <c r="L23" i="120" s="1"/>
  <c r="K15" i="120"/>
  <c r="K17" i="120" s="1"/>
  <c r="J17" i="120"/>
  <c r="C31" i="117"/>
  <c r="K31" i="117" s="1"/>
  <c r="G23" i="120"/>
  <c r="K9" i="120"/>
  <c r="C30" i="117"/>
  <c r="K30" i="117" s="1"/>
  <c r="K6" i="120"/>
  <c r="D26" i="117"/>
  <c r="D22" i="117" s="1"/>
  <c r="J22" i="117"/>
  <c r="K35" i="117"/>
  <c r="H22" i="120"/>
  <c r="J19" i="120"/>
  <c r="C24" i="117" s="1"/>
  <c r="K24" i="117" s="1"/>
  <c r="E40" i="118"/>
  <c r="E42" i="118" s="1"/>
  <c r="H5" i="120"/>
  <c r="M64" i="119"/>
  <c r="E28" i="117" s="1"/>
  <c r="K28" i="117" s="1"/>
  <c r="J11" i="120"/>
  <c r="M23" i="119"/>
  <c r="K60" i="119"/>
  <c r="K29" i="117"/>
  <c r="I22" i="117"/>
  <c r="F22" i="117"/>
  <c r="G22" i="117"/>
  <c r="K25" i="117"/>
  <c r="K32" i="117"/>
  <c r="K27" i="117"/>
  <c r="H22" i="117"/>
  <c r="K11" i="120" l="1"/>
  <c r="M75" i="119"/>
  <c r="E26" i="117"/>
  <c r="J22" i="120"/>
  <c r="K19" i="120"/>
  <c r="K22" i="120" s="1"/>
  <c r="H23" i="120"/>
  <c r="J5" i="120"/>
  <c r="C23" i="117" s="1"/>
  <c r="K23" i="117" s="1"/>
  <c r="K64" i="119"/>
  <c r="K75" i="119" s="1"/>
  <c r="C22" i="117" l="1"/>
  <c r="C21" i="117" s="1"/>
  <c r="D21" i="117" s="1"/>
  <c r="L82" i="119" s="1"/>
  <c r="L83" i="119" s="1"/>
  <c r="K26" i="117"/>
  <c r="E22" i="117"/>
  <c r="J23" i="120"/>
  <c r="K5" i="120"/>
  <c r="K23" i="120" s="1"/>
  <c r="K37" i="117"/>
  <c r="J28" i="120" l="1"/>
  <c r="C48" i="120"/>
  <c r="C49" i="120" s="1"/>
  <c r="E49" i="120" s="1"/>
  <c r="K22" i="117"/>
  <c r="J27" i="120"/>
  <c r="I33" i="120"/>
  <c r="I34" i="120" s="1"/>
  <c r="K34" i="120" s="1"/>
  <c r="D10" i="114"/>
  <c r="D8" i="105"/>
  <c r="F17" i="113"/>
  <c r="D17" i="113"/>
  <c r="C17" i="113"/>
  <c r="B17" i="113"/>
  <c r="E6" i="112"/>
  <c r="E7" i="112"/>
  <c r="E8" i="112"/>
  <c r="E9" i="112"/>
  <c r="E10" i="112"/>
  <c r="E11" i="112"/>
  <c r="E12" i="112"/>
  <c r="E13" i="112"/>
  <c r="E14" i="112"/>
  <c r="E15" i="112"/>
  <c r="E16" i="112"/>
  <c r="E17" i="112"/>
  <c r="E18" i="112"/>
  <c r="E19" i="112"/>
  <c r="E20" i="112"/>
  <c r="E21" i="112"/>
  <c r="E22" i="112"/>
  <c r="E23" i="112"/>
  <c r="E24" i="112"/>
  <c r="E25" i="112"/>
  <c r="E26" i="112"/>
  <c r="E27" i="112"/>
  <c r="E28" i="112"/>
  <c r="E29" i="112"/>
  <c r="E30" i="112"/>
  <c r="E31" i="112"/>
  <c r="E32" i="112"/>
  <c r="E33" i="112"/>
  <c r="E34" i="112"/>
  <c r="E35" i="112"/>
  <c r="E36" i="112"/>
  <c r="E37" i="112"/>
  <c r="E38" i="112"/>
  <c r="E39" i="112"/>
  <c r="E40" i="112"/>
  <c r="E41" i="112"/>
  <c r="E42" i="112"/>
  <c r="E43" i="112"/>
  <c r="E44" i="112"/>
  <c r="E45" i="112"/>
  <c r="E46" i="112"/>
  <c r="E47" i="112"/>
  <c r="E48" i="112"/>
  <c r="E49" i="112"/>
  <c r="E50" i="112"/>
  <c r="E51" i="112"/>
  <c r="E52" i="112"/>
  <c r="E53" i="112"/>
  <c r="E54" i="112"/>
  <c r="E55" i="112"/>
  <c r="E56" i="112"/>
  <c r="E57" i="112"/>
  <c r="E58" i="112"/>
  <c r="E59" i="112"/>
  <c r="E60" i="112"/>
  <c r="E61" i="112"/>
  <c r="E62" i="112"/>
  <c r="E63" i="112"/>
  <c r="E64" i="112"/>
  <c r="E65" i="112"/>
  <c r="E66" i="112"/>
  <c r="E67" i="112"/>
  <c r="E68" i="112"/>
  <c r="E69" i="112"/>
  <c r="E70" i="112"/>
  <c r="E71" i="112"/>
  <c r="E49" i="111"/>
  <c r="D49" i="111"/>
  <c r="C49" i="111"/>
  <c r="C18" i="110"/>
  <c r="M55" i="109"/>
  <c r="L55" i="109"/>
  <c r="J34" i="108"/>
  <c r="F27" i="110"/>
  <c r="G27" i="110"/>
  <c r="H27" i="110"/>
  <c r="H33" i="110"/>
  <c r="G33" i="110"/>
  <c r="F33" i="110"/>
  <c r="H32" i="110"/>
  <c r="G32" i="110"/>
  <c r="F32" i="110"/>
  <c r="E32" i="110"/>
  <c r="H29" i="110"/>
  <c r="G29" i="110"/>
  <c r="F29" i="110"/>
  <c r="E27" i="110"/>
  <c r="C17" i="110"/>
  <c r="D8" i="110"/>
  <c r="D7" i="110"/>
  <c r="D6" i="110"/>
  <c r="D5" i="110"/>
  <c r="C3" i="110"/>
  <c r="M38" i="109"/>
  <c r="L3" i="109"/>
  <c r="M4" i="109"/>
  <c r="L5" i="109"/>
  <c r="L6" i="109"/>
  <c r="K7" i="109"/>
  <c r="M7" i="109" s="1"/>
  <c r="L8" i="109"/>
  <c r="F9" i="109"/>
  <c r="G9" i="109"/>
  <c r="H9" i="109"/>
  <c r="I9" i="109"/>
  <c r="J9" i="109"/>
  <c r="N9" i="109"/>
  <c r="O9" i="109"/>
  <c r="P9" i="109"/>
  <c r="L11" i="109"/>
  <c r="M11" i="109" s="1"/>
  <c r="L12" i="109"/>
  <c r="L13" i="109"/>
  <c r="L14" i="109"/>
  <c r="L15" i="109"/>
  <c r="M16" i="109"/>
  <c r="L17" i="109"/>
  <c r="L18" i="109"/>
  <c r="L19" i="109"/>
  <c r="L20" i="109"/>
  <c r="L21" i="109"/>
  <c r="L22" i="109"/>
  <c r="L23" i="109"/>
  <c r="L24" i="109"/>
  <c r="L25" i="109"/>
  <c r="L26" i="109"/>
  <c r="L27" i="109"/>
  <c r="L28" i="109"/>
  <c r="L29" i="109"/>
  <c r="L30" i="109"/>
  <c r="M30" i="109"/>
  <c r="M31" i="109"/>
  <c r="M32" i="109"/>
  <c r="F33" i="109"/>
  <c r="G33" i="109"/>
  <c r="H33" i="109"/>
  <c r="I33" i="109"/>
  <c r="J33" i="109"/>
  <c r="K33" i="109"/>
  <c r="N33" i="109"/>
  <c r="G25" i="110" s="1"/>
  <c r="O33" i="109"/>
  <c r="H25" i="110" s="1"/>
  <c r="P33" i="109"/>
  <c r="L35" i="109"/>
  <c r="L36" i="109"/>
  <c r="L37" i="109"/>
  <c r="F38" i="109"/>
  <c r="G38" i="109"/>
  <c r="H38" i="109"/>
  <c r="I38" i="109"/>
  <c r="J38" i="109"/>
  <c r="K38" i="109"/>
  <c r="N38" i="109"/>
  <c r="O38" i="109"/>
  <c r="P38" i="109"/>
  <c r="L40" i="109"/>
  <c r="N40" i="109" s="1"/>
  <c r="N58" i="109" s="1"/>
  <c r="G26" i="110" s="1"/>
  <c r="L41" i="109"/>
  <c r="M42" i="109"/>
  <c r="L43" i="109"/>
  <c r="L44" i="109"/>
  <c r="L46" i="109"/>
  <c r="L47" i="109"/>
  <c r="L48" i="109"/>
  <c r="L49" i="109"/>
  <c r="M49" i="109" s="1"/>
  <c r="F51" i="109"/>
  <c r="H51" i="109"/>
  <c r="J51" i="109"/>
  <c r="J58" i="109" s="1"/>
  <c r="K51" i="109"/>
  <c r="L51" i="109"/>
  <c r="M51" i="109"/>
  <c r="N51" i="109"/>
  <c r="O51" i="109"/>
  <c r="O58" i="109" s="1"/>
  <c r="H26" i="110" s="1"/>
  <c r="F52" i="109"/>
  <c r="H52" i="109"/>
  <c r="J52" i="109"/>
  <c r="K52" i="109"/>
  <c r="F53" i="109"/>
  <c r="H53" i="109"/>
  <c r="J53" i="109"/>
  <c r="K53" i="109"/>
  <c r="F54" i="109"/>
  <c r="H54" i="109"/>
  <c r="J54" i="109"/>
  <c r="K54" i="109"/>
  <c r="F57" i="109"/>
  <c r="H57" i="109"/>
  <c r="J57" i="109"/>
  <c r="K57" i="109"/>
  <c r="L57" i="109"/>
  <c r="G58" i="109"/>
  <c r="I58" i="109"/>
  <c r="M60" i="109"/>
  <c r="M61" i="109"/>
  <c r="M62" i="109"/>
  <c r="L63" i="109"/>
  <c r="L64" i="109"/>
  <c r="F65" i="109"/>
  <c r="G65" i="109"/>
  <c r="H65" i="109"/>
  <c r="I65" i="109"/>
  <c r="J65" i="109"/>
  <c r="K65" i="109"/>
  <c r="N65" i="109"/>
  <c r="G24" i="110" s="1"/>
  <c r="O65" i="109"/>
  <c r="H24" i="110" s="1"/>
  <c r="P65" i="109"/>
  <c r="E37" i="106"/>
  <c r="H15" i="108" s="1"/>
  <c r="H17" i="108" s="1"/>
  <c r="I26" i="108"/>
  <c r="I29" i="108"/>
  <c r="I28" i="108"/>
  <c r="I25" i="108"/>
  <c r="I6" i="108"/>
  <c r="I11" i="108" s="1"/>
  <c r="I19" i="108"/>
  <c r="I18" i="108"/>
  <c r="G21" i="108"/>
  <c r="J21" i="108" s="1"/>
  <c r="G20" i="108"/>
  <c r="J20" i="108" s="1"/>
  <c r="G19" i="108"/>
  <c r="G18" i="108"/>
  <c r="G16" i="108"/>
  <c r="J16" i="108" s="1"/>
  <c r="G15" i="108"/>
  <c r="G14" i="108"/>
  <c r="J14" i="108" s="1"/>
  <c r="D27" i="110" s="1"/>
  <c r="G13" i="108"/>
  <c r="J13" i="108" s="1"/>
  <c r="D31" i="110" s="1"/>
  <c r="G12" i="108"/>
  <c r="J12" i="108" s="1"/>
  <c r="D30" i="110" s="1"/>
  <c r="G10" i="108"/>
  <c r="J10" i="108" s="1"/>
  <c r="G9" i="108"/>
  <c r="G8" i="108"/>
  <c r="G7" i="108"/>
  <c r="J7" i="108" s="1"/>
  <c r="G6" i="108"/>
  <c r="F16" i="108"/>
  <c r="F15" i="108"/>
  <c r="L15" i="108" s="1"/>
  <c r="F14" i="108"/>
  <c r="L14" i="108" s="1"/>
  <c r="F13" i="108"/>
  <c r="L13" i="108" s="1"/>
  <c r="F12" i="108"/>
  <c r="L12" i="108" s="1"/>
  <c r="F10" i="108"/>
  <c r="L10" i="108" s="1"/>
  <c r="F9" i="108"/>
  <c r="L9" i="108" s="1"/>
  <c r="F8" i="108"/>
  <c r="F21" i="108"/>
  <c r="L21" i="108" s="1"/>
  <c r="F20" i="108"/>
  <c r="L20" i="108" s="1"/>
  <c r="F19" i="108"/>
  <c r="L19" i="108" s="1"/>
  <c r="F18" i="108"/>
  <c r="L18" i="108" s="1"/>
  <c r="F7" i="108"/>
  <c r="F6" i="108"/>
  <c r="F5" i="108"/>
  <c r="L5" i="108" s="1"/>
  <c r="D22" i="108"/>
  <c r="E21" i="108"/>
  <c r="C21" i="108"/>
  <c r="E20" i="108"/>
  <c r="C20" i="108"/>
  <c r="E19" i="108"/>
  <c r="C19" i="108"/>
  <c r="E18" i="108"/>
  <c r="C18" i="108"/>
  <c r="I17" i="108"/>
  <c r="D17" i="108"/>
  <c r="E16" i="108"/>
  <c r="C16" i="108"/>
  <c r="E15" i="108"/>
  <c r="C15" i="108"/>
  <c r="E14" i="108"/>
  <c r="C14" i="108"/>
  <c r="E13" i="108"/>
  <c r="C13" i="108"/>
  <c r="E12" i="108"/>
  <c r="C12" i="108"/>
  <c r="E10" i="108"/>
  <c r="C10" i="108"/>
  <c r="E9" i="108"/>
  <c r="C9" i="108"/>
  <c r="E8" i="108"/>
  <c r="D7" i="108"/>
  <c r="D11" i="108" s="1"/>
  <c r="C7" i="108"/>
  <c r="E6" i="108"/>
  <c r="C6" i="108"/>
  <c r="G5" i="108"/>
  <c r="J5" i="108" s="1"/>
  <c r="D22" i="110" s="1"/>
  <c r="E5" i="108"/>
  <c r="C5" i="108"/>
  <c r="E14" i="106"/>
  <c r="H19" i="108" s="1"/>
  <c r="E21" i="106"/>
  <c r="E26" i="106"/>
  <c r="H9" i="108" s="1"/>
  <c r="E41" i="106"/>
  <c r="H18" i="108" s="1"/>
  <c r="J14" i="112"/>
  <c r="H8" i="111"/>
  <c r="I8" i="111"/>
  <c r="K8" i="111"/>
  <c r="J8" i="111"/>
  <c r="L65" i="109" l="1"/>
  <c r="E24" i="110" s="1"/>
  <c r="E48" i="120"/>
  <c r="J32" i="120"/>
  <c r="E21" i="117"/>
  <c r="F21" i="117" s="1"/>
  <c r="G21" i="117" s="1"/>
  <c r="H21" i="117" s="1"/>
  <c r="I21" i="117" s="1"/>
  <c r="J21" i="117" s="1"/>
  <c r="K68" i="109"/>
  <c r="E7" i="108"/>
  <c r="E11" i="108" s="1"/>
  <c r="E43" i="106"/>
  <c r="F58" i="109"/>
  <c r="M9" i="109"/>
  <c r="F23" i="110" s="1"/>
  <c r="K9" i="109"/>
  <c r="K58" i="109"/>
  <c r="P51" i="109"/>
  <c r="P58" i="109" s="1"/>
  <c r="P67" i="109" s="1"/>
  <c r="L9" i="109"/>
  <c r="E23" i="110" s="1"/>
  <c r="D3" i="110"/>
  <c r="G67" i="109"/>
  <c r="E45" i="106"/>
  <c r="D23" i="108"/>
  <c r="H58" i="109"/>
  <c r="H67" i="109" s="1"/>
  <c r="J67" i="109"/>
  <c r="L38" i="109"/>
  <c r="E29" i="110" s="1"/>
  <c r="I67" i="109"/>
  <c r="L58" i="109"/>
  <c r="E26" i="110" s="1"/>
  <c r="M58" i="109"/>
  <c r="F26" i="110" s="1"/>
  <c r="M65" i="109"/>
  <c r="F24" i="110" s="1"/>
  <c r="L33" i="109"/>
  <c r="E25" i="110" s="1"/>
  <c r="G20" i="110"/>
  <c r="M33" i="109"/>
  <c r="F25" i="110" s="1"/>
  <c r="H20" i="110"/>
  <c r="O67" i="109"/>
  <c r="F67" i="109"/>
  <c r="N67" i="109"/>
  <c r="H6" i="108"/>
  <c r="J6" i="108" s="1"/>
  <c r="J15" i="108"/>
  <c r="E22" i="108"/>
  <c r="C17" i="108"/>
  <c r="E17" i="108"/>
  <c r="C22" i="108"/>
  <c r="G22" i="108"/>
  <c r="C11" i="108"/>
  <c r="J9" i="108"/>
  <c r="J19" i="108"/>
  <c r="I22" i="108"/>
  <c r="I23" i="108" s="1"/>
  <c r="H22" i="108"/>
  <c r="K16" i="108"/>
  <c r="K7" i="108"/>
  <c r="F17" i="108"/>
  <c r="L7" i="108"/>
  <c r="F11" i="108"/>
  <c r="L22" i="108"/>
  <c r="G17" i="108"/>
  <c r="F22" i="108"/>
  <c r="G11" i="108"/>
  <c r="K14" i="108"/>
  <c r="L16" i="108"/>
  <c r="L17" i="108" s="1"/>
  <c r="K21" i="108"/>
  <c r="K5" i="108"/>
  <c r="E22" i="110" s="1"/>
  <c r="L6" i="108"/>
  <c r="K10" i="108"/>
  <c r="K13" i="108"/>
  <c r="J18" i="108"/>
  <c r="D24" i="110" s="1"/>
  <c r="K20" i="108"/>
  <c r="K12" i="108"/>
  <c r="F17" i="104"/>
  <c r="D17" i="104"/>
  <c r="C17" i="104"/>
  <c r="B17" i="104"/>
  <c r="E17" i="104"/>
  <c r="C43" i="103"/>
  <c r="C34" i="103"/>
  <c r="C35" i="103" s="1"/>
  <c r="C23" i="103"/>
  <c r="C17" i="103"/>
  <c r="I27" i="108"/>
  <c r="I32" i="108" s="1"/>
  <c r="K67" i="109" l="1"/>
  <c r="K69" i="109" s="1"/>
  <c r="H11" i="108"/>
  <c r="H23" i="108" s="1"/>
  <c r="E23" i="108"/>
  <c r="J17" i="108"/>
  <c r="D26" i="110"/>
  <c r="K9" i="108"/>
  <c r="D29" i="110"/>
  <c r="C24" i="103"/>
  <c r="C37" i="103" s="1"/>
  <c r="C23" i="108"/>
  <c r="O27" i="108" s="1"/>
  <c r="O28" i="108" s="1"/>
  <c r="K19" i="108"/>
  <c r="D23" i="110"/>
  <c r="K6" i="108"/>
  <c r="D25" i="110"/>
  <c r="F20" i="110"/>
  <c r="L67" i="109"/>
  <c r="M67" i="109"/>
  <c r="K15" i="108"/>
  <c r="K17" i="108" s="1"/>
  <c r="J22" i="108"/>
  <c r="J11" i="108"/>
  <c r="L11" i="108"/>
  <c r="L23" i="108" s="1"/>
  <c r="K18" i="108"/>
  <c r="G23" i="108"/>
  <c r="F23" i="108"/>
  <c r="H12" i="102"/>
  <c r="C17" i="101"/>
  <c r="H31" i="92"/>
  <c r="E25" i="101"/>
  <c r="E23" i="92"/>
  <c r="F23" i="92"/>
  <c r="J23" i="92"/>
  <c r="K23" i="92"/>
  <c r="E29" i="92"/>
  <c r="F29" i="92"/>
  <c r="J29" i="92"/>
  <c r="K29" i="92"/>
  <c r="H23" i="92"/>
  <c r="J23" i="108" l="1"/>
  <c r="J27" i="108" s="1"/>
  <c r="K11" i="108"/>
  <c r="K22" i="108"/>
  <c r="K23" i="108" s="1"/>
  <c r="D20" i="110"/>
  <c r="D19" i="110" s="1"/>
  <c r="I33" i="108"/>
  <c r="I34" i="108" s="1"/>
  <c r="K34" i="108" s="1"/>
  <c r="G23" i="92"/>
  <c r="D23" i="92"/>
  <c r="J28" i="108" l="1"/>
  <c r="K70" i="109"/>
  <c r="K71" i="109" s="1"/>
  <c r="C48" i="108"/>
  <c r="C49" i="108" s="1"/>
  <c r="D12" i="102"/>
  <c r="G12" i="102" s="1"/>
  <c r="E17" i="102"/>
  <c r="F17" i="102"/>
  <c r="D16" i="102"/>
  <c r="J16" i="102" s="1"/>
  <c r="I15" i="102"/>
  <c r="G15" i="102"/>
  <c r="K12" i="102"/>
  <c r="J12" i="102"/>
  <c r="I12" i="102"/>
  <c r="G7" i="102"/>
  <c r="K37" i="102"/>
  <c r="J37" i="102"/>
  <c r="I37" i="102"/>
  <c r="G37" i="102"/>
  <c r="F37" i="102"/>
  <c r="E37" i="102"/>
  <c r="D37" i="102"/>
  <c r="H36" i="102"/>
  <c r="H37" i="102" s="1"/>
  <c r="K34" i="102"/>
  <c r="J34" i="102"/>
  <c r="I34" i="102"/>
  <c r="G34" i="102"/>
  <c r="F34" i="102"/>
  <c r="E34" i="102"/>
  <c r="D34" i="102"/>
  <c r="H33" i="102"/>
  <c r="H34" i="102" s="1"/>
  <c r="K31" i="102"/>
  <c r="J31" i="102"/>
  <c r="H31" i="102"/>
  <c r="G31" i="102"/>
  <c r="F31" i="102"/>
  <c r="E31" i="102"/>
  <c r="D31" i="102"/>
  <c r="I30" i="102"/>
  <c r="I29" i="102"/>
  <c r="I28" i="102"/>
  <c r="K26" i="102"/>
  <c r="J26" i="102"/>
  <c r="H26" i="102"/>
  <c r="G26" i="102"/>
  <c r="F26" i="102"/>
  <c r="E26" i="102"/>
  <c r="D26" i="102"/>
  <c r="I25" i="102"/>
  <c r="I24" i="102"/>
  <c r="I23" i="102"/>
  <c r="K20" i="102"/>
  <c r="J20" i="102"/>
  <c r="I20" i="102"/>
  <c r="H20" i="102"/>
  <c r="G20" i="102"/>
  <c r="F20" i="102"/>
  <c r="E20" i="102"/>
  <c r="D20" i="102"/>
  <c r="H14" i="102"/>
  <c r="I14" i="102" s="1"/>
  <c r="J14" i="102" s="1"/>
  <c r="K14" i="102" s="1"/>
  <c r="H13" i="102"/>
  <c r="I13" i="102" s="1"/>
  <c r="J13" i="102" s="1"/>
  <c r="K13" i="102" s="1"/>
  <c r="I11" i="102"/>
  <c r="H10" i="102"/>
  <c r="H9" i="102"/>
  <c r="H8" i="102"/>
  <c r="H6" i="102"/>
  <c r="H5" i="102"/>
  <c r="H4" i="102"/>
  <c r="H3" i="102"/>
  <c r="K2" i="102"/>
  <c r="G29" i="101"/>
  <c r="H29" i="101"/>
  <c r="F29" i="101"/>
  <c r="F32" i="101"/>
  <c r="G32" i="101"/>
  <c r="H32" i="101"/>
  <c r="E32" i="101"/>
  <c r="E10" i="95"/>
  <c r="F13" i="100" s="1"/>
  <c r="L13" i="100" s="1"/>
  <c r="E13" i="92"/>
  <c r="F13" i="92"/>
  <c r="G13" i="92"/>
  <c r="J13" i="92"/>
  <c r="D13" i="92"/>
  <c r="H12" i="92"/>
  <c r="E12" i="95"/>
  <c r="F15" i="100" s="1"/>
  <c r="L15" i="100" s="1"/>
  <c r="E27" i="101"/>
  <c r="E16" i="92"/>
  <c r="F16" i="92"/>
  <c r="G16" i="92"/>
  <c r="H16" i="92"/>
  <c r="E31" i="101" s="1"/>
  <c r="I16" i="92"/>
  <c r="J16" i="92"/>
  <c r="K16" i="92"/>
  <c r="D16" i="92"/>
  <c r="H33" i="101"/>
  <c r="G33" i="101"/>
  <c r="F33" i="101"/>
  <c r="D8" i="101"/>
  <c r="D7" i="101"/>
  <c r="D6" i="101"/>
  <c r="D5" i="101"/>
  <c r="C3" i="101"/>
  <c r="J33" i="100"/>
  <c r="I28" i="100"/>
  <c r="I27" i="100"/>
  <c r="I19" i="100"/>
  <c r="I18" i="100"/>
  <c r="G21" i="100"/>
  <c r="J21" i="100" s="1"/>
  <c r="G20" i="100"/>
  <c r="J20" i="100" s="1"/>
  <c r="G19" i="100"/>
  <c r="G18" i="100"/>
  <c r="G16" i="100"/>
  <c r="J16" i="100" s="1"/>
  <c r="G15" i="100"/>
  <c r="G14" i="100"/>
  <c r="J14" i="100" s="1"/>
  <c r="D27" i="101" s="1"/>
  <c r="G13" i="100"/>
  <c r="J13" i="100" s="1"/>
  <c r="G12" i="100"/>
  <c r="J12" i="100" s="1"/>
  <c r="G10" i="100"/>
  <c r="J10" i="100" s="1"/>
  <c r="G9" i="100"/>
  <c r="J9" i="100" s="1"/>
  <c r="G8" i="100"/>
  <c r="G7" i="100"/>
  <c r="J7" i="100" s="1"/>
  <c r="G6" i="100"/>
  <c r="G5" i="100"/>
  <c r="J5" i="100" s="1"/>
  <c r="D22" i="101" s="1"/>
  <c r="F21" i="100"/>
  <c r="L21" i="100" s="1"/>
  <c r="F20" i="100"/>
  <c r="L20" i="100" s="1"/>
  <c r="F19" i="100"/>
  <c r="L19" i="100" s="1"/>
  <c r="F18" i="100"/>
  <c r="L18" i="100" s="1"/>
  <c r="F16" i="100"/>
  <c r="L16" i="100" s="1"/>
  <c r="F14" i="100"/>
  <c r="L14" i="100" s="1"/>
  <c r="F10" i="100"/>
  <c r="L10" i="100" s="1"/>
  <c r="F8" i="100"/>
  <c r="F7" i="100"/>
  <c r="F5" i="100"/>
  <c r="L5" i="100" s="1"/>
  <c r="I25" i="100"/>
  <c r="D22" i="100"/>
  <c r="E21" i="100"/>
  <c r="C21" i="100"/>
  <c r="E20" i="100"/>
  <c r="C20" i="100"/>
  <c r="E19" i="100"/>
  <c r="C19" i="100"/>
  <c r="E18" i="100"/>
  <c r="C18" i="100"/>
  <c r="I17" i="100"/>
  <c r="D17" i="100"/>
  <c r="E16" i="100"/>
  <c r="C16" i="100"/>
  <c r="E15" i="100"/>
  <c r="C15" i="100"/>
  <c r="E14" i="100"/>
  <c r="C14" i="100"/>
  <c r="E13" i="100"/>
  <c r="C13" i="100"/>
  <c r="E12" i="100"/>
  <c r="C12" i="100"/>
  <c r="I11" i="100"/>
  <c r="H11" i="100"/>
  <c r="E10" i="100"/>
  <c r="C10" i="100"/>
  <c r="E9" i="100"/>
  <c r="C9" i="100"/>
  <c r="E8" i="100"/>
  <c r="D7" i="100"/>
  <c r="D11" i="100" s="1"/>
  <c r="C7" i="100"/>
  <c r="E6" i="100"/>
  <c r="C6" i="100"/>
  <c r="E5" i="100"/>
  <c r="C5" i="100"/>
  <c r="I35" i="92"/>
  <c r="J35" i="92"/>
  <c r="K35" i="92"/>
  <c r="J32" i="92"/>
  <c r="K32" i="92"/>
  <c r="H34" i="92"/>
  <c r="H35" i="92" s="1"/>
  <c r="H32" i="92"/>
  <c r="E29" i="101" s="1"/>
  <c r="I26" i="92"/>
  <c r="I27" i="92"/>
  <c r="I25" i="92"/>
  <c r="I20" i="92"/>
  <c r="I21" i="92"/>
  <c r="I19" i="92"/>
  <c r="H11" i="92"/>
  <c r="I10" i="92"/>
  <c r="I13" i="92" s="1"/>
  <c r="H9" i="92"/>
  <c r="H8" i="92"/>
  <c r="H7" i="92"/>
  <c r="H4" i="92"/>
  <c r="K2" i="92"/>
  <c r="K13" i="92" s="1"/>
  <c r="G35" i="92"/>
  <c r="F35" i="92"/>
  <c r="E35" i="92"/>
  <c r="D35" i="92"/>
  <c r="E32" i="92"/>
  <c r="F32" i="92"/>
  <c r="G32" i="92"/>
  <c r="E17" i="98"/>
  <c r="H18" i="100" s="1"/>
  <c r="E13" i="98"/>
  <c r="H15" i="100" s="1"/>
  <c r="D7" i="97"/>
  <c r="C44" i="96"/>
  <c r="C35" i="96"/>
  <c r="C36" i="96" s="1"/>
  <c r="C23" i="96"/>
  <c r="C17" i="96"/>
  <c r="C14" i="96"/>
  <c r="I26" i="100" s="1"/>
  <c r="E4" i="95"/>
  <c r="F6" i="100" s="1"/>
  <c r="L6" i="100" s="1"/>
  <c r="E9" i="95"/>
  <c r="F12" i="100" s="1"/>
  <c r="L12" i="100" s="1"/>
  <c r="E6" i="95"/>
  <c r="F9" i="100" s="1"/>
  <c r="L9" i="100" s="1"/>
  <c r="F17" i="95"/>
  <c r="D17" i="95"/>
  <c r="C17" i="95"/>
  <c r="B17" i="95"/>
  <c r="G36" i="93"/>
  <c r="G37" i="93" s="1"/>
  <c r="F36" i="93"/>
  <c r="G31" i="93"/>
  <c r="H31" i="93"/>
  <c r="F31" i="93"/>
  <c r="E26" i="93"/>
  <c r="E30" i="93"/>
  <c r="E29" i="93"/>
  <c r="E28" i="93"/>
  <c r="F25" i="93"/>
  <c r="H5" i="92"/>
  <c r="H6" i="92"/>
  <c r="H3" i="92"/>
  <c r="I28" i="91"/>
  <c r="I26" i="91"/>
  <c r="D8" i="93"/>
  <c r="J19" i="100" l="1"/>
  <c r="D23" i="101" s="1"/>
  <c r="K17" i="102"/>
  <c r="H26" i="101" s="1"/>
  <c r="H20" i="101" s="1"/>
  <c r="H17" i="102"/>
  <c r="E26" i="101" s="1"/>
  <c r="D23" i="100"/>
  <c r="D29" i="101"/>
  <c r="I26" i="102"/>
  <c r="L7" i="100"/>
  <c r="L11" i="100" s="1"/>
  <c r="C11" i="100"/>
  <c r="I31" i="100"/>
  <c r="J17" i="102"/>
  <c r="G26" i="101" s="1"/>
  <c r="G20" i="101" s="1"/>
  <c r="C24" i="96"/>
  <c r="C38" i="96" s="1"/>
  <c r="E19" i="98"/>
  <c r="D3" i="101"/>
  <c r="G16" i="102"/>
  <c r="G17" i="102" s="1"/>
  <c r="G39" i="102" s="1"/>
  <c r="I16" i="102"/>
  <c r="I17" i="102" s="1"/>
  <c r="C17" i="100"/>
  <c r="J15" i="100"/>
  <c r="D26" i="101" s="1"/>
  <c r="E17" i="100"/>
  <c r="E22" i="100"/>
  <c r="C22" i="100"/>
  <c r="D17" i="102"/>
  <c r="D39" i="102" s="1"/>
  <c r="E7" i="100"/>
  <c r="E11" i="100" s="1"/>
  <c r="I31" i="102"/>
  <c r="E30" i="101"/>
  <c r="E30" i="110"/>
  <c r="E20" i="110" s="1"/>
  <c r="E19" i="110" s="1"/>
  <c r="F19" i="110" s="1"/>
  <c r="G19" i="110" s="1"/>
  <c r="H19" i="110" s="1"/>
  <c r="J32" i="108"/>
  <c r="E49" i="108"/>
  <c r="E48" i="108"/>
  <c r="H29" i="92"/>
  <c r="E24" i="101" s="1"/>
  <c r="D29" i="92"/>
  <c r="G29" i="92"/>
  <c r="F24" i="101" s="1"/>
  <c r="I23" i="92"/>
  <c r="F23" i="101" s="1"/>
  <c r="H13" i="92"/>
  <c r="K39" i="102"/>
  <c r="H39" i="102"/>
  <c r="E39" i="102"/>
  <c r="F39" i="102"/>
  <c r="K37" i="92"/>
  <c r="J37" i="92"/>
  <c r="I22" i="100"/>
  <c r="I23" i="100" s="1"/>
  <c r="J18" i="100"/>
  <c r="J22" i="100" s="1"/>
  <c r="H22" i="100"/>
  <c r="G11" i="100"/>
  <c r="F11" i="100"/>
  <c r="L17" i="100"/>
  <c r="L22" i="100"/>
  <c r="F17" i="100"/>
  <c r="F22" i="100"/>
  <c r="G17" i="100"/>
  <c r="G22" i="100"/>
  <c r="K16" i="100"/>
  <c r="J6" i="100"/>
  <c r="K6" i="100" s="1"/>
  <c r="K21" i="100"/>
  <c r="K7" i="100"/>
  <c r="K14" i="100"/>
  <c r="K20" i="100"/>
  <c r="K5" i="100"/>
  <c r="E22" i="101" s="1"/>
  <c r="K10" i="100"/>
  <c r="K13" i="100"/>
  <c r="K12" i="100"/>
  <c r="H17" i="100"/>
  <c r="K9" i="100"/>
  <c r="E17" i="95"/>
  <c r="H19" i="93"/>
  <c r="G19" i="93"/>
  <c r="D7" i="93"/>
  <c r="D6" i="93"/>
  <c r="D5" i="93"/>
  <c r="C3" i="93"/>
  <c r="J33" i="91"/>
  <c r="I27" i="91"/>
  <c r="I25" i="91"/>
  <c r="F37" i="92"/>
  <c r="F22" i="93"/>
  <c r="G21" i="91"/>
  <c r="J21" i="91" s="1"/>
  <c r="G20" i="91"/>
  <c r="J20" i="91" s="1"/>
  <c r="G19" i="91"/>
  <c r="G18" i="91"/>
  <c r="G16" i="91"/>
  <c r="J16" i="91" s="1"/>
  <c r="G15" i="91"/>
  <c r="G14" i="91"/>
  <c r="J14" i="91" s="1"/>
  <c r="D26" i="93" s="1"/>
  <c r="G13" i="91"/>
  <c r="J13" i="91" s="1"/>
  <c r="G12" i="91"/>
  <c r="J12" i="91" s="1"/>
  <c r="G10" i="91"/>
  <c r="J10" i="91" s="1"/>
  <c r="G9" i="91"/>
  <c r="J9" i="91" s="1"/>
  <c r="G8" i="91"/>
  <c r="G7" i="91"/>
  <c r="J7" i="91" s="1"/>
  <c r="G6" i="91"/>
  <c r="J6" i="91" s="1"/>
  <c r="D24" i="93" s="1"/>
  <c r="G5" i="91"/>
  <c r="J5" i="91" s="1"/>
  <c r="D21" i="93" s="1"/>
  <c r="F5" i="91"/>
  <c r="L5" i="91" s="1"/>
  <c r="F21" i="91"/>
  <c r="L21" i="91" s="1"/>
  <c r="F20" i="91"/>
  <c r="F19" i="91"/>
  <c r="L19" i="91" s="1"/>
  <c r="F18" i="91"/>
  <c r="L18" i="91" s="1"/>
  <c r="F16" i="91"/>
  <c r="F15" i="91"/>
  <c r="L15" i="91" s="1"/>
  <c r="F14" i="91"/>
  <c r="L14" i="91" s="1"/>
  <c r="F13" i="91"/>
  <c r="L13" i="91" s="1"/>
  <c r="F12" i="91"/>
  <c r="L12" i="91" s="1"/>
  <c r="F10" i="91"/>
  <c r="L10" i="91" s="1"/>
  <c r="F9" i="91"/>
  <c r="L9" i="91" s="1"/>
  <c r="F8" i="91"/>
  <c r="F7" i="91"/>
  <c r="F6" i="91"/>
  <c r="L6" i="91" s="1"/>
  <c r="D22" i="91"/>
  <c r="E21" i="91"/>
  <c r="C21" i="91"/>
  <c r="E20" i="91"/>
  <c r="C20" i="91"/>
  <c r="I19" i="91"/>
  <c r="H22" i="91"/>
  <c r="E19" i="91"/>
  <c r="C19" i="91"/>
  <c r="I18" i="91"/>
  <c r="E18" i="91"/>
  <c r="C18" i="91"/>
  <c r="I17" i="91"/>
  <c r="D17" i="91"/>
  <c r="E16" i="91"/>
  <c r="C16" i="91"/>
  <c r="E15" i="91"/>
  <c r="C15" i="91"/>
  <c r="E14" i="91"/>
  <c r="C14" i="91"/>
  <c r="E13" i="91"/>
  <c r="C13" i="91"/>
  <c r="E12" i="91"/>
  <c r="C12" i="91"/>
  <c r="I11" i="91"/>
  <c r="H11" i="91"/>
  <c r="E10" i="91"/>
  <c r="C10" i="91"/>
  <c r="E9" i="91"/>
  <c r="C9" i="91"/>
  <c r="E8" i="91"/>
  <c r="D7" i="91"/>
  <c r="C7" i="91"/>
  <c r="E6" i="91"/>
  <c r="C6" i="91"/>
  <c r="E5" i="91"/>
  <c r="C5" i="91"/>
  <c r="D13" i="90"/>
  <c r="H15" i="91" s="1"/>
  <c r="H17" i="91" s="1"/>
  <c r="D6" i="89"/>
  <c r="B17" i="88"/>
  <c r="C17" i="88"/>
  <c r="D17" i="88"/>
  <c r="E17" i="88"/>
  <c r="F17" i="88"/>
  <c r="C14" i="87"/>
  <c r="C17" i="87"/>
  <c r="C23" i="87"/>
  <c r="C35" i="87"/>
  <c r="C36" i="87" s="1"/>
  <c r="C44" i="87"/>
  <c r="L43" i="82"/>
  <c r="E26" i="82" s="1"/>
  <c r="I29" i="81"/>
  <c r="J33" i="81"/>
  <c r="I26" i="81"/>
  <c r="I26" i="75"/>
  <c r="I27" i="81"/>
  <c r="I28" i="81"/>
  <c r="I25" i="81"/>
  <c r="I18" i="81"/>
  <c r="I19" i="81"/>
  <c r="G21" i="81"/>
  <c r="J21" i="81" s="1"/>
  <c r="G20" i="81"/>
  <c r="J20" i="81" s="1"/>
  <c r="G19" i="81"/>
  <c r="G18" i="81"/>
  <c r="G16" i="81"/>
  <c r="J16" i="81" s="1"/>
  <c r="G15" i="81"/>
  <c r="G14" i="81"/>
  <c r="J14" i="81" s="1"/>
  <c r="D26" i="82" s="1"/>
  <c r="G13" i="81"/>
  <c r="J13" i="81" s="1"/>
  <c r="D32" i="101" s="1"/>
  <c r="G12" i="81"/>
  <c r="J12" i="81" s="1"/>
  <c r="G10" i="81"/>
  <c r="J10" i="81" s="1"/>
  <c r="G9" i="81"/>
  <c r="J9" i="81" s="1"/>
  <c r="G8" i="81"/>
  <c r="G7" i="81"/>
  <c r="J7" i="81" s="1"/>
  <c r="G6" i="81"/>
  <c r="F21" i="81"/>
  <c r="F20" i="81"/>
  <c r="F19" i="81"/>
  <c r="L19" i="81" s="1"/>
  <c r="F18" i="81"/>
  <c r="F16" i="81"/>
  <c r="L16" i="81" s="1"/>
  <c r="F15" i="81"/>
  <c r="F14" i="81"/>
  <c r="L14" i="81" s="1"/>
  <c r="F13" i="81"/>
  <c r="L13" i="81" s="1"/>
  <c r="F12" i="81"/>
  <c r="F10" i="81"/>
  <c r="L10" i="81" s="1"/>
  <c r="F9" i="81"/>
  <c r="F8" i="81"/>
  <c r="F7" i="81"/>
  <c r="F6" i="81"/>
  <c r="L6" i="81" s="1"/>
  <c r="D8" i="86"/>
  <c r="E8" i="86"/>
  <c r="G8" i="86"/>
  <c r="H8" i="86"/>
  <c r="I30" i="81" s="1"/>
  <c r="D12" i="86"/>
  <c r="E12" i="86"/>
  <c r="G12" i="86"/>
  <c r="H12" i="86"/>
  <c r="H19" i="81" s="1"/>
  <c r="H22" i="81" s="1"/>
  <c r="D20" i="86"/>
  <c r="E20" i="86"/>
  <c r="G20" i="86"/>
  <c r="H20" i="86"/>
  <c r="H15" i="81" s="1"/>
  <c r="H17" i="81" s="1"/>
  <c r="B17" i="84"/>
  <c r="C17" i="84"/>
  <c r="D17" i="84"/>
  <c r="E17" i="84"/>
  <c r="F17" i="84"/>
  <c r="C44" i="83"/>
  <c r="C35" i="83"/>
  <c r="C36" i="83" s="1"/>
  <c r="C24" i="83"/>
  <c r="C18" i="83"/>
  <c r="C14" i="83"/>
  <c r="B45" i="82"/>
  <c r="F23" i="82"/>
  <c r="F19" i="82" s="1"/>
  <c r="H19" i="82"/>
  <c r="G19" i="82"/>
  <c r="D8" i="82"/>
  <c r="D7" i="82"/>
  <c r="D6" i="82"/>
  <c r="D5" i="82"/>
  <c r="C3" i="82"/>
  <c r="D22" i="81"/>
  <c r="E21" i="81"/>
  <c r="C21" i="81"/>
  <c r="E20" i="81"/>
  <c r="C20" i="81"/>
  <c r="E19" i="81"/>
  <c r="C19" i="81"/>
  <c r="E18" i="81"/>
  <c r="C18" i="81"/>
  <c r="D17" i="81"/>
  <c r="E16" i="81"/>
  <c r="C16" i="81"/>
  <c r="I17" i="81"/>
  <c r="E15" i="81"/>
  <c r="C15" i="81"/>
  <c r="E14" i="81"/>
  <c r="C14" i="81"/>
  <c r="E13" i="81"/>
  <c r="C13" i="81"/>
  <c r="L12" i="81"/>
  <c r="E12" i="81"/>
  <c r="C12" i="81"/>
  <c r="I11" i="81"/>
  <c r="E10" i="81"/>
  <c r="C10" i="81"/>
  <c r="H11" i="81"/>
  <c r="E9" i="81"/>
  <c r="C9" i="81"/>
  <c r="E8" i="81"/>
  <c r="D7" i="81"/>
  <c r="C7" i="81"/>
  <c r="E6" i="81"/>
  <c r="C6" i="81"/>
  <c r="G5" i="81"/>
  <c r="J5" i="81" s="1"/>
  <c r="D21" i="82" s="1"/>
  <c r="F5" i="81"/>
  <c r="E5" i="81"/>
  <c r="C5" i="81"/>
  <c r="F23" i="76"/>
  <c r="E23" i="76"/>
  <c r="G47" i="80"/>
  <c r="G49" i="80" s="1"/>
  <c r="J31" i="75"/>
  <c r="I28" i="75"/>
  <c r="I27" i="75"/>
  <c r="I25" i="75"/>
  <c r="I19" i="75"/>
  <c r="I18" i="75"/>
  <c r="I15" i="75"/>
  <c r="H19" i="75"/>
  <c r="H9" i="75"/>
  <c r="H15" i="75"/>
  <c r="G18" i="75"/>
  <c r="G19" i="75"/>
  <c r="G20" i="75"/>
  <c r="G21" i="75"/>
  <c r="G12" i="75"/>
  <c r="G13" i="75"/>
  <c r="G14" i="75"/>
  <c r="G15" i="75"/>
  <c r="G16" i="75"/>
  <c r="G6" i="75"/>
  <c r="J6" i="75" s="1"/>
  <c r="G7" i="75"/>
  <c r="G8" i="75"/>
  <c r="G9" i="75"/>
  <c r="G10" i="75"/>
  <c r="F21" i="75"/>
  <c r="F20" i="75"/>
  <c r="F16" i="75"/>
  <c r="F13" i="75"/>
  <c r="F10" i="75"/>
  <c r="F8" i="75"/>
  <c r="F7" i="75"/>
  <c r="F19" i="75"/>
  <c r="F18" i="75"/>
  <c r="F15" i="75"/>
  <c r="F14" i="75"/>
  <c r="F9" i="75"/>
  <c r="F6" i="75"/>
  <c r="J32" i="80"/>
  <c r="I32" i="80"/>
  <c r="H32" i="80"/>
  <c r="G32" i="80"/>
  <c r="F32" i="80"/>
  <c r="E32" i="80"/>
  <c r="D32" i="80"/>
  <c r="J27" i="80"/>
  <c r="I27" i="80"/>
  <c r="H27" i="80"/>
  <c r="G27" i="80"/>
  <c r="F27" i="80"/>
  <c r="E27" i="80"/>
  <c r="D27" i="80"/>
  <c r="J23" i="80"/>
  <c r="I23" i="80"/>
  <c r="H23" i="80"/>
  <c r="G23" i="80"/>
  <c r="F23" i="80"/>
  <c r="E23" i="80"/>
  <c r="D23" i="80"/>
  <c r="J19" i="80"/>
  <c r="I19" i="80"/>
  <c r="H19" i="80"/>
  <c r="G19" i="80"/>
  <c r="F19" i="80"/>
  <c r="E19" i="80"/>
  <c r="D19" i="80"/>
  <c r="J14" i="80"/>
  <c r="I14" i="80"/>
  <c r="H14" i="80"/>
  <c r="G14" i="80"/>
  <c r="F14" i="80"/>
  <c r="E14" i="80"/>
  <c r="D14" i="80"/>
  <c r="J10" i="80"/>
  <c r="I10" i="80"/>
  <c r="H10" i="80"/>
  <c r="G10" i="80"/>
  <c r="F10" i="80"/>
  <c r="E10" i="80"/>
  <c r="D10" i="80"/>
  <c r="C11" i="79"/>
  <c r="D11" i="79"/>
  <c r="K10" i="91" l="1"/>
  <c r="K9" i="81"/>
  <c r="C23" i="100"/>
  <c r="O26" i="100" s="1"/>
  <c r="O27" i="100" s="1"/>
  <c r="K19" i="100"/>
  <c r="K7" i="91"/>
  <c r="K15" i="100"/>
  <c r="K17" i="100" s="1"/>
  <c r="E20" i="101"/>
  <c r="K10" i="81"/>
  <c r="H23" i="100"/>
  <c r="E23" i="100"/>
  <c r="J39" i="102"/>
  <c r="F26" i="101"/>
  <c r="F20" i="101" s="1"/>
  <c r="I39" i="102"/>
  <c r="C24" i="87"/>
  <c r="C38" i="87" s="1"/>
  <c r="G24" i="91"/>
  <c r="G24" i="108"/>
  <c r="G25" i="108" s="1"/>
  <c r="G24" i="100"/>
  <c r="H37" i="92"/>
  <c r="E34" i="80"/>
  <c r="K20" i="91"/>
  <c r="F24" i="91"/>
  <c r="F24" i="108"/>
  <c r="F25" i="108" s="1"/>
  <c r="F24" i="100"/>
  <c r="K18" i="100"/>
  <c r="K22" i="100" s="1"/>
  <c r="D24" i="101"/>
  <c r="F34" i="80"/>
  <c r="D28" i="93"/>
  <c r="C22" i="91"/>
  <c r="F17" i="91"/>
  <c r="D30" i="93"/>
  <c r="J11" i="100"/>
  <c r="D25" i="101"/>
  <c r="J17" i="100"/>
  <c r="G34" i="80"/>
  <c r="J34" i="80"/>
  <c r="E17" i="91"/>
  <c r="E22" i="91"/>
  <c r="J18" i="91"/>
  <c r="D23" i="93" s="1"/>
  <c r="I29" i="75"/>
  <c r="I22" i="91"/>
  <c r="I23" i="91" s="1"/>
  <c r="F23" i="93"/>
  <c r="F19" i="93" s="1"/>
  <c r="G37" i="92"/>
  <c r="I32" i="92"/>
  <c r="I29" i="92"/>
  <c r="E37" i="92"/>
  <c r="E25" i="93"/>
  <c r="G23" i="100"/>
  <c r="K11" i="100"/>
  <c r="F23" i="100"/>
  <c r="L23" i="100"/>
  <c r="D15" i="90"/>
  <c r="J15" i="91"/>
  <c r="D25" i="93" s="1"/>
  <c r="C25" i="83"/>
  <c r="C38" i="83" s="1"/>
  <c r="L7" i="91"/>
  <c r="L11" i="91" s="1"/>
  <c r="L20" i="91"/>
  <c r="L22" i="91" s="1"/>
  <c r="H34" i="80"/>
  <c r="H22" i="86"/>
  <c r="J19" i="91"/>
  <c r="D3" i="93"/>
  <c r="I34" i="80"/>
  <c r="G22" i="86"/>
  <c r="C11" i="91"/>
  <c r="J36" i="80"/>
  <c r="E22" i="86"/>
  <c r="D22" i="86"/>
  <c r="K9" i="91"/>
  <c r="C17" i="91"/>
  <c r="D34" i="80"/>
  <c r="I31" i="81"/>
  <c r="G11" i="91"/>
  <c r="K5" i="91"/>
  <c r="I31" i="91"/>
  <c r="L16" i="91"/>
  <c r="L17" i="91" s="1"/>
  <c r="K12" i="91"/>
  <c r="H23" i="91"/>
  <c r="K13" i="91"/>
  <c r="E7" i="91"/>
  <c r="E11" i="91" s="1"/>
  <c r="D11" i="91"/>
  <c r="D23" i="91" s="1"/>
  <c r="G17" i="91"/>
  <c r="G22" i="91"/>
  <c r="J11" i="91"/>
  <c r="K16" i="91"/>
  <c r="F22" i="91"/>
  <c r="F11" i="91"/>
  <c r="K14" i="91"/>
  <c r="K21" i="91"/>
  <c r="D3" i="82"/>
  <c r="L44" i="82"/>
  <c r="L9" i="81"/>
  <c r="K12" i="81"/>
  <c r="F22" i="81"/>
  <c r="L20" i="81"/>
  <c r="J18" i="81"/>
  <c r="K18" i="81" s="1"/>
  <c r="E23" i="82" s="1"/>
  <c r="E17" i="81"/>
  <c r="J15" i="81"/>
  <c r="D25" i="82" s="1"/>
  <c r="I22" i="81"/>
  <c r="I23" i="81" s="1"/>
  <c r="C17" i="81"/>
  <c r="C11" i="81"/>
  <c r="L7" i="81"/>
  <c r="E22" i="81"/>
  <c r="C22" i="81"/>
  <c r="K5" i="81"/>
  <c r="J19" i="81"/>
  <c r="D22" i="82" s="1"/>
  <c r="L5" i="81"/>
  <c r="K21" i="81"/>
  <c r="D30" i="82"/>
  <c r="K13" i="81"/>
  <c r="G11" i="81"/>
  <c r="F17" i="81"/>
  <c r="K7" i="81"/>
  <c r="E28" i="82"/>
  <c r="D28" i="82"/>
  <c r="H23" i="81"/>
  <c r="L15" i="81"/>
  <c r="L17" i="81" s="1"/>
  <c r="K20" i="81"/>
  <c r="L21" i="81"/>
  <c r="L18" i="81"/>
  <c r="E7" i="81"/>
  <c r="E11" i="81" s="1"/>
  <c r="D11" i="81"/>
  <c r="D23" i="81" s="1"/>
  <c r="J6" i="81"/>
  <c r="K6" i="81" s="1"/>
  <c r="F11" i="81"/>
  <c r="G17" i="81"/>
  <c r="G22" i="81"/>
  <c r="K14" i="81"/>
  <c r="K16" i="81"/>
  <c r="D36" i="80"/>
  <c r="E36" i="80"/>
  <c r="F36" i="80"/>
  <c r="G36" i="80"/>
  <c r="H36" i="80"/>
  <c r="I36" i="80"/>
  <c r="F17" i="78"/>
  <c r="E17" i="78"/>
  <c r="D17" i="78"/>
  <c r="C17" i="78"/>
  <c r="B17" i="78"/>
  <c r="C42" i="77"/>
  <c r="C33" i="77"/>
  <c r="C34" i="77" s="1"/>
  <c r="C23" i="77"/>
  <c r="C17" i="77"/>
  <c r="C14" i="77"/>
  <c r="B45" i="76"/>
  <c r="H19" i="76"/>
  <c r="G19" i="76"/>
  <c r="F19" i="76"/>
  <c r="D8" i="76"/>
  <c r="D7" i="76"/>
  <c r="D6" i="76"/>
  <c r="D5" i="76"/>
  <c r="C3" i="76"/>
  <c r="D22" i="75"/>
  <c r="L21" i="75"/>
  <c r="J21" i="75"/>
  <c r="K21" i="75" s="1"/>
  <c r="E21" i="75"/>
  <c r="C21" i="75"/>
  <c r="L20" i="75"/>
  <c r="J20" i="75"/>
  <c r="K20" i="75" s="1"/>
  <c r="E20" i="75"/>
  <c r="C20" i="75"/>
  <c r="J19" i="75"/>
  <c r="D22" i="76" s="1"/>
  <c r="H22" i="75"/>
  <c r="L19" i="75"/>
  <c r="E19" i="75"/>
  <c r="C19" i="75"/>
  <c r="L18" i="75"/>
  <c r="I22" i="75"/>
  <c r="J18" i="75"/>
  <c r="F22" i="75"/>
  <c r="E18" i="75"/>
  <c r="C18" i="75"/>
  <c r="D17" i="75"/>
  <c r="J16" i="75"/>
  <c r="L16" i="75"/>
  <c r="E16" i="75"/>
  <c r="C16" i="75"/>
  <c r="L15" i="75"/>
  <c r="I17" i="75"/>
  <c r="J15" i="75"/>
  <c r="D25" i="76" s="1"/>
  <c r="E15" i="75"/>
  <c r="C15" i="75"/>
  <c r="J14" i="75"/>
  <c r="D26" i="76" s="1"/>
  <c r="L14" i="75"/>
  <c r="E14" i="75"/>
  <c r="C14" i="75"/>
  <c r="L13" i="75"/>
  <c r="H17" i="75"/>
  <c r="J13" i="75"/>
  <c r="D30" i="76" s="1"/>
  <c r="E13" i="75"/>
  <c r="C13" i="75"/>
  <c r="J12" i="75"/>
  <c r="F12" i="75"/>
  <c r="L12" i="75" s="1"/>
  <c r="E12" i="75"/>
  <c r="C12" i="75"/>
  <c r="I11" i="75"/>
  <c r="H11" i="75"/>
  <c r="J10" i="75"/>
  <c r="L10" i="75"/>
  <c r="E10" i="75"/>
  <c r="C10" i="75"/>
  <c r="L9" i="75"/>
  <c r="J9" i="75"/>
  <c r="K9" i="75" s="1"/>
  <c r="E28" i="76" s="1"/>
  <c r="E9" i="75"/>
  <c r="C9" i="75"/>
  <c r="F11" i="75"/>
  <c r="E8" i="75"/>
  <c r="J7" i="75"/>
  <c r="D7" i="75"/>
  <c r="L7" i="75" s="1"/>
  <c r="C7" i="75"/>
  <c r="G11" i="75"/>
  <c r="L6" i="75"/>
  <c r="E6" i="75"/>
  <c r="C6" i="75"/>
  <c r="G5" i="75"/>
  <c r="J5" i="75" s="1"/>
  <c r="D21" i="76" s="1"/>
  <c r="F5" i="75"/>
  <c r="L5" i="75" s="1"/>
  <c r="E5" i="75"/>
  <c r="C5" i="75"/>
  <c r="G23" i="74"/>
  <c r="F23" i="74"/>
  <c r="F19" i="74" s="1"/>
  <c r="F42" i="70"/>
  <c r="F44" i="70" s="1"/>
  <c r="I26" i="73"/>
  <c r="J31" i="73"/>
  <c r="I28" i="73"/>
  <c r="I27" i="73"/>
  <c r="I25" i="73"/>
  <c r="I15" i="73"/>
  <c r="I17" i="73" s="1"/>
  <c r="I19" i="73"/>
  <c r="I18" i="73"/>
  <c r="H11" i="73"/>
  <c r="G18" i="73"/>
  <c r="G19" i="73"/>
  <c r="G20" i="73"/>
  <c r="J20" i="73" s="1"/>
  <c r="G21" i="73"/>
  <c r="J21" i="73" s="1"/>
  <c r="G12" i="73"/>
  <c r="J12" i="73" s="1"/>
  <c r="G13" i="73"/>
  <c r="G14" i="73"/>
  <c r="J14" i="73" s="1"/>
  <c r="D26" i="74" s="1"/>
  <c r="G15" i="73"/>
  <c r="G16" i="73"/>
  <c r="J16" i="73" s="1"/>
  <c r="G6" i="73"/>
  <c r="J6" i="73" s="1"/>
  <c r="D24" i="74" s="1"/>
  <c r="G7" i="73"/>
  <c r="J7" i="73" s="1"/>
  <c r="G8" i="73"/>
  <c r="G9" i="73"/>
  <c r="G10" i="73"/>
  <c r="J10" i="73" s="1"/>
  <c r="F20" i="73"/>
  <c r="L20" i="73" s="1"/>
  <c r="F16" i="73"/>
  <c r="L16" i="73" s="1"/>
  <c r="F10" i="73"/>
  <c r="L10" i="73" s="1"/>
  <c r="F8" i="73"/>
  <c r="F7" i="73"/>
  <c r="F19" i="73"/>
  <c r="L19" i="73" s="1"/>
  <c r="F18" i="73"/>
  <c r="F15" i="73"/>
  <c r="L15" i="73" s="1"/>
  <c r="F14" i="73"/>
  <c r="L14" i="73" s="1"/>
  <c r="F13" i="73"/>
  <c r="L13" i="73" s="1"/>
  <c r="F12" i="73"/>
  <c r="F6" i="73"/>
  <c r="F9" i="73"/>
  <c r="L9" i="73" s="1"/>
  <c r="F5" i="73"/>
  <c r="L5" i="73" s="1"/>
  <c r="B45" i="74"/>
  <c r="H19" i="74"/>
  <c r="G19" i="74"/>
  <c r="D8" i="74"/>
  <c r="D7" i="74"/>
  <c r="D6" i="74"/>
  <c r="D5" i="74"/>
  <c r="C3" i="74"/>
  <c r="D22" i="73"/>
  <c r="F21" i="73"/>
  <c r="L21" i="73" s="1"/>
  <c r="E21" i="73"/>
  <c r="C21" i="73"/>
  <c r="E20" i="73"/>
  <c r="C20" i="73"/>
  <c r="E19" i="73"/>
  <c r="C19" i="73"/>
  <c r="E18" i="73"/>
  <c r="C18" i="73"/>
  <c r="D17" i="73"/>
  <c r="E16" i="73"/>
  <c r="C16" i="73"/>
  <c r="E15" i="73"/>
  <c r="C15" i="73"/>
  <c r="E14" i="73"/>
  <c r="C14" i="73"/>
  <c r="E13" i="73"/>
  <c r="C13" i="73"/>
  <c r="E12" i="73"/>
  <c r="C12" i="73"/>
  <c r="I11" i="73"/>
  <c r="E10" i="73"/>
  <c r="C10" i="73"/>
  <c r="E9" i="73"/>
  <c r="C9" i="73"/>
  <c r="E8" i="73"/>
  <c r="D7" i="73"/>
  <c r="D11" i="73" s="1"/>
  <c r="C7" i="73"/>
  <c r="E6" i="73"/>
  <c r="C6" i="73"/>
  <c r="G5" i="73"/>
  <c r="J5" i="73" s="1"/>
  <c r="D21" i="74" s="1"/>
  <c r="E5" i="73"/>
  <c r="C5" i="73"/>
  <c r="C12" i="72"/>
  <c r="C15" i="72"/>
  <c r="C21" i="72"/>
  <c r="C33" i="72"/>
  <c r="C34" i="72" s="1"/>
  <c r="C41" i="72"/>
  <c r="I19" i="70"/>
  <c r="H13" i="73" s="1"/>
  <c r="H19" i="70"/>
  <c r="G19" i="70"/>
  <c r="F19" i="70"/>
  <c r="E19" i="70"/>
  <c r="D19" i="70"/>
  <c r="I15" i="70"/>
  <c r="F31" i="70" s="1"/>
  <c r="F35" i="70" s="1"/>
  <c r="H15" i="70"/>
  <c r="G15" i="70"/>
  <c r="F15" i="70"/>
  <c r="E15" i="70"/>
  <c r="D15" i="70"/>
  <c r="I10" i="70"/>
  <c r="H19" i="73" s="1"/>
  <c r="H22" i="73" s="1"/>
  <c r="H10" i="70"/>
  <c r="G10" i="70"/>
  <c r="F10" i="70"/>
  <c r="E10" i="70"/>
  <c r="D10" i="70"/>
  <c r="E10" i="69"/>
  <c r="D10" i="69"/>
  <c r="G17" i="68"/>
  <c r="F17" i="68"/>
  <c r="E17" i="68"/>
  <c r="D17" i="68"/>
  <c r="C17" i="68"/>
  <c r="D3" i="76" l="1"/>
  <c r="F25" i="100"/>
  <c r="K18" i="91"/>
  <c r="C24" i="77"/>
  <c r="C36" i="77" s="1"/>
  <c r="J23" i="100"/>
  <c r="I32" i="100" s="1"/>
  <c r="I33" i="100" s="1"/>
  <c r="K33" i="100" s="1"/>
  <c r="E23" i="91"/>
  <c r="I37" i="92"/>
  <c r="C17" i="75"/>
  <c r="D20" i="101"/>
  <c r="D19" i="101" s="1"/>
  <c r="E19" i="101" s="1"/>
  <c r="F19" i="101" s="1"/>
  <c r="G19" i="101" s="1"/>
  <c r="H19" i="101" s="1"/>
  <c r="C17" i="73"/>
  <c r="I29" i="73"/>
  <c r="C23" i="91"/>
  <c r="O26" i="91" s="1"/>
  <c r="O27" i="91" s="1"/>
  <c r="G25" i="100"/>
  <c r="D23" i="73"/>
  <c r="D23" i="82"/>
  <c r="K23" i="100"/>
  <c r="J27" i="100" s="1"/>
  <c r="E22" i="73"/>
  <c r="C22" i="72"/>
  <c r="C36" i="72" s="1"/>
  <c r="D32" i="92"/>
  <c r="D37" i="92" s="1"/>
  <c r="J26" i="100"/>
  <c r="E7" i="73"/>
  <c r="E11" i="73" s="1"/>
  <c r="C11" i="75"/>
  <c r="L23" i="91"/>
  <c r="K19" i="91"/>
  <c r="D22" i="93"/>
  <c r="D19" i="93" s="1"/>
  <c r="D18" i="93" s="1"/>
  <c r="D3" i="74"/>
  <c r="L11" i="75"/>
  <c r="J22" i="91"/>
  <c r="I21" i="70"/>
  <c r="E17" i="73"/>
  <c r="E17" i="75"/>
  <c r="E22" i="75"/>
  <c r="J17" i="91"/>
  <c r="K21" i="73"/>
  <c r="K12" i="75"/>
  <c r="K15" i="91"/>
  <c r="K17" i="91" s="1"/>
  <c r="C11" i="73"/>
  <c r="C22" i="73"/>
  <c r="L7" i="73"/>
  <c r="C22" i="75"/>
  <c r="K24" i="91"/>
  <c r="G23" i="91"/>
  <c r="G25" i="91" s="1"/>
  <c r="K6" i="91"/>
  <c r="K11" i="91" s="1"/>
  <c r="F23" i="91"/>
  <c r="F25" i="91" s="1"/>
  <c r="L11" i="81"/>
  <c r="J17" i="81"/>
  <c r="K15" i="81"/>
  <c r="E25" i="82" s="1"/>
  <c r="C23" i="81"/>
  <c r="O26" i="81" s="1"/>
  <c r="O27" i="81" s="1"/>
  <c r="E23" i="81"/>
  <c r="J22" i="81"/>
  <c r="K19" i="81"/>
  <c r="E22" i="82" s="1"/>
  <c r="K11" i="81"/>
  <c r="F23" i="81"/>
  <c r="L22" i="81"/>
  <c r="G23" i="81"/>
  <c r="D24" i="82"/>
  <c r="J11" i="81"/>
  <c r="K15" i="75"/>
  <c r="E25" i="76" s="1"/>
  <c r="H23" i="75"/>
  <c r="K13" i="75"/>
  <c r="E30" i="76" s="1"/>
  <c r="D28" i="76"/>
  <c r="L22" i="75"/>
  <c r="L17" i="75"/>
  <c r="I23" i="75"/>
  <c r="K7" i="75"/>
  <c r="J22" i="75"/>
  <c r="K18" i="75"/>
  <c r="D23" i="76"/>
  <c r="J17" i="75"/>
  <c r="E7" i="75"/>
  <c r="E11" i="75" s="1"/>
  <c r="F17" i="75"/>
  <c r="F23" i="75" s="1"/>
  <c r="D11" i="75"/>
  <c r="D23" i="75" s="1"/>
  <c r="K19" i="75"/>
  <c r="E22" i="76" s="1"/>
  <c r="G22" i="75"/>
  <c r="G17" i="75"/>
  <c r="K5" i="75"/>
  <c r="K10" i="75"/>
  <c r="K14" i="75"/>
  <c r="K16" i="75"/>
  <c r="K6" i="75"/>
  <c r="H15" i="73"/>
  <c r="J15" i="73" s="1"/>
  <c r="D21" i="70"/>
  <c r="H21" i="70"/>
  <c r="G21" i="70"/>
  <c r="I23" i="70"/>
  <c r="E21" i="70"/>
  <c r="F21" i="70"/>
  <c r="H23" i="70"/>
  <c r="I22" i="73"/>
  <c r="I23" i="73" s="1"/>
  <c r="J13" i="73"/>
  <c r="J9" i="73"/>
  <c r="K20" i="73"/>
  <c r="K16" i="73"/>
  <c r="K10" i="73"/>
  <c r="K7" i="73"/>
  <c r="G22" i="73"/>
  <c r="G17" i="73"/>
  <c r="K14" i="73"/>
  <c r="G11" i="73"/>
  <c r="K6" i="73"/>
  <c r="F22" i="73"/>
  <c r="F17" i="73"/>
  <c r="L12" i="73"/>
  <c r="L17" i="73" s="1"/>
  <c r="L6" i="73"/>
  <c r="F11" i="73"/>
  <c r="K5" i="73"/>
  <c r="J18" i="73"/>
  <c r="D23" i="74" s="1"/>
  <c r="J19" i="73"/>
  <c r="L18" i="73"/>
  <c r="L22" i="73" s="1"/>
  <c r="K12" i="73"/>
  <c r="D23" i="70"/>
  <c r="E23" i="70"/>
  <c r="F23" i="70"/>
  <c r="G23" i="70"/>
  <c r="B45" i="58"/>
  <c r="H19" i="58"/>
  <c r="G19" i="58"/>
  <c r="F19" i="58"/>
  <c r="D8" i="58"/>
  <c r="D7" i="58"/>
  <c r="D6" i="58"/>
  <c r="D5" i="58"/>
  <c r="C3" i="58"/>
  <c r="J31" i="57"/>
  <c r="I27" i="57"/>
  <c r="I28" i="57"/>
  <c r="I26" i="57"/>
  <c r="I25" i="57"/>
  <c r="I18" i="57"/>
  <c r="I15" i="57"/>
  <c r="I17" i="57" s="1"/>
  <c r="G18" i="57"/>
  <c r="G19" i="57"/>
  <c r="G20" i="57"/>
  <c r="J20" i="57" s="1"/>
  <c r="G21" i="57"/>
  <c r="J21" i="57" s="1"/>
  <c r="G12" i="57"/>
  <c r="J12" i="57" s="1"/>
  <c r="G13" i="57"/>
  <c r="G14" i="57"/>
  <c r="J14" i="57" s="1"/>
  <c r="D26" i="58" s="1"/>
  <c r="G15" i="57"/>
  <c r="G16" i="57"/>
  <c r="J16" i="57" s="1"/>
  <c r="G6" i="57"/>
  <c r="J6" i="57" s="1"/>
  <c r="D24" i="58" s="1"/>
  <c r="G7" i="57"/>
  <c r="J7" i="57" s="1"/>
  <c r="G9" i="57"/>
  <c r="G10" i="57"/>
  <c r="J10" i="57" s="1"/>
  <c r="G5" i="57"/>
  <c r="J5" i="57" s="1"/>
  <c r="D21" i="58" s="1"/>
  <c r="F19" i="57"/>
  <c r="L19" i="57" s="1"/>
  <c r="F17" i="54"/>
  <c r="F18" i="57"/>
  <c r="F15" i="57"/>
  <c r="L15" i="57" s="1"/>
  <c r="F14" i="57"/>
  <c r="L14" i="57" s="1"/>
  <c r="F13" i="57"/>
  <c r="L13" i="57" s="1"/>
  <c r="F12" i="57"/>
  <c r="F9" i="57"/>
  <c r="L9" i="57" s="1"/>
  <c r="F6" i="57"/>
  <c r="L6" i="57" s="1"/>
  <c r="F5" i="57"/>
  <c r="L5" i="57" s="1"/>
  <c r="D22" i="57"/>
  <c r="F21" i="57"/>
  <c r="L21" i="57" s="1"/>
  <c r="E21" i="57"/>
  <c r="C21" i="57"/>
  <c r="F20" i="57"/>
  <c r="L20" i="57" s="1"/>
  <c r="E20" i="57"/>
  <c r="C20" i="57"/>
  <c r="E19" i="57"/>
  <c r="C19" i="57"/>
  <c r="E18" i="57"/>
  <c r="C18" i="57"/>
  <c r="D17" i="57"/>
  <c r="F16" i="57"/>
  <c r="L16" i="57" s="1"/>
  <c r="E16" i="57"/>
  <c r="C16" i="57"/>
  <c r="E15" i="57"/>
  <c r="C15" i="57"/>
  <c r="E14" i="57"/>
  <c r="C14" i="57"/>
  <c r="E13" i="57"/>
  <c r="C13" i="57"/>
  <c r="E12" i="57"/>
  <c r="C12" i="57"/>
  <c r="F10" i="57"/>
  <c r="L10" i="57" s="1"/>
  <c r="E10" i="57"/>
  <c r="C10" i="57"/>
  <c r="E9" i="57"/>
  <c r="C9" i="57"/>
  <c r="E8" i="57"/>
  <c r="F7" i="57"/>
  <c r="D7" i="57"/>
  <c r="D11" i="57" s="1"/>
  <c r="C7" i="57"/>
  <c r="I11" i="57"/>
  <c r="E6" i="57"/>
  <c r="C6" i="57"/>
  <c r="E5" i="57"/>
  <c r="C5" i="57"/>
  <c r="C17" i="54"/>
  <c r="D17" i="54"/>
  <c r="E17" i="54"/>
  <c r="G17" i="54"/>
  <c r="C12" i="56"/>
  <c r="C15" i="56"/>
  <c r="C21" i="56"/>
  <c r="C32" i="56"/>
  <c r="C33" i="56" s="1"/>
  <c r="C40" i="56"/>
  <c r="D13" i="55"/>
  <c r="I19" i="57" s="1"/>
  <c r="D18" i="55"/>
  <c r="F16" i="49"/>
  <c r="F17" i="49"/>
  <c r="D19" i="49"/>
  <c r="D13" i="49"/>
  <c r="E13" i="49"/>
  <c r="F13" i="49"/>
  <c r="F15" i="49"/>
  <c r="F18" i="49"/>
  <c r="E19" i="49"/>
  <c r="K22" i="91" l="1"/>
  <c r="C46" i="100"/>
  <c r="C47" i="100" s="1"/>
  <c r="E47" i="100" s="1"/>
  <c r="C23" i="73"/>
  <c r="O26" i="73" s="1"/>
  <c r="O27" i="73" s="1"/>
  <c r="E23" i="73"/>
  <c r="H17" i="73"/>
  <c r="H23" i="73" s="1"/>
  <c r="D23" i="57"/>
  <c r="C23" i="75"/>
  <c r="O26" i="75" s="1"/>
  <c r="O27" i="75" s="1"/>
  <c r="J23" i="91"/>
  <c r="J26" i="91" s="1"/>
  <c r="K23" i="91"/>
  <c r="J27" i="91" s="1"/>
  <c r="L11" i="73"/>
  <c r="L23" i="73" s="1"/>
  <c r="D19" i="82"/>
  <c r="D18" i="82" s="1"/>
  <c r="J31" i="100"/>
  <c r="D25" i="74"/>
  <c r="K15" i="73"/>
  <c r="E25" i="74" s="1"/>
  <c r="I22" i="57"/>
  <c r="I23" i="57" s="1"/>
  <c r="E23" i="75"/>
  <c r="L23" i="81"/>
  <c r="C22" i="56"/>
  <c r="C35" i="56" s="1"/>
  <c r="G22" i="57"/>
  <c r="K9" i="73"/>
  <c r="E28" i="74" s="1"/>
  <c r="D28" i="74"/>
  <c r="F17" i="57"/>
  <c r="L23" i="75"/>
  <c r="K17" i="81"/>
  <c r="K22" i="81"/>
  <c r="J23" i="81"/>
  <c r="J26" i="81" s="1"/>
  <c r="K17" i="75"/>
  <c r="K22" i="75"/>
  <c r="K11" i="75"/>
  <c r="G23" i="75"/>
  <c r="J11" i="75"/>
  <c r="J23" i="75" s="1"/>
  <c r="J26" i="75" s="1"/>
  <c r="D24" i="76"/>
  <c r="D19" i="76" s="1"/>
  <c r="D18" i="76" s="1"/>
  <c r="K13" i="73"/>
  <c r="E30" i="74" s="1"/>
  <c r="D30" i="74"/>
  <c r="K19" i="73"/>
  <c r="E22" i="74" s="1"/>
  <c r="D22" i="74"/>
  <c r="J17" i="73"/>
  <c r="J11" i="73"/>
  <c r="G23" i="73"/>
  <c r="F23" i="73"/>
  <c r="J22" i="73"/>
  <c r="K18" i="73"/>
  <c r="D3" i="58"/>
  <c r="I29" i="57"/>
  <c r="C22" i="57"/>
  <c r="C11" i="57"/>
  <c r="E17" i="57"/>
  <c r="E22" i="57"/>
  <c r="C17" i="57"/>
  <c r="K21" i="57"/>
  <c r="K10" i="57"/>
  <c r="L7" i="57"/>
  <c r="L11" i="57" s="1"/>
  <c r="K7" i="57"/>
  <c r="L12" i="57"/>
  <c r="L17" i="57" s="1"/>
  <c r="K6" i="57"/>
  <c r="K12" i="57"/>
  <c r="K5" i="57"/>
  <c r="G17" i="57"/>
  <c r="F11" i="57"/>
  <c r="K16" i="57"/>
  <c r="J18" i="57"/>
  <c r="D23" i="58" s="1"/>
  <c r="K20" i="57"/>
  <c r="E7" i="57"/>
  <c r="E11" i="57" s="1"/>
  <c r="G11" i="57"/>
  <c r="K14" i="57"/>
  <c r="L18" i="57"/>
  <c r="L22" i="57" s="1"/>
  <c r="F22" i="57"/>
  <c r="D20" i="55"/>
  <c r="E21" i="49"/>
  <c r="F19" i="49"/>
  <c r="F21" i="49" s="1"/>
  <c r="D21" i="49"/>
  <c r="D10" i="53"/>
  <c r="D15" i="53"/>
  <c r="H19" i="57" s="1"/>
  <c r="H22" i="57" s="1"/>
  <c r="D19" i="53"/>
  <c r="H13" i="57" s="1"/>
  <c r="J13" i="57" s="1"/>
  <c r="K13" i="57" s="1"/>
  <c r="E30" i="58" s="1"/>
  <c r="D26" i="53"/>
  <c r="H15" i="57" s="1"/>
  <c r="J15" i="57" s="1"/>
  <c r="F19" i="51"/>
  <c r="E8" i="39"/>
  <c r="E11" i="39"/>
  <c r="E12" i="39"/>
  <c r="E46" i="100" l="1"/>
  <c r="K22" i="73"/>
  <c r="I32" i="91"/>
  <c r="I33" i="91" s="1"/>
  <c r="K33" i="91" s="1"/>
  <c r="C46" i="91"/>
  <c r="C47" i="91" s="1"/>
  <c r="E47" i="91" s="1"/>
  <c r="K11" i="73"/>
  <c r="K25" i="91"/>
  <c r="K23" i="81"/>
  <c r="J27" i="81" s="1"/>
  <c r="C46" i="81" s="1"/>
  <c r="C47" i="81" s="1"/>
  <c r="E47" i="81" s="1"/>
  <c r="J31" i="91"/>
  <c r="D19" i="74"/>
  <c r="D18" i="74" s="1"/>
  <c r="C23" i="57"/>
  <c r="O26" i="57" s="1"/>
  <c r="O27" i="57" s="1"/>
  <c r="E46" i="91"/>
  <c r="K15" i="57"/>
  <c r="E25" i="58" s="1"/>
  <c r="D25" i="58"/>
  <c r="E24" i="82"/>
  <c r="E24" i="76"/>
  <c r="E24" i="74"/>
  <c r="E24" i="58"/>
  <c r="E21" i="82"/>
  <c r="E21" i="93"/>
  <c r="E21" i="74"/>
  <c r="E21" i="76"/>
  <c r="E21" i="58"/>
  <c r="H17" i="57"/>
  <c r="J19" i="57"/>
  <c r="J22" i="57" s="1"/>
  <c r="D28" i="53"/>
  <c r="H9" i="57"/>
  <c r="I32" i="81"/>
  <c r="I33" i="81" s="1"/>
  <c r="K33" i="81" s="1"/>
  <c r="K23" i="75"/>
  <c r="I30" i="75"/>
  <c r="I31" i="75" s="1"/>
  <c r="K31" i="75" s="1"/>
  <c r="K17" i="73"/>
  <c r="J23" i="73"/>
  <c r="E23" i="57"/>
  <c r="J17" i="57"/>
  <c r="G23" i="57"/>
  <c r="F23" i="57"/>
  <c r="K18" i="57"/>
  <c r="L23" i="57"/>
  <c r="D30" i="53"/>
  <c r="E20" i="46"/>
  <c r="E19" i="46"/>
  <c r="E21" i="46"/>
  <c r="E18" i="46"/>
  <c r="E13" i="46"/>
  <c r="E12" i="46"/>
  <c r="E14" i="46"/>
  <c r="E15" i="46"/>
  <c r="E16" i="46"/>
  <c r="E10" i="46"/>
  <c r="E9" i="46"/>
  <c r="E8" i="46"/>
  <c r="E6" i="46"/>
  <c r="D7" i="46"/>
  <c r="D11" i="46" s="1"/>
  <c r="E5" i="46"/>
  <c r="F18" i="46"/>
  <c r="L18" i="46" s="1"/>
  <c r="G19" i="46"/>
  <c r="K23" i="73" l="1"/>
  <c r="J27" i="73" s="1"/>
  <c r="J31" i="81"/>
  <c r="K17" i="57"/>
  <c r="E19" i="82"/>
  <c r="E18" i="82" s="1"/>
  <c r="F18" i="82" s="1"/>
  <c r="G18" i="82" s="1"/>
  <c r="H18" i="82" s="1"/>
  <c r="E19" i="93"/>
  <c r="E18" i="93" s="1"/>
  <c r="F18" i="93" s="1"/>
  <c r="G18" i="93" s="1"/>
  <c r="H18" i="93" s="1"/>
  <c r="E19" i="74"/>
  <c r="E18" i="74" s="1"/>
  <c r="F18" i="74" s="1"/>
  <c r="G18" i="74" s="1"/>
  <c r="H18" i="74" s="1"/>
  <c r="K19" i="57"/>
  <c r="E22" i="58" s="1"/>
  <c r="D22" i="58"/>
  <c r="E23" i="58"/>
  <c r="J27" i="75"/>
  <c r="J29" i="75" s="1"/>
  <c r="E19" i="76"/>
  <c r="E18" i="76" s="1"/>
  <c r="F18" i="76" s="1"/>
  <c r="G18" i="76" s="1"/>
  <c r="H18" i="76" s="1"/>
  <c r="H11" i="57"/>
  <c r="H23" i="57" s="1"/>
  <c r="J9" i="57"/>
  <c r="E46" i="81"/>
  <c r="J26" i="73"/>
  <c r="I30" i="73"/>
  <c r="I31" i="73" s="1"/>
  <c r="K31" i="73" s="1"/>
  <c r="C44" i="73"/>
  <c r="C45" i="73" s="1"/>
  <c r="E45" i="73" s="1"/>
  <c r="E7" i="46"/>
  <c r="E11" i="46" s="1"/>
  <c r="E17" i="46"/>
  <c r="J29" i="73" l="1"/>
  <c r="C44" i="75"/>
  <c r="C45" i="75" s="1"/>
  <c r="E45" i="75" s="1"/>
  <c r="D28" i="58"/>
  <c r="D19" i="58" s="1"/>
  <c r="D18" i="58" s="1"/>
  <c r="J11" i="57"/>
  <c r="J23" i="57" s="1"/>
  <c r="K9" i="57"/>
  <c r="K22" i="57"/>
  <c r="E44" i="73"/>
  <c r="J30" i="46"/>
  <c r="I27" i="46"/>
  <c r="I25" i="46"/>
  <c r="F15" i="46"/>
  <c r="L15" i="46" s="1"/>
  <c r="D22" i="46"/>
  <c r="D17" i="46"/>
  <c r="E44" i="75" l="1"/>
  <c r="E28" i="58"/>
  <c r="E19" i="58" s="1"/>
  <c r="E18" i="58" s="1"/>
  <c r="F18" i="58" s="1"/>
  <c r="G18" i="58" s="1"/>
  <c r="H18" i="58" s="1"/>
  <c r="K11" i="57"/>
  <c r="K23" i="57" s="1"/>
  <c r="J26" i="57"/>
  <c r="I30" i="57"/>
  <c r="I31" i="57" s="1"/>
  <c r="K31" i="57" s="1"/>
  <c r="D23" i="46"/>
  <c r="E3" i="47"/>
  <c r="J27" i="57" l="1"/>
  <c r="C44" i="57" s="1"/>
  <c r="F20" i="46"/>
  <c r="L20" i="46" s="1"/>
  <c r="I6" i="46"/>
  <c r="I15" i="46"/>
  <c r="C45" i="57" l="1"/>
  <c r="E45" i="57" s="1"/>
  <c r="E44" i="57"/>
  <c r="J29" i="57"/>
  <c r="B45" i="51"/>
  <c r="J19" i="51"/>
  <c r="I19" i="51"/>
  <c r="H19" i="51"/>
  <c r="G19" i="51"/>
  <c r="D8" i="51"/>
  <c r="D7" i="51"/>
  <c r="D6" i="51"/>
  <c r="D5" i="51"/>
  <c r="C3" i="51"/>
  <c r="C11" i="50"/>
  <c r="C14" i="50"/>
  <c r="C20" i="50"/>
  <c r="C31" i="50"/>
  <c r="C32" i="50" s="1"/>
  <c r="C39" i="50"/>
  <c r="F26" i="46"/>
  <c r="B10" i="48"/>
  <c r="H9" i="46" s="1"/>
  <c r="B15" i="48"/>
  <c r="B19" i="48"/>
  <c r="H15" i="46" s="1"/>
  <c r="G18" i="46"/>
  <c r="G15" i="46"/>
  <c r="G14" i="46"/>
  <c r="G12" i="46"/>
  <c r="J12" i="46" s="1"/>
  <c r="G9" i="46"/>
  <c r="G6" i="46"/>
  <c r="J6" i="46" s="1"/>
  <c r="G5" i="46"/>
  <c r="F19" i="46"/>
  <c r="F14" i="46"/>
  <c r="L14" i="46" s="1"/>
  <c r="F13" i="46"/>
  <c r="L13" i="46" s="1"/>
  <c r="F12" i="46"/>
  <c r="L12" i="46" s="1"/>
  <c r="F9" i="46"/>
  <c r="L9" i="46" s="1"/>
  <c r="F6" i="46"/>
  <c r="F5" i="46"/>
  <c r="L5" i="46" s="1"/>
  <c r="B21" i="48" l="1"/>
  <c r="C21" i="50"/>
  <c r="C34" i="50" s="1"/>
  <c r="I26" i="46"/>
  <c r="I28" i="46" s="1"/>
  <c r="J15" i="46"/>
  <c r="K15" i="46" s="1"/>
  <c r="H19" i="46"/>
  <c r="L19" i="46"/>
  <c r="L6" i="46"/>
  <c r="K6" i="46"/>
  <c r="J9" i="46"/>
  <c r="I19" i="46"/>
  <c r="D3" i="51"/>
  <c r="B23" i="48"/>
  <c r="J19" i="46" l="1"/>
  <c r="K19" i="46" s="1"/>
  <c r="D25" i="51"/>
  <c r="D16" i="47"/>
  <c r="C16" i="47"/>
  <c r="B16" i="47"/>
  <c r="E15" i="47"/>
  <c r="E14" i="47"/>
  <c r="E13" i="47"/>
  <c r="E12" i="47"/>
  <c r="E11" i="47"/>
  <c r="E10" i="47"/>
  <c r="E9" i="47"/>
  <c r="E8" i="47"/>
  <c r="E7" i="47"/>
  <c r="E6" i="47"/>
  <c r="E5" i="47"/>
  <c r="E4" i="47"/>
  <c r="E2" i="47"/>
  <c r="J21" i="46"/>
  <c r="F21" i="46"/>
  <c r="C21" i="46"/>
  <c r="J20" i="46"/>
  <c r="K20" i="46" s="1"/>
  <c r="C20" i="46"/>
  <c r="H22" i="46"/>
  <c r="C19" i="46"/>
  <c r="I22" i="46"/>
  <c r="J18" i="46"/>
  <c r="K18" i="46" s="1"/>
  <c r="C18" i="46"/>
  <c r="J16" i="46"/>
  <c r="F16" i="46"/>
  <c r="C16" i="46"/>
  <c r="I17" i="46"/>
  <c r="H17" i="46"/>
  <c r="C15" i="46"/>
  <c r="J14" i="46"/>
  <c r="K14" i="46" s="1"/>
  <c r="C14" i="46"/>
  <c r="J13" i="46"/>
  <c r="C13" i="46"/>
  <c r="C12" i="46"/>
  <c r="J10" i="46"/>
  <c r="F10" i="46"/>
  <c r="L10" i="46" s="1"/>
  <c r="C10" i="46"/>
  <c r="C9" i="46"/>
  <c r="J7" i="46"/>
  <c r="F7" i="46"/>
  <c r="L7" i="46" s="1"/>
  <c r="C7" i="46"/>
  <c r="I11" i="46"/>
  <c r="G11" i="46"/>
  <c r="C6" i="46"/>
  <c r="J5" i="46"/>
  <c r="C5" i="46"/>
  <c r="H19" i="45"/>
  <c r="F6" i="39"/>
  <c r="E25" i="39"/>
  <c r="B43" i="45"/>
  <c r="E33" i="45"/>
  <c r="K19" i="45"/>
  <c r="J19" i="45"/>
  <c r="I19" i="45"/>
  <c r="G19" i="45"/>
  <c r="D8" i="45"/>
  <c r="D7" i="45"/>
  <c r="D6" i="45"/>
  <c r="D5" i="45"/>
  <c r="C3" i="45"/>
  <c r="H26" i="39"/>
  <c r="H24" i="39"/>
  <c r="D6" i="44"/>
  <c r="D9" i="44"/>
  <c r="H17" i="39" s="1"/>
  <c r="D12" i="44"/>
  <c r="H6" i="39" s="1"/>
  <c r="D16" i="44"/>
  <c r="H14" i="39" s="1"/>
  <c r="H16" i="39" s="1"/>
  <c r="B25" i="43"/>
  <c r="G14" i="39" s="1"/>
  <c r="G16" i="39" s="1"/>
  <c r="B20" i="43"/>
  <c r="G18" i="39" s="1"/>
  <c r="G21" i="39" s="1"/>
  <c r="B10" i="43"/>
  <c r="F14" i="39"/>
  <c r="F13" i="39"/>
  <c r="I13" i="39" s="1"/>
  <c r="F11" i="39"/>
  <c r="I11" i="39" s="1"/>
  <c r="J11" i="39" s="1"/>
  <c r="F18" i="39"/>
  <c r="F8" i="39"/>
  <c r="F5" i="39"/>
  <c r="I5" i="39" s="1"/>
  <c r="B9" i="42"/>
  <c r="C9" i="42"/>
  <c r="B15" i="42"/>
  <c r="C15" i="42"/>
  <c r="B21" i="42"/>
  <c r="C21" i="42"/>
  <c r="B25" i="42"/>
  <c r="C25" i="42"/>
  <c r="C11" i="41"/>
  <c r="H25" i="39" s="1"/>
  <c r="C14" i="41"/>
  <c r="C20" i="41"/>
  <c r="C31" i="41"/>
  <c r="C32" i="41" s="1"/>
  <c r="C39" i="41"/>
  <c r="E5" i="39"/>
  <c r="E18" i="39"/>
  <c r="E13" i="39"/>
  <c r="E2" i="40"/>
  <c r="D3" i="40"/>
  <c r="E3" i="40" s="1"/>
  <c r="C4" i="40"/>
  <c r="E4" i="40" s="1"/>
  <c r="E5" i="40"/>
  <c r="E6" i="40"/>
  <c r="E7" i="40"/>
  <c r="E8" i="40"/>
  <c r="E9" i="40"/>
  <c r="E10" i="40"/>
  <c r="C11" i="40"/>
  <c r="E14" i="39" s="1"/>
  <c r="D11" i="40"/>
  <c r="E12" i="40"/>
  <c r="E13" i="40"/>
  <c r="E14" i="40"/>
  <c r="E15" i="40"/>
  <c r="B16" i="40"/>
  <c r="K20" i="39"/>
  <c r="I20" i="39"/>
  <c r="E20" i="39"/>
  <c r="C20" i="39"/>
  <c r="K19" i="39"/>
  <c r="I19" i="39"/>
  <c r="E19" i="39"/>
  <c r="C19" i="39"/>
  <c r="D19" i="39" s="1"/>
  <c r="K18" i="39"/>
  <c r="C18" i="39"/>
  <c r="K17" i="39"/>
  <c r="F17" i="39"/>
  <c r="C17" i="39"/>
  <c r="D17" i="39" s="1"/>
  <c r="K15" i="39"/>
  <c r="I15" i="39"/>
  <c r="E15" i="39"/>
  <c r="C15" i="39"/>
  <c r="K14" i="39"/>
  <c r="C14" i="39"/>
  <c r="K13" i="39"/>
  <c r="C13" i="39"/>
  <c r="K12" i="39"/>
  <c r="I12" i="39"/>
  <c r="J12" i="39" s="1"/>
  <c r="C12" i="39"/>
  <c r="K11" i="39"/>
  <c r="C11" i="39"/>
  <c r="K9" i="39"/>
  <c r="I9" i="39"/>
  <c r="E9" i="39"/>
  <c r="C9" i="39"/>
  <c r="D9" i="39" s="1"/>
  <c r="K8" i="39"/>
  <c r="C8" i="39"/>
  <c r="D8" i="39" s="1"/>
  <c r="K7" i="39"/>
  <c r="I7" i="39"/>
  <c r="E7" i="39"/>
  <c r="C7" i="39"/>
  <c r="D7" i="39" s="1"/>
  <c r="K6" i="39"/>
  <c r="C6" i="39"/>
  <c r="K5" i="39"/>
  <c r="C5" i="39"/>
  <c r="D5" i="39" s="1"/>
  <c r="E33" i="31"/>
  <c r="I6" i="35"/>
  <c r="D24" i="31" s="1"/>
  <c r="H26" i="35"/>
  <c r="H24" i="35"/>
  <c r="I19" i="35"/>
  <c r="I20" i="35"/>
  <c r="I12" i="35"/>
  <c r="I15" i="35"/>
  <c r="I7" i="35"/>
  <c r="I9" i="35"/>
  <c r="E9" i="38"/>
  <c r="H17" i="35" s="1"/>
  <c r="E5" i="38"/>
  <c r="H18" i="35" s="1"/>
  <c r="H16" i="35"/>
  <c r="H10" i="35"/>
  <c r="G10" i="35"/>
  <c r="F20" i="37"/>
  <c r="G14" i="35" s="1"/>
  <c r="G16" i="35" s="1"/>
  <c r="F14" i="37"/>
  <c r="G18" i="35" s="1"/>
  <c r="G21" i="35" s="1"/>
  <c r="F18" i="35"/>
  <c r="F17" i="35"/>
  <c r="F14" i="35"/>
  <c r="F13" i="35"/>
  <c r="I13" i="35" s="1"/>
  <c r="F11" i="35"/>
  <c r="I11" i="35" s="1"/>
  <c r="F8" i="35"/>
  <c r="F10" i="35" s="1"/>
  <c r="B25" i="36"/>
  <c r="B21" i="36"/>
  <c r="B15" i="36"/>
  <c r="B9" i="36"/>
  <c r="K20" i="35"/>
  <c r="E20" i="35"/>
  <c r="C20" i="35"/>
  <c r="K19" i="35"/>
  <c r="E19" i="35"/>
  <c r="C19" i="35"/>
  <c r="D19" i="35" s="1"/>
  <c r="K18" i="35"/>
  <c r="C18" i="35"/>
  <c r="D18" i="35" s="1"/>
  <c r="K17" i="35"/>
  <c r="C17" i="35"/>
  <c r="K15" i="35"/>
  <c r="E15" i="35"/>
  <c r="C15" i="35"/>
  <c r="K14" i="35"/>
  <c r="C14" i="35"/>
  <c r="D14" i="35" s="1"/>
  <c r="K13" i="35"/>
  <c r="C13" i="35"/>
  <c r="D13" i="35" s="1"/>
  <c r="K12" i="35"/>
  <c r="C12" i="35"/>
  <c r="K11" i="35"/>
  <c r="C11" i="35"/>
  <c r="K9" i="35"/>
  <c r="E9" i="35"/>
  <c r="C9" i="35"/>
  <c r="K8" i="35"/>
  <c r="C8" i="35"/>
  <c r="K7" i="35"/>
  <c r="E7" i="35"/>
  <c r="C7" i="35"/>
  <c r="D7" i="35" s="1"/>
  <c r="K6" i="35"/>
  <c r="C6" i="35"/>
  <c r="K5" i="35"/>
  <c r="C5" i="35"/>
  <c r="C39" i="34"/>
  <c r="C31" i="34"/>
  <c r="C32" i="34" s="1"/>
  <c r="E20" i="34"/>
  <c r="C20" i="34"/>
  <c r="C14" i="34"/>
  <c r="C11" i="34"/>
  <c r="K25" i="31"/>
  <c r="F16" i="39" l="1"/>
  <c r="B27" i="36"/>
  <c r="D16" i="40"/>
  <c r="I17" i="35"/>
  <c r="J17" i="35" s="1"/>
  <c r="J23" i="35" s="1"/>
  <c r="J15" i="39"/>
  <c r="D18" i="44"/>
  <c r="L5" i="39"/>
  <c r="C16" i="39"/>
  <c r="L7" i="39"/>
  <c r="K16" i="39"/>
  <c r="C10" i="39"/>
  <c r="C16" i="40"/>
  <c r="C21" i="41"/>
  <c r="B29" i="43"/>
  <c r="H18" i="39"/>
  <c r="H21" i="39" s="1"/>
  <c r="J7" i="39"/>
  <c r="D3" i="45"/>
  <c r="I6" i="39"/>
  <c r="H10" i="39"/>
  <c r="E16" i="39"/>
  <c r="C34" i="41"/>
  <c r="D23" i="31"/>
  <c r="J5" i="39"/>
  <c r="D21" i="45"/>
  <c r="C21" i="34"/>
  <c r="H25" i="35"/>
  <c r="H27" i="35" s="1"/>
  <c r="L14" i="39"/>
  <c r="K21" i="39"/>
  <c r="J20" i="39"/>
  <c r="E6" i="39"/>
  <c r="L6" i="39" s="1"/>
  <c r="D6" i="39"/>
  <c r="D10" i="39" s="1"/>
  <c r="J19" i="39"/>
  <c r="C21" i="39"/>
  <c r="E11" i="40"/>
  <c r="E16" i="40" s="1"/>
  <c r="C27" i="42"/>
  <c r="J9" i="39"/>
  <c r="L12" i="39"/>
  <c r="L15" i="39"/>
  <c r="B27" i="42"/>
  <c r="L17" i="39"/>
  <c r="L19" i="39"/>
  <c r="F5" i="35"/>
  <c r="I5" i="35" s="1"/>
  <c r="D21" i="31" s="1"/>
  <c r="L9" i="39"/>
  <c r="L18" i="39"/>
  <c r="L20" i="39"/>
  <c r="G8" i="39"/>
  <c r="L11" i="46"/>
  <c r="E22" i="51"/>
  <c r="K7" i="46"/>
  <c r="F11" i="46"/>
  <c r="K21" i="46"/>
  <c r="L21" i="46"/>
  <c r="L22" i="46" s="1"/>
  <c r="F17" i="46"/>
  <c r="L16" i="46"/>
  <c r="L17" i="46" s="1"/>
  <c r="K10" i="46"/>
  <c r="K9" i="46"/>
  <c r="D28" i="51"/>
  <c r="K5" i="46"/>
  <c r="D21" i="51"/>
  <c r="D23" i="51"/>
  <c r="D22" i="51"/>
  <c r="E16" i="47"/>
  <c r="K13" i="46"/>
  <c r="K16" i="46"/>
  <c r="I23" i="46"/>
  <c r="H11" i="46"/>
  <c r="H23" i="46" s="1"/>
  <c r="J22" i="46"/>
  <c r="C22" i="46"/>
  <c r="K12" i="46"/>
  <c r="G17" i="46"/>
  <c r="J17" i="46"/>
  <c r="F22" i="46"/>
  <c r="G22" i="46"/>
  <c r="C11" i="46"/>
  <c r="C17" i="46"/>
  <c r="H27" i="39"/>
  <c r="I14" i="39"/>
  <c r="D25" i="45" s="1"/>
  <c r="B27" i="43"/>
  <c r="J13" i="39"/>
  <c r="F21" i="39"/>
  <c r="L13" i="39"/>
  <c r="L8" i="39"/>
  <c r="D18" i="39"/>
  <c r="D20" i="39"/>
  <c r="E21" i="39"/>
  <c r="K10" i="39"/>
  <c r="K22" i="39" s="1"/>
  <c r="L11" i="39"/>
  <c r="D13" i="39"/>
  <c r="D14" i="39"/>
  <c r="D15" i="39"/>
  <c r="F10" i="39"/>
  <c r="D11" i="39"/>
  <c r="D12" i="39"/>
  <c r="I17" i="39"/>
  <c r="D23" i="45" s="1"/>
  <c r="E21" i="35"/>
  <c r="I14" i="35"/>
  <c r="D25" i="31" s="1"/>
  <c r="I8" i="35"/>
  <c r="I18" i="35"/>
  <c r="F16" i="35"/>
  <c r="H21" i="35"/>
  <c r="H22" i="35" s="1"/>
  <c r="F21" i="35"/>
  <c r="G22" i="35"/>
  <c r="J20" i="35"/>
  <c r="J15" i="35"/>
  <c r="J9" i="35"/>
  <c r="J7" i="35"/>
  <c r="C21" i="35"/>
  <c r="L9" i="35"/>
  <c r="J12" i="35"/>
  <c r="L17" i="35"/>
  <c r="D8" i="35"/>
  <c r="L15" i="35"/>
  <c r="K21" i="35"/>
  <c r="D17" i="35"/>
  <c r="D5" i="35"/>
  <c r="D11" i="35"/>
  <c r="K16" i="35"/>
  <c r="L19" i="35"/>
  <c r="L20" i="35"/>
  <c r="K10" i="35"/>
  <c r="C10" i="35"/>
  <c r="D6" i="35"/>
  <c r="C16" i="35"/>
  <c r="L14" i="35"/>
  <c r="L7" i="35"/>
  <c r="D9" i="35"/>
  <c r="L18" i="35"/>
  <c r="D20" i="35"/>
  <c r="L12" i="35"/>
  <c r="D15" i="35"/>
  <c r="D12" i="35"/>
  <c r="J19" i="35"/>
  <c r="C34" i="34"/>
  <c r="J25" i="31"/>
  <c r="J19" i="31" s="1"/>
  <c r="I25" i="31"/>
  <c r="I19" i="31" s="1"/>
  <c r="H25" i="31"/>
  <c r="H19" i="31" s="1"/>
  <c r="G25" i="31"/>
  <c r="G19" i="31" s="1"/>
  <c r="F25" i="31"/>
  <c r="F19" i="31" s="1"/>
  <c r="E25" i="31"/>
  <c r="E19" i="31" s="1"/>
  <c r="H5" i="27"/>
  <c r="H20" i="27"/>
  <c r="H19" i="27"/>
  <c r="H18" i="27"/>
  <c r="H17" i="27"/>
  <c r="H15" i="27"/>
  <c r="H14" i="27"/>
  <c r="H13" i="27"/>
  <c r="H12" i="27"/>
  <c r="H11" i="27"/>
  <c r="H16" i="27" s="1"/>
  <c r="H9" i="27"/>
  <c r="H8" i="27"/>
  <c r="H7" i="27"/>
  <c r="H6" i="27"/>
  <c r="C39" i="32"/>
  <c r="C31" i="32"/>
  <c r="C32" i="32" s="1"/>
  <c r="C20" i="32"/>
  <c r="C14" i="32"/>
  <c r="C11" i="32"/>
  <c r="G46" i="30"/>
  <c r="G43" i="30" s="1"/>
  <c r="F14" i="27" s="1"/>
  <c r="H56" i="30"/>
  <c r="I56" i="30"/>
  <c r="J56" i="30"/>
  <c r="K56" i="30"/>
  <c r="G4" i="30"/>
  <c r="F18" i="27" s="1"/>
  <c r="G25" i="27" s="1"/>
  <c r="G29" i="30"/>
  <c r="F11" i="27" s="1"/>
  <c r="G27" i="30"/>
  <c r="G31" i="30"/>
  <c r="F12" i="27" s="1"/>
  <c r="G33" i="30"/>
  <c r="F17" i="27" s="1"/>
  <c r="G48" i="30"/>
  <c r="F5" i="27" s="1"/>
  <c r="B43" i="31"/>
  <c r="K19" i="31"/>
  <c r="D8" i="31"/>
  <c r="D7" i="31"/>
  <c r="D6" i="31"/>
  <c r="D5" i="31"/>
  <c r="C3" i="31"/>
  <c r="F13" i="27"/>
  <c r="G55" i="30"/>
  <c r="G54" i="30"/>
  <c r="L2" i="30"/>
  <c r="E13" i="35" s="1"/>
  <c r="J13" i="35" s="1"/>
  <c r="L4" i="30"/>
  <c r="L27" i="30"/>
  <c r="E8" i="35" s="1"/>
  <c r="L8" i="35" s="1"/>
  <c r="L29" i="30"/>
  <c r="E11" i="35" s="1"/>
  <c r="J11" i="35" s="1"/>
  <c r="L31" i="30"/>
  <c r="E12" i="27" s="1"/>
  <c r="L33" i="30"/>
  <c r="L43" i="30"/>
  <c r="L48" i="30"/>
  <c r="E5" i="35" s="1"/>
  <c r="L5" i="35" s="1"/>
  <c r="L53" i="30"/>
  <c r="E6" i="35" s="1"/>
  <c r="E55" i="22"/>
  <c r="E20" i="27"/>
  <c r="G20" i="27" s="1"/>
  <c r="C20" i="27"/>
  <c r="E19" i="27"/>
  <c r="G19" i="27" s="1"/>
  <c r="C19" i="27"/>
  <c r="C18" i="27"/>
  <c r="D18" i="27" s="1"/>
  <c r="C17" i="27"/>
  <c r="D17" i="27" s="1"/>
  <c r="E15" i="27"/>
  <c r="G15" i="27" s="1"/>
  <c r="C15" i="27"/>
  <c r="C14" i="27"/>
  <c r="C13" i="27"/>
  <c r="D13" i="27" s="1"/>
  <c r="C12" i="27"/>
  <c r="D12" i="27" s="1"/>
  <c r="C11" i="27"/>
  <c r="D11" i="27" s="1"/>
  <c r="E9" i="27"/>
  <c r="G9" i="27" s="1"/>
  <c r="C9" i="27"/>
  <c r="C8" i="27"/>
  <c r="D8" i="27" s="1"/>
  <c r="E7" i="27"/>
  <c r="G7" i="27" s="1"/>
  <c r="C7" i="27"/>
  <c r="C6" i="27"/>
  <c r="C5" i="27"/>
  <c r="D5" i="27" s="1"/>
  <c r="C57" i="25"/>
  <c r="B46" i="26"/>
  <c r="E36" i="26"/>
  <c r="K19" i="26"/>
  <c r="J19" i="26"/>
  <c r="I19" i="26"/>
  <c r="H19" i="26"/>
  <c r="G19" i="26"/>
  <c r="F19" i="26"/>
  <c r="E19" i="26"/>
  <c r="D8" i="26"/>
  <c r="D7" i="26"/>
  <c r="D6" i="26"/>
  <c r="D5" i="26"/>
  <c r="C3" i="26"/>
  <c r="G8" i="21"/>
  <c r="E17" i="21"/>
  <c r="E12" i="21"/>
  <c r="G12" i="21" s="1"/>
  <c r="H6" i="21"/>
  <c r="D23" i="26"/>
  <c r="F16" i="21"/>
  <c r="F10" i="21"/>
  <c r="C47" i="25"/>
  <c r="K43" i="25"/>
  <c r="K44" i="25" s="1"/>
  <c r="K38" i="25"/>
  <c r="J38" i="25"/>
  <c r="I38" i="25"/>
  <c r="H38" i="25"/>
  <c r="G38" i="25"/>
  <c r="F38" i="25"/>
  <c r="E38" i="25"/>
  <c r="D38" i="25"/>
  <c r="C38" i="25"/>
  <c r="L37" i="25"/>
  <c r="L36" i="25"/>
  <c r="L35" i="25"/>
  <c r="C32" i="25"/>
  <c r="H20" i="25"/>
  <c r="F20" i="25"/>
  <c r="E20" i="25"/>
  <c r="C20" i="25"/>
  <c r="D20" i="25" s="1"/>
  <c r="H19" i="25"/>
  <c r="F19" i="25"/>
  <c r="E19" i="25"/>
  <c r="C19" i="25"/>
  <c r="D19" i="25" s="1"/>
  <c r="H18" i="25"/>
  <c r="F18" i="25"/>
  <c r="E18" i="25"/>
  <c r="C18" i="25"/>
  <c r="D18" i="25" s="1"/>
  <c r="H17" i="25"/>
  <c r="F17" i="25"/>
  <c r="E17" i="25"/>
  <c r="C17" i="25"/>
  <c r="H15" i="25"/>
  <c r="F15" i="25"/>
  <c r="E15" i="25"/>
  <c r="C15" i="25"/>
  <c r="D15" i="25" s="1"/>
  <c r="H14" i="25"/>
  <c r="F14" i="25"/>
  <c r="E14" i="25"/>
  <c r="C14" i="25"/>
  <c r="D14" i="25" s="1"/>
  <c r="H13" i="25"/>
  <c r="F13" i="25"/>
  <c r="E13" i="25"/>
  <c r="C13" i="25"/>
  <c r="D13" i="25" s="1"/>
  <c r="H12" i="25"/>
  <c r="F12" i="25"/>
  <c r="E12" i="25"/>
  <c r="C12" i="25"/>
  <c r="H11" i="25"/>
  <c r="F11" i="25"/>
  <c r="E11" i="25"/>
  <c r="C11" i="25"/>
  <c r="D11" i="25" s="1"/>
  <c r="H9" i="25"/>
  <c r="F9" i="25"/>
  <c r="E9" i="25"/>
  <c r="C9" i="25"/>
  <c r="D9" i="25" s="1"/>
  <c r="H8" i="25"/>
  <c r="F8" i="25"/>
  <c r="E8" i="25"/>
  <c r="C8" i="25"/>
  <c r="H7" i="25"/>
  <c r="F7" i="25"/>
  <c r="E7" i="25"/>
  <c r="C7" i="25"/>
  <c r="D7" i="25" s="1"/>
  <c r="H6" i="25"/>
  <c r="F6" i="25"/>
  <c r="E6" i="25"/>
  <c r="C6" i="25"/>
  <c r="H5" i="25"/>
  <c r="F5" i="25"/>
  <c r="E5" i="25"/>
  <c r="C5" i="25"/>
  <c r="D5" i="25" s="1"/>
  <c r="D21" i="24"/>
  <c r="K19" i="24"/>
  <c r="J19" i="24"/>
  <c r="I19" i="24"/>
  <c r="H19" i="24"/>
  <c r="G19" i="24"/>
  <c r="F19" i="24"/>
  <c r="E19" i="24"/>
  <c r="D8" i="24"/>
  <c r="D25" i="24" s="1"/>
  <c r="D7" i="24"/>
  <c r="D24" i="24" s="1"/>
  <c r="D6" i="24"/>
  <c r="D23" i="24" s="1"/>
  <c r="D5" i="24"/>
  <c r="D22" i="24" s="1"/>
  <c r="C3" i="24"/>
  <c r="E14" i="27"/>
  <c r="G9" i="25" l="1"/>
  <c r="G12" i="25"/>
  <c r="E10" i="35"/>
  <c r="C22" i="39"/>
  <c r="O25" i="39" s="1"/>
  <c r="O26" i="39" s="1"/>
  <c r="E25" i="32"/>
  <c r="F25" i="32" s="1"/>
  <c r="I18" i="39"/>
  <c r="J25" i="39" s="1"/>
  <c r="J14" i="35"/>
  <c r="L16" i="39"/>
  <c r="I9" i="27"/>
  <c r="I19" i="27"/>
  <c r="H10" i="25"/>
  <c r="H22" i="39"/>
  <c r="G19" i="25"/>
  <c r="F22" i="39"/>
  <c r="G15" i="25"/>
  <c r="F21" i="25"/>
  <c r="H21" i="27"/>
  <c r="I16" i="35"/>
  <c r="C21" i="32"/>
  <c r="C34" i="32" s="1"/>
  <c r="D3" i="24"/>
  <c r="G53" i="30"/>
  <c r="G56" i="30" s="1"/>
  <c r="G7" i="25"/>
  <c r="H16" i="25"/>
  <c r="E10" i="25"/>
  <c r="E16" i="25"/>
  <c r="G13" i="25"/>
  <c r="L21" i="39"/>
  <c r="C41" i="25"/>
  <c r="F16" i="25"/>
  <c r="G17" i="21"/>
  <c r="G23" i="21" s="1"/>
  <c r="L13" i="35"/>
  <c r="I18" i="25"/>
  <c r="E11" i="27"/>
  <c r="G11" i="27" s="1"/>
  <c r="E21" i="25"/>
  <c r="G26" i="27"/>
  <c r="I17" i="27"/>
  <c r="G5" i="25"/>
  <c r="G17" i="25"/>
  <c r="D3" i="26"/>
  <c r="D19" i="27"/>
  <c r="E13" i="27"/>
  <c r="I13" i="27" s="1"/>
  <c r="J8" i="35"/>
  <c r="D28" i="31"/>
  <c r="I18" i="27"/>
  <c r="H10" i="27"/>
  <c r="I11" i="25"/>
  <c r="I17" i="25"/>
  <c r="I15" i="27"/>
  <c r="L56" i="30"/>
  <c r="J6" i="35"/>
  <c r="L6" i="35"/>
  <c r="E10" i="39"/>
  <c r="E22" i="39" s="1"/>
  <c r="E26" i="39" s="1"/>
  <c r="J6" i="39"/>
  <c r="E24" i="45" s="1"/>
  <c r="E19" i="45" s="1"/>
  <c r="J25" i="35"/>
  <c r="D22" i="31"/>
  <c r="C10" i="25"/>
  <c r="I12" i="25"/>
  <c r="I14" i="25"/>
  <c r="I7" i="27"/>
  <c r="E5" i="27"/>
  <c r="G5" i="27" s="1"/>
  <c r="J5" i="35"/>
  <c r="J26" i="35"/>
  <c r="D6" i="25"/>
  <c r="I9" i="25"/>
  <c r="D7" i="27"/>
  <c r="C21" i="27"/>
  <c r="I20" i="27"/>
  <c r="L11" i="35"/>
  <c r="E16" i="35"/>
  <c r="E22" i="35" s="1"/>
  <c r="I16" i="39"/>
  <c r="G10" i="39"/>
  <c r="G22" i="39" s="1"/>
  <c r="I8" i="39"/>
  <c r="I10" i="39" s="1"/>
  <c r="J26" i="39"/>
  <c r="E6" i="27"/>
  <c r="I6" i="27" s="1"/>
  <c r="G6" i="25"/>
  <c r="G8" i="25"/>
  <c r="G14" i="25"/>
  <c r="C21" i="25"/>
  <c r="G18" i="25"/>
  <c r="G20" i="25"/>
  <c r="E8" i="27"/>
  <c r="I8" i="27" s="1"/>
  <c r="J14" i="39"/>
  <c r="J16" i="39" s="1"/>
  <c r="D24" i="45"/>
  <c r="F23" i="46"/>
  <c r="F24" i="46" s="1"/>
  <c r="L23" i="46"/>
  <c r="E22" i="46"/>
  <c r="E23" i="46" s="1"/>
  <c r="D24" i="51"/>
  <c r="D19" i="51" s="1"/>
  <c r="D18" i="51" s="1"/>
  <c r="G23" i="46"/>
  <c r="K22" i="46"/>
  <c r="K17" i="46"/>
  <c r="J11" i="46"/>
  <c r="J23" i="46" s="1"/>
  <c r="J26" i="46" s="1"/>
  <c r="C23" i="46"/>
  <c r="O26" i="46" s="1"/>
  <c r="O27" i="46" s="1"/>
  <c r="D21" i="39"/>
  <c r="D16" i="39"/>
  <c r="J17" i="39"/>
  <c r="I10" i="35"/>
  <c r="J10" i="35" s="1"/>
  <c r="I21" i="35"/>
  <c r="J21" i="35" s="1"/>
  <c r="J18" i="35"/>
  <c r="K22" i="35"/>
  <c r="F22" i="35"/>
  <c r="L21" i="35"/>
  <c r="L10" i="35"/>
  <c r="D21" i="35"/>
  <c r="D10" i="35"/>
  <c r="C22" i="35"/>
  <c r="O25" i="35" s="1"/>
  <c r="O26" i="35" s="1"/>
  <c r="D16" i="35"/>
  <c r="D3" i="31"/>
  <c r="F16" i="27"/>
  <c r="F6" i="27"/>
  <c r="F10" i="27" s="1"/>
  <c r="F21" i="27"/>
  <c r="G14" i="27"/>
  <c r="I14" i="27"/>
  <c r="G12" i="27"/>
  <c r="I12" i="27"/>
  <c r="I8" i="25"/>
  <c r="E21" i="27"/>
  <c r="D9" i="27"/>
  <c r="D6" i="27"/>
  <c r="D15" i="27"/>
  <c r="G17" i="27"/>
  <c r="D14" i="27"/>
  <c r="D20" i="27"/>
  <c r="C10" i="27"/>
  <c r="G18" i="27"/>
  <c r="C16" i="27"/>
  <c r="D21" i="26"/>
  <c r="D22" i="26"/>
  <c r="D24" i="26"/>
  <c r="D25" i="26"/>
  <c r="F21" i="21"/>
  <c r="K46" i="25"/>
  <c r="C49" i="25" s="1"/>
  <c r="I7" i="25"/>
  <c r="I15" i="25"/>
  <c r="I6" i="25"/>
  <c r="C16" i="25"/>
  <c r="D17" i="25"/>
  <c r="D21" i="25" s="1"/>
  <c r="H21" i="25"/>
  <c r="D12" i="25"/>
  <c r="D16" i="25" s="1"/>
  <c r="I5" i="25"/>
  <c r="D8" i="25"/>
  <c r="F10" i="25"/>
  <c r="G11" i="25"/>
  <c r="I13" i="25"/>
  <c r="D39" i="25"/>
  <c r="E39" i="25" s="1"/>
  <c r="I20" i="25"/>
  <c r="I19" i="25"/>
  <c r="D19" i="24"/>
  <c r="D18" i="24" s="1"/>
  <c r="E18" i="24" s="1"/>
  <c r="F18" i="24" s="1"/>
  <c r="G18" i="24" s="1"/>
  <c r="H18" i="24" s="1"/>
  <c r="I18" i="24" s="1"/>
  <c r="J18" i="24" s="1"/>
  <c r="K18" i="24" s="1"/>
  <c r="G13" i="27" l="1"/>
  <c r="I21" i="39"/>
  <c r="D21" i="27"/>
  <c r="G21" i="25"/>
  <c r="I10" i="25"/>
  <c r="D22" i="45"/>
  <c r="J18" i="39"/>
  <c r="F22" i="45" s="1"/>
  <c r="F19" i="45" s="1"/>
  <c r="C22" i="25"/>
  <c r="L25" i="25" s="1"/>
  <c r="L26" i="25" s="1"/>
  <c r="D10" i="25"/>
  <c r="D22" i="25" s="1"/>
  <c r="L16" i="35"/>
  <c r="L22" i="35" s="1"/>
  <c r="G16" i="25"/>
  <c r="L10" i="39"/>
  <c r="L22" i="39" s="1"/>
  <c r="H22" i="27"/>
  <c r="C22" i="27"/>
  <c r="L25" i="27" s="1"/>
  <c r="L26" i="27" s="1"/>
  <c r="G21" i="27"/>
  <c r="E10" i="27"/>
  <c r="G10" i="27" s="1"/>
  <c r="E16" i="27"/>
  <c r="G16" i="27" s="1"/>
  <c r="I22" i="39"/>
  <c r="I25" i="39" s="1"/>
  <c r="E22" i="25"/>
  <c r="D16" i="27"/>
  <c r="I11" i="27"/>
  <c r="D19" i="31"/>
  <c r="D18" i="31" s="1"/>
  <c r="H22" i="25"/>
  <c r="G8" i="27"/>
  <c r="D10" i="27"/>
  <c r="I16" i="25"/>
  <c r="J8" i="39"/>
  <c r="J10" i="39" s="1"/>
  <c r="D28" i="45"/>
  <c r="I26" i="35"/>
  <c r="D19" i="26"/>
  <c r="D18" i="26" s="1"/>
  <c r="E18" i="26" s="1"/>
  <c r="F18" i="26" s="1"/>
  <c r="G18" i="26" s="1"/>
  <c r="H18" i="26" s="1"/>
  <c r="I18" i="26" s="1"/>
  <c r="J18" i="26" s="1"/>
  <c r="K18" i="26" s="1"/>
  <c r="J16" i="35"/>
  <c r="D41" i="25"/>
  <c r="J23" i="39"/>
  <c r="I5" i="27"/>
  <c r="F27" i="46"/>
  <c r="I29" i="46"/>
  <c r="I30" i="46" s="1"/>
  <c r="K30" i="46" s="1"/>
  <c r="E24" i="51"/>
  <c r="E19" i="51" s="1"/>
  <c r="E18" i="51" s="1"/>
  <c r="F18" i="51" s="1"/>
  <c r="G18" i="51" s="1"/>
  <c r="H18" i="51" s="1"/>
  <c r="I18" i="51" s="1"/>
  <c r="J18" i="51" s="1"/>
  <c r="K11" i="46"/>
  <c r="K23" i="46" s="1"/>
  <c r="J27" i="46" s="1"/>
  <c r="J28" i="46" s="1"/>
  <c r="D22" i="39"/>
  <c r="E23" i="39"/>
  <c r="E23" i="35"/>
  <c r="I22" i="35"/>
  <c r="D22" i="35"/>
  <c r="F26" i="27"/>
  <c r="G23" i="27"/>
  <c r="I21" i="27"/>
  <c r="F22" i="27"/>
  <c r="F25" i="27" s="1"/>
  <c r="G6" i="27"/>
  <c r="G10" i="25"/>
  <c r="F22" i="25"/>
  <c r="F22" i="21"/>
  <c r="E41" i="25"/>
  <c r="F39" i="25"/>
  <c r="I21" i="25"/>
  <c r="I22" i="25" s="1"/>
  <c r="C5" i="21"/>
  <c r="H14" i="21"/>
  <c r="H20" i="21"/>
  <c r="H19" i="21"/>
  <c r="H18" i="21"/>
  <c r="H17" i="21"/>
  <c r="H15" i="21"/>
  <c r="H13" i="21"/>
  <c r="H12" i="21"/>
  <c r="H11" i="21"/>
  <c r="H9" i="21"/>
  <c r="H5" i="21"/>
  <c r="E20" i="21"/>
  <c r="E19" i="21"/>
  <c r="E18" i="21"/>
  <c r="J16" i="20"/>
  <c r="E15" i="21"/>
  <c r="E14" i="21"/>
  <c r="E13" i="21"/>
  <c r="J11" i="20"/>
  <c r="E11" i="21"/>
  <c r="E9" i="21"/>
  <c r="E5" i="21"/>
  <c r="F19" i="20"/>
  <c r="F18" i="20"/>
  <c r="F17" i="20"/>
  <c r="F16" i="20"/>
  <c r="F14" i="20"/>
  <c r="F13" i="20"/>
  <c r="F12" i="20"/>
  <c r="F11" i="20"/>
  <c r="F8" i="20"/>
  <c r="F4" i="20"/>
  <c r="C20" i="21"/>
  <c r="C19" i="21"/>
  <c r="C18" i="21"/>
  <c r="C17" i="21"/>
  <c r="C15" i="21"/>
  <c r="C14" i="21"/>
  <c r="C13" i="21"/>
  <c r="C12" i="21"/>
  <c r="C11" i="21"/>
  <c r="C9" i="21"/>
  <c r="C8" i="21"/>
  <c r="C7" i="21"/>
  <c r="C6" i="21"/>
  <c r="H8" i="21"/>
  <c r="J7" i="20"/>
  <c r="F7" i="20"/>
  <c r="H7" i="21"/>
  <c r="E7" i="21"/>
  <c r="F6" i="20"/>
  <c r="E6" i="21"/>
  <c r="G6" i="21" s="1"/>
  <c r="F5" i="20"/>
  <c r="K55" i="22"/>
  <c r="J55" i="22"/>
  <c r="I55" i="22"/>
  <c r="H55" i="22"/>
  <c r="G55" i="22"/>
  <c r="F55" i="22"/>
  <c r="D55" i="22"/>
  <c r="I10" i="27" l="1"/>
  <c r="J21" i="39"/>
  <c r="I26" i="39"/>
  <c r="C42" i="39" s="1"/>
  <c r="D19" i="45"/>
  <c r="D18" i="45" s="1"/>
  <c r="E18" i="45" s="1"/>
  <c r="F18" i="45" s="1"/>
  <c r="G18" i="45" s="1"/>
  <c r="H18" i="45" s="1"/>
  <c r="I18" i="45" s="1"/>
  <c r="J18" i="45" s="1"/>
  <c r="K18" i="45" s="1"/>
  <c r="I16" i="27"/>
  <c r="I22" i="27" s="1"/>
  <c r="G22" i="25"/>
  <c r="D22" i="27"/>
  <c r="C42" i="35"/>
  <c r="D42" i="35" s="1"/>
  <c r="H28" i="39"/>
  <c r="H29" i="39" s="1"/>
  <c r="I29" i="39" s="1"/>
  <c r="E22" i="27"/>
  <c r="G22" i="27" s="1"/>
  <c r="J22" i="39"/>
  <c r="J6" i="20"/>
  <c r="G7" i="21"/>
  <c r="N6" i="20" s="1"/>
  <c r="J10" i="20"/>
  <c r="G11" i="21"/>
  <c r="J19" i="20"/>
  <c r="G20" i="21"/>
  <c r="N19" i="20" s="1"/>
  <c r="J8" i="20"/>
  <c r="G9" i="21"/>
  <c r="N8" i="20" s="1"/>
  <c r="J18" i="20"/>
  <c r="G19" i="21"/>
  <c r="N18" i="20" s="1"/>
  <c r="G26" i="21"/>
  <c r="G14" i="21"/>
  <c r="N13" i="20" s="1"/>
  <c r="J14" i="20"/>
  <c r="G15" i="21"/>
  <c r="N14" i="20" s="1"/>
  <c r="J12" i="20"/>
  <c r="G13" i="21"/>
  <c r="N12" i="20" s="1"/>
  <c r="J4" i="20"/>
  <c r="G5" i="21"/>
  <c r="N4" i="20" s="1"/>
  <c r="G18" i="21"/>
  <c r="N17" i="20" s="1"/>
  <c r="G25" i="21"/>
  <c r="C43" i="46"/>
  <c r="C44" i="46" s="1"/>
  <c r="E44" i="46" s="1"/>
  <c r="I25" i="35"/>
  <c r="I27" i="35" s="1"/>
  <c r="H28" i="35"/>
  <c r="H29" i="35" s="1"/>
  <c r="I29" i="35" s="1"/>
  <c r="J22" i="35"/>
  <c r="C40" i="27"/>
  <c r="D40" i="27" s="1"/>
  <c r="F27" i="27"/>
  <c r="E18" i="31"/>
  <c r="F18" i="31" s="1"/>
  <c r="G18" i="31" s="1"/>
  <c r="H18" i="31" s="1"/>
  <c r="I18" i="31" s="1"/>
  <c r="J18" i="31" s="1"/>
  <c r="K18" i="31" s="1"/>
  <c r="F26" i="32"/>
  <c r="F27" i="32" s="1"/>
  <c r="F25" i="21"/>
  <c r="J5" i="20"/>
  <c r="J13" i="20"/>
  <c r="J17" i="20"/>
  <c r="F15" i="20"/>
  <c r="F10" i="20"/>
  <c r="G39" i="25"/>
  <c r="F41" i="25"/>
  <c r="F20" i="20"/>
  <c r="D20" i="21"/>
  <c r="I20" i="21"/>
  <c r="I19" i="21"/>
  <c r="I18" i="21"/>
  <c r="I17" i="21"/>
  <c r="H21" i="21"/>
  <c r="D17" i="21"/>
  <c r="D15" i="21"/>
  <c r="I15" i="21"/>
  <c r="D14" i="21"/>
  <c r="D13" i="21"/>
  <c r="I13" i="21"/>
  <c r="I12" i="21"/>
  <c r="D12" i="21"/>
  <c r="H16" i="21"/>
  <c r="E16" i="21"/>
  <c r="I11" i="21"/>
  <c r="D9" i="21"/>
  <c r="I8" i="21"/>
  <c r="N7" i="20"/>
  <c r="D8" i="21"/>
  <c r="D7" i="21"/>
  <c r="I7" i="21"/>
  <c r="H10" i="21"/>
  <c r="E10" i="21"/>
  <c r="F9" i="20"/>
  <c r="D6" i="21"/>
  <c r="D5" i="21"/>
  <c r="F6" i="15"/>
  <c r="I5" i="15"/>
  <c r="I20" i="15"/>
  <c r="I19" i="15"/>
  <c r="I18" i="15"/>
  <c r="I17" i="15"/>
  <c r="I15" i="15"/>
  <c r="I14" i="15"/>
  <c r="I13" i="15"/>
  <c r="I12" i="15"/>
  <c r="I11" i="15"/>
  <c r="I9" i="15"/>
  <c r="I8" i="15"/>
  <c r="I7" i="15"/>
  <c r="I6" i="15"/>
  <c r="F5" i="15"/>
  <c r="E4" i="20" s="1"/>
  <c r="G4" i="20" s="1"/>
  <c r="D16" i="20"/>
  <c r="D14" i="20"/>
  <c r="C43" i="39" l="1"/>
  <c r="D43" i="39" s="1"/>
  <c r="D42" i="39"/>
  <c r="I27" i="39"/>
  <c r="F26" i="21"/>
  <c r="C40" i="21" s="1"/>
  <c r="D40" i="21" s="1"/>
  <c r="J15" i="20"/>
  <c r="G16" i="21"/>
  <c r="N15" i="20" s="1"/>
  <c r="J9" i="20"/>
  <c r="G10" i="21"/>
  <c r="N9" i="20" s="1"/>
  <c r="E43" i="46"/>
  <c r="C43" i="35"/>
  <c r="D43" i="35" s="1"/>
  <c r="C41" i="27"/>
  <c r="D41" i="27" s="1"/>
  <c r="N16" i="20"/>
  <c r="H39" i="25"/>
  <c r="G41" i="25"/>
  <c r="F21" i="20"/>
  <c r="D10" i="21"/>
  <c r="H22" i="21"/>
  <c r="E21" i="21"/>
  <c r="D18" i="21"/>
  <c r="I9" i="21"/>
  <c r="N5" i="20"/>
  <c r="C10" i="21"/>
  <c r="D11" i="21"/>
  <c r="D16" i="21" s="1"/>
  <c r="D19" i="21"/>
  <c r="I6" i="21"/>
  <c r="N11" i="20"/>
  <c r="I14" i="21"/>
  <c r="C16" i="21"/>
  <c r="I16" i="21" s="1"/>
  <c r="I5" i="21"/>
  <c r="N10" i="20"/>
  <c r="C21" i="21"/>
  <c r="F27" i="21" l="1"/>
  <c r="C41" i="21"/>
  <c r="D41" i="21" s="1"/>
  <c r="J20" i="20"/>
  <c r="E22" i="21"/>
  <c r="G22" i="21" s="1"/>
  <c r="G21" i="21"/>
  <c r="N20" i="20" s="1"/>
  <c r="H41" i="25"/>
  <c r="I39" i="25"/>
  <c r="I10" i="21"/>
  <c r="C22" i="21"/>
  <c r="L25" i="21" s="1"/>
  <c r="L26" i="21" s="1"/>
  <c r="D21" i="21"/>
  <c r="D22" i="21" s="1"/>
  <c r="I21" i="21"/>
  <c r="N21" i="20" l="1"/>
  <c r="J21" i="20"/>
  <c r="I41" i="25"/>
  <c r="J39" i="25"/>
  <c r="I22" i="21"/>
  <c r="F63" i="18"/>
  <c r="J41" i="25" l="1"/>
  <c r="K39" i="25"/>
  <c r="K41" i="25" s="1"/>
  <c r="G18" i="15"/>
  <c r="I17" i="20" s="1"/>
  <c r="F18" i="15"/>
  <c r="E17" i="20" s="1"/>
  <c r="D18" i="15"/>
  <c r="K63" i="18"/>
  <c r="J63" i="18"/>
  <c r="I63" i="18"/>
  <c r="H63" i="18"/>
  <c r="G63" i="18"/>
  <c r="E63" i="18"/>
  <c r="D63" i="18"/>
  <c r="G20" i="15"/>
  <c r="I19" i="20" s="1"/>
  <c r="F20" i="15"/>
  <c r="E19" i="20" s="1"/>
  <c r="D20" i="15"/>
  <c r="G19" i="15"/>
  <c r="I18" i="20" s="1"/>
  <c r="F19" i="15"/>
  <c r="D19" i="15"/>
  <c r="G17" i="15"/>
  <c r="I16" i="20" s="1"/>
  <c r="F17" i="15"/>
  <c r="E16" i="20" s="1"/>
  <c r="D17" i="15"/>
  <c r="G15" i="15"/>
  <c r="I14" i="20" s="1"/>
  <c r="F15" i="15"/>
  <c r="E14" i="20" s="1"/>
  <c r="D15" i="15"/>
  <c r="E15" i="15" s="1"/>
  <c r="G14" i="15"/>
  <c r="I13" i="20" s="1"/>
  <c r="F14" i="15"/>
  <c r="D14" i="15"/>
  <c r="G13" i="15"/>
  <c r="I12" i="20" s="1"/>
  <c r="F13" i="15"/>
  <c r="E12" i="20" s="1"/>
  <c r="D13" i="15"/>
  <c r="G12" i="15"/>
  <c r="I11" i="20" s="1"/>
  <c r="F12" i="15"/>
  <c r="D12" i="15"/>
  <c r="I16" i="15"/>
  <c r="G11" i="15"/>
  <c r="I10" i="20" s="1"/>
  <c r="F11" i="15"/>
  <c r="E10" i="20" s="1"/>
  <c r="D11" i="15"/>
  <c r="G9" i="15"/>
  <c r="I8" i="20" s="1"/>
  <c r="F9" i="15"/>
  <c r="E8" i="20" s="1"/>
  <c r="D9" i="15"/>
  <c r="G8" i="15"/>
  <c r="I7" i="20" s="1"/>
  <c r="F8" i="15"/>
  <c r="E7" i="20" s="1"/>
  <c r="D8" i="15"/>
  <c r="G7" i="15"/>
  <c r="F7" i="15"/>
  <c r="D7" i="15"/>
  <c r="I10" i="15"/>
  <c r="G6" i="15"/>
  <c r="E5" i="20"/>
  <c r="G5" i="20" s="1"/>
  <c r="D6" i="15"/>
  <c r="G5" i="15"/>
  <c r="I4" i="20" s="1"/>
  <c r="D5" i="15"/>
  <c r="I21" i="15"/>
  <c r="E18" i="15" l="1"/>
  <c r="J18" i="15"/>
  <c r="H13" i="15"/>
  <c r="M12" i="20" s="1"/>
  <c r="E20" i="15"/>
  <c r="J20" i="15"/>
  <c r="E11" i="15"/>
  <c r="J11" i="15"/>
  <c r="E17" i="15"/>
  <c r="E21" i="15" s="1"/>
  <c r="J17" i="15"/>
  <c r="E5" i="15"/>
  <c r="J5" i="15"/>
  <c r="H18" i="15"/>
  <c r="M17" i="20" s="1"/>
  <c r="E7" i="15"/>
  <c r="J7" i="15"/>
  <c r="E13" i="15"/>
  <c r="J13" i="15"/>
  <c r="E19" i="15"/>
  <c r="J19" i="15"/>
  <c r="J8" i="15"/>
  <c r="E14" i="15"/>
  <c r="J14" i="15"/>
  <c r="E6" i="15"/>
  <c r="J6" i="15"/>
  <c r="E12" i="15"/>
  <c r="J12" i="15"/>
  <c r="E8" i="15"/>
  <c r="E9" i="15"/>
  <c r="J9" i="15"/>
  <c r="J15" i="15"/>
  <c r="H20" i="15"/>
  <c r="M19" i="20" s="1"/>
  <c r="I5" i="20"/>
  <c r="H6" i="15"/>
  <c r="M5" i="20" s="1"/>
  <c r="H8" i="15"/>
  <c r="M7" i="20" s="1"/>
  <c r="G21" i="15"/>
  <c r="I20" i="20" s="1"/>
  <c r="I6" i="20"/>
  <c r="H7" i="15"/>
  <c r="M6" i="20" s="1"/>
  <c r="H14" i="15"/>
  <c r="M13" i="20" s="1"/>
  <c r="E13" i="20"/>
  <c r="H15" i="15"/>
  <c r="M14" i="20" s="1"/>
  <c r="E6" i="20"/>
  <c r="H5" i="15"/>
  <c r="M4" i="20" s="1"/>
  <c r="H19" i="15"/>
  <c r="M18" i="20" s="1"/>
  <c r="E18" i="20"/>
  <c r="F16" i="15"/>
  <c r="E15" i="20" s="1"/>
  <c r="E11" i="20"/>
  <c r="H9" i="15"/>
  <c r="M8" i="20" s="1"/>
  <c r="G16" i="15"/>
  <c r="I15" i="20" s="1"/>
  <c r="H17" i="15"/>
  <c r="M16" i="20" s="1"/>
  <c r="F10" i="15"/>
  <c r="E9" i="20" s="1"/>
  <c r="H12" i="15"/>
  <c r="M11" i="20" s="1"/>
  <c r="D21" i="15"/>
  <c r="J21" i="15" s="1"/>
  <c r="H11" i="15"/>
  <c r="M10" i="20" s="1"/>
  <c r="D16" i="15"/>
  <c r="F21" i="15"/>
  <c r="D10" i="15"/>
  <c r="G10" i="15"/>
  <c r="E16" i="15" l="1"/>
  <c r="E10" i="15"/>
  <c r="J16" i="15"/>
  <c r="J10" i="15"/>
  <c r="H21" i="15"/>
  <c r="M20" i="20" s="1"/>
  <c r="E20" i="20"/>
  <c r="H16" i="15"/>
  <c r="M15" i="20" s="1"/>
  <c r="H10" i="15"/>
  <c r="M9" i="20" s="1"/>
  <c r="I9" i="20"/>
  <c r="J22" i="15" l="1"/>
  <c r="J64" i="11"/>
  <c r="I64" i="11"/>
  <c r="H64" i="11"/>
  <c r="G64" i="11"/>
  <c r="F64" i="11"/>
  <c r="E64" i="11"/>
  <c r="D64" i="11"/>
  <c r="K64" i="11"/>
  <c r="H60" i="11"/>
  <c r="H65" i="11" s="1"/>
  <c r="D47" i="15"/>
  <c r="L43" i="15"/>
  <c r="L44" i="15" s="1"/>
  <c r="L46" i="15" s="1"/>
  <c r="M38" i="15"/>
  <c r="L38" i="15"/>
  <c r="K38" i="15"/>
  <c r="I38" i="15"/>
  <c r="H38" i="15"/>
  <c r="G38" i="15"/>
  <c r="F38" i="15"/>
  <c r="E38" i="15"/>
  <c r="D38" i="15"/>
  <c r="N37" i="15"/>
  <c r="N36" i="15"/>
  <c r="N35" i="15"/>
  <c r="G17" i="10"/>
  <c r="D47" i="10"/>
  <c r="E39" i="15" l="1"/>
  <c r="F39" i="15" s="1"/>
  <c r="G39" i="15" s="1"/>
  <c r="H39" i="15" s="1"/>
  <c r="I39" i="15" s="1"/>
  <c r="K39" i="15" s="1"/>
  <c r="L39" i="15" s="1"/>
  <c r="M39" i="15" s="1"/>
  <c r="D49" i="15"/>
  <c r="F22" i="15"/>
  <c r="E21" i="20" s="1"/>
  <c r="I22" i="15"/>
  <c r="H23" i="25" s="1"/>
  <c r="F5" i="10"/>
  <c r="F20" i="10"/>
  <c r="F19" i="10"/>
  <c r="F18" i="10"/>
  <c r="F17" i="10"/>
  <c r="F15" i="10"/>
  <c r="F14" i="10"/>
  <c r="F13" i="10"/>
  <c r="F12" i="10"/>
  <c r="F11" i="10"/>
  <c r="F9" i="10"/>
  <c r="F8" i="10"/>
  <c r="F7" i="10"/>
  <c r="F6" i="10"/>
  <c r="D22" i="15" l="1"/>
  <c r="M25" i="15" s="1"/>
  <c r="M26" i="15" s="1"/>
  <c r="E22" i="15"/>
  <c r="G22" i="15"/>
  <c r="I21" i="20" s="1"/>
  <c r="D7" i="10"/>
  <c r="D6" i="8"/>
  <c r="D32" i="15" l="1"/>
  <c r="H22" i="15"/>
  <c r="J60" i="11"/>
  <c r="J65" i="11" s="1"/>
  <c r="H20" i="10"/>
  <c r="H19" i="10"/>
  <c r="H18" i="10"/>
  <c r="H17" i="10"/>
  <c r="H15" i="10"/>
  <c r="H14" i="10"/>
  <c r="H13" i="10"/>
  <c r="H12" i="10"/>
  <c r="H11" i="10"/>
  <c r="H9" i="10"/>
  <c r="H8" i="10"/>
  <c r="H7" i="10"/>
  <c r="H6" i="10"/>
  <c r="H5" i="10"/>
  <c r="G20" i="10"/>
  <c r="G19" i="10"/>
  <c r="G18" i="10"/>
  <c r="G15" i="10"/>
  <c r="G14" i="10"/>
  <c r="G13" i="10"/>
  <c r="G12" i="10"/>
  <c r="G11" i="10"/>
  <c r="G9" i="10"/>
  <c r="G8" i="10"/>
  <c r="G7" i="10"/>
  <c r="G5" i="10"/>
  <c r="G6" i="10"/>
  <c r="D20" i="10"/>
  <c r="D19" i="10"/>
  <c r="D18" i="10"/>
  <c r="D17" i="10"/>
  <c r="D14" i="10"/>
  <c r="D13" i="10"/>
  <c r="D15" i="10"/>
  <c r="D12" i="10"/>
  <c r="D11" i="10"/>
  <c r="D9" i="10"/>
  <c r="D8" i="10"/>
  <c r="D6" i="10"/>
  <c r="D5" i="10"/>
  <c r="K43" i="10"/>
  <c r="K44" i="10" s="1"/>
  <c r="D5" i="8"/>
  <c r="E60" i="11"/>
  <c r="E65" i="11" s="1"/>
  <c r="F60" i="11"/>
  <c r="F65" i="11" s="1"/>
  <c r="G60" i="11"/>
  <c r="G65" i="11" s="1"/>
  <c r="I60" i="11"/>
  <c r="I65" i="11" s="1"/>
  <c r="K60" i="11"/>
  <c r="K65" i="11" s="1"/>
  <c r="D60" i="11"/>
  <c r="D65" i="11" s="1"/>
  <c r="K46" i="10" l="1"/>
  <c r="D49" i="10" s="1"/>
  <c r="I41" i="15"/>
  <c r="H41" i="15"/>
  <c r="G41" i="15"/>
  <c r="F41" i="15"/>
  <c r="E41" i="15"/>
  <c r="M41" i="15"/>
  <c r="D41" i="15"/>
  <c r="L41" i="15"/>
  <c r="K41" i="15"/>
  <c r="G16" i="10"/>
  <c r="G21" i="10"/>
  <c r="D10" i="10"/>
  <c r="L38" i="10" l="1"/>
  <c r="K38" i="10"/>
  <c r="J38" i="10"/>
  <c r="I38" i="10"/>
  <c r="H38" i="10"/>
  <c r="G38" i="10"/>
  <c r="F38" i="10"/>
  <c r="E38" i="10"/>
  <c r="D38" i="10"/>
  <c r="M37" i="10"/>
  <c r="M36" i="10"/>
  <c r="M35" i="10"/>
  <c r="E20" i="10"/>
  <c r="I19" i="10"/>
  <c r="E19" i="10"/>
  <c r="F21" i="10"/>
  <c r="E18" i="10"/>
  <c r="H21" i="10"/>
  <c r="D21" i="10"/>
  <c r="I15" i="10"/>
  <c r="E15" i="10"/>
  <c r="F16" i="10"/>
  <c r="E14" i="10"/>
  <c r="I13" i="10"/>
  <c r="E13" i="10"/>
  <c r="I12" i="10"/>
  <c r="E12" i="10"/>
  <c r="H16" i="10"/>
  <c r="E11" i="10"/>
  <c r="I9" i="10"/>
  <c r="E9" i="10"/>
  <c r="E8" i="10"/>
  <c r="E7" i="10"/>
  <c r="G10" i="10"/>
  <c r="F10" i="10"/>
  <c r="E6" i="10"/>
  <c r="I5" i="10"/>
  <c r="F22" i="10" l="1"/>
  <c r="I16" i="10"/>
  <c r="I20" i="10"/>
  <c r="I7" i="10"/>
  <c r="E17" i="10"/>
  <c r="E21" i="10" s="1"/>
  <c r="I10" i="10"/>
  <c r="G22" i="10"/>
  <c r="D31" i="10" s="1"/>
  <c r="I18" i="10"/>
  <c r="H10" i="10"/>
  <c r="H22" i="10" s="1"/>
  <c r="I8" i="10"/>
  <c r="E10" i="10"/>
  <c r="I14" i="10"/>
  <c r="E39" i="10"/>
  <c r="F39" i="10" s="1"/>
  <c r="G39" i="10" s="1"/>
  <c r="H39" i="10" s="1"/>
  <c r="I39" i="10" s="1"/>
  <c r="J39" i="10" s="1"/>
  <c r="K39" i="10" s="1"/>
  <c r="L39" i="10" s="1"/>
  <c r="E16" i="10"/>
  <c r="I11" i="10"/>
  <c r="I17" i="10"/>
  <c r="I6" i="10"/>
  <c r="D16" i="10"/>
  <c r="E5" i="10"/>
  <c r="K9" i="8"/>
  <c r="I18" i="8"/>
  <c r="D17" i="20" s="1"/>
  <c r="J17" i="8"/>
  <c r="H16" i="20" s="1"/>
  <c r="I14" i="8"/>
  <c r="D13" i="20" s="1"/>
  <c r="J6" i="8"/>
  <c r="R31" i="8"/>
  <c r="R32" i="8"/>
  <c r="R30" i="8"/>
  <c r="O33" i="8"/>
  <c r="P33" i="8"/>
  <c r="Q33" i="8"/>
  <c r="J33" i="8"/>
  <c r="K33" i="8"/>
  <c r="L33" i="8"/>
  <c r="M33" i="8"/>
  <c r="N33" i="8"/>
  <c r="I33" i="8"/>
  <c r="J14" i="8"/>
  <c r="H13" i="20" s="1"/>
  <c r="I6" i="8"/>
  <c r="D5" i="20" s="1"/>
  <c r="K5" i="8"/>
  <c r="K6" i="8"/>
  <c r="K7" i="8"/>
  <c r="K8" i="8"/>
  <c r="K11" i="8"/>
  <c r="K12" i="8"/>
  <c r="K13" i="8"/>
  <c r="K15" i="8"/>
  <c r="K17" i="8"/>
  <c r="K19" i="8"/>
  <c r="K20" i="8"/>
  <c r="J5" i="8"/>
  <c r="H4" i="20" s="1"/>
  <c r="J18" i="8"/>
  <c r="K58" i="9"/>
  <c r="J58" i="9"/>
  <c r="I58" i="9"/>
  <c r="H58" i="9"/>
  <c r="G58" i="9"/>
  <c r="F58" i="9"/>
  <c r="E58" i="9"/>
  <c r="D58" i="9"/>
  <c r="J20" i="8"/>
  <c r="H19" i="20" s="1"/>
  <c r="J19" i="8"/>
  <c r="H18" i="20" s="1"/>
  <c r="J15" i="8"/>
  <c r="J13" i="8"/>
  <c r="H12" i="20" s="1"/>
  <c r="J12" i="8"/>
  <c r="H11" i="20" s="1"/>
  <c r="J11" i="8"/>
  <c r="H10" i="20" s="1"/>
  <c r="J9" i="8"/>
  <c r="H8" i="20" s="1"/>
  <c r="J8" i="8"/>
  <c r="H7" i="20" s="1"/>
  <c r="J7" i="8"/>
  <c r="H6" i="20" s="1"/>
  <c r="I20" i="8"/>
  <c r="D19" i="20" s="1"/>
  <c r="I19" i="8"/>
  <c r="D18" i="20" s="1"/>
  <c r="I13" i="8"/>
  <c r="D12" i="20" s="1"/>
  <c r="I12" i="8"/>
  <c r="D11" i="20" s="1"/>
  <c r="I11" i="8"/>
  <c r="D10" i="20" s="1"/>
  <c r="I9" i="8"/>
  <c r="D8" i="20" s="1"/>
  <c r="I8" i="8"/>
  <c r="D7" i="20" s="1"/>
  <c r="I7" i="8"/>
  <c r="D6" i="20" s="1"/>
  <c r="I5" i="8"/>
  <c r="D4" i="20" s="1"/>
  <c r="D20" i="8"/>
  <c r="E20" i="8" s="1"/>
  <c r="D19" i="8"/>
  <c r="D15" i="8"/>
  <c r="E15" i="8" s="1"/>
  <c r="D14" i="8"/>
  <c r="E14" i="8" s="1"/>
  <c r="D13" i="8"/>
  <c r="E13" i="8" s="1"/>
  <c r="D12" i="8"/>
  <c r="E12" i="8" s="1"/>
  <c r="D11" i="8"/>
  <c r="E11" i="8" s="1"/>
  <c r="D9" i="8"/>
  <c r="E9" i="8" s="1"/>
  <c r="D8" i="8"/>
  <c r="E8" i="8" s="1"/>
  <c r="D7" i="8"/>
  <c r="E7" i="8" s="1"/>
  <c r="E6" i="8"/>
  <c r="D17" i="8"/>
  <c r="E17" i="8" s="1"/>
  <c r="E18" i="8"/>
  <c r="L18" i="8" l="1"/>
  <c r="L17" i="20" s="1"/>
  <c r="H17" i="20"/>
  <c r="L17" i="8"/>
  <c r="L16" i="20" s="1"/>
  <c r="L7" i="8"/>
  <c r="L6" i="20" s="1"/>
  <c r="H5" i="20"/>
  <c r="L6" i="8"/>
  <c r="L5" i="20" s="1"/>
  <c r="L15" i="8"/>
  <c r="L14" i="20" s="1"/>
  <c r="H14" i="20"/>
  <c r="D22" i="10"/>
  <c r="L25" i="10" s="1"/>
  <c r="L26" i="10" s="1"/>
  <c r="I21" i="10"/>
  <c r="E22" i="10"/>
  <c r="I22" i="10"/>
  <c r="L11" i="8"/>
  <c r="L10" i="20" s="1"/>
  <c r="L5" i="8"/>
  <c r="L4" i="20" s="1"/>
  <c r="L19" i="8"/>
  <c r="L18" i="20" s="1"/>
  <c r="L14" i="8"/>
  <c r="L13" i="20" s="1"/>
  <c r="D21" i="8"/>
  <c r="L12" i="8"/>
  <c r="L11" i="20" s="1"/>
  <c r="L13" i="8"/>
  <c r="L12" i="20" s="1"/>
  <c r="E5" i="8"/>
  <c r="L8" i="8"/>
  <c r="L7" i="20" s="1"/>
  <c r="L20" i="8"/>
  <c r="L19" i="20" s="1"/>
  <c r="L9" i="8"/>
  <c r="L8" i="20" s="1"/>
  <c r="J34" i="8"/>
  <c r="K34" i="8" s="1"/>
  <c r="L34" i="8" s="1"/>
  <c r="I21" i="8"/>
  <c r="D20" i="20" s="1"/>
  <c r="K16" i="8"/>
  <c r="K21" i="8"/>
  <c r="K10" i="8"/>
  <c r="I16" i="8"/>
  <c r="D15" i="20" s="1"/>
  <c r="J16" i="8"/>
  <c r="H15" i="20" s="1"/>
  <c r="J10" i="8"/>
  <c r="H9" i="20" s="1"/>
  <c r="J21" i="8"/>
  <c r="I10" i="8"/>
  <c r="D9" i="20" s="1"/>
  <c r="E10" i="8"/>
  <c r="E19" i="8"/>
  <c r="E21" i="8" s="1"/>
  <c r="D10" i="8"/>
  <c r="D16" i="8"/>
  <c r="E16" i="8"/>
  <c r="F22" i="8"/>
  <c r="G22" i="8"/>
  <c r="H22" i="8"/>
  <c r="H20" i="20" l="1"/>
  <c r="H21" i="20" s="1"/>
  <c r="J22" i="8"/>
  <c r="J26" i="8" s="1"/>
  <c r="D21" i="20"/>
  <c r="D32" i="10"/>
  <c r="D41" i="10" s="1"/>
  <c r="L21" i="8"/>
  <c r="L20" i="20" s="1"/>
  <c r="L10" i="8"/>
  <c r="L9" i="20" s="1"/>
  <c r="L16" i="8"/>
  <c r="L15" i="20" s="1"/>
  <c r="D22" i="8"/>
  <c r="M34" i="8"/>
  <c r="K22" i="8"/>
  <c r="I22" i="8"/>
  <c r="L25" i="8"/>
  <c r="E22" i="8"/>
  <c r="L21" i="20" l="1"/>
  <c r="L41" i="10"/>
  <c r="K41" i="10"/>
  <c r="J41" i="10"/>
  <c r="I41" i="10"/>
  <c r="H41" i="10"/>
  <c r="G41" i="10"/>
  <c r="F41" i="10"/>
  <c r="E41" i="10"/>
  <c r="N34" i="8"/>
  <c r="L22" i="8"/>
  <c r="J27" i="8" l="1"/>
  <c r="N36" i="8" s="1"/>
  <c r="O34" i="8"/>
  <c r="I51" i="6"/>
  <c r="L51" i="6" s="1"/>
  <c r="I36" i="8" l="1"/>
  <c r="J36" i="8"/>
  <c r="K36" i="8"/>
  <c r="L36" i="8"/>
  <c r="M36" i="8"/>
  <c r="P34" i="8"/>
  <c r="O36" i="8"/>
  <c r="E43" i="6"/>
  <c r="D43" i="6"/>
  <c r="E54" i="6"/>
  <c r="D54" i="6"/>
  <c r="E49" i="6"/>
  <c r="D49" i="6"/>
  <c r="E55" i="6" l="1"/>
  <c r="D55" i="6"/>
  <c r="E27" i="8"/>
  <c r="Q34" i="8"/>
  <c r="Q36" i="8" s="1"/>
  <c r="P36" i="8"/>
  <c r="K36" i="6"/>
  <c r="K51" i="6"/>
  <c r="F30" i="6"/>
  <c r="I48" i="6"/>
  <c r="K48" i="6" s="1"/>
  <c r="I46" i="6"/>
  <c r="L46" i="6" s="1"/>
  <c r="I42" i="6"/>
  <c r="K42" i="6" s="1"/>
  <c r="I41" i="6"/>
  <c r="K41" i="6" s="1"/>
  <c r="I53" i="6"/>
  <c r="L53" i="6" s="1"/>
  <c r="I52" i="6"/>
  <c r="L52" i="6" s="1"/>
  <c r="I50" i="6"/>
  <c r="I44" i="6"/>
  <c r="L44" i="6" s="1"/>
  <c r="I45" i="6"/>
  <c r="K45" i="6" s="1"/>
  <c r="I47" i="6"/>
  <c r="K47" i="6" s="1"/>
  <c r="I38" i="6"/>
  <c r="L38" i="6" s="1"/>
  <c r="F17" i="6"/>
  <c r="H17" i="6"/>
  <c r="J17" i="6"/>
  <c r="L17" i="6"/>
  <c r="G43" i="6"/>
  <c r="H43" i="6"/>
  <c r="G49" i="6"/>
  <c r="H49" i="6"/>
  <c r="G54" i="6"/>
  <c r="H54" i="6"/>
  <c r="F54" i="6"/>
  <c r="F49" i="6"/>
  <c r="F43" i="6"/>
  <c r="K52" i="6" l="1"/>
  <c r="L48" i="6"/>
  <c r="G55" i="6"/>
  <c r="I54" i="6"/>
  <c r="L54" i="6" s="1"/>
  <c r="K46" i="6"/>
  <c r="L47" i="6"/>
  <c r="L41" i="6"/>
  <c r="L50" i="6"/>
  <c r="L42" i="6"/>
  <c r="K38" i="6"/>
  <c r="K53" i="6"/>
  <c r="L45" i="6"/>
  <c r="J49" i="6"/>
  <c r="J54" i="6"/>
  <c r="K50" i="6"/>
  <c r="J43" i="6"/>
  <c r="K44" i="6"/>
  <c r="H55" i="6"/>
  <c r="I49" i="6"/>
  <c r="L49" i="6" s="1"/>
  <c r="F55" i="6"/>
  <c r="J55" i="6" l="1"/>
  <c r="K54" i="6"/>
  <c r="K49" i="6"/>
  <c r="I39" i="6"/>
  <c r="I40" i="6"/>
  <c r="I37" i="6"/>
  <c r="L18" i="6"/>
  <c r="L19" i="6" s="1"/>
  <c r="L20" i="6" s="1"/>
  <c r="L21" i="6" s="1"/>
  <c r="L22" i="6" s="1"/>
  <c r="L23" i="6" s="1"/>
  <c r="L24" i="6" s="1"/>
  <c r="L25" i="6" s="1"/>
  <c r="J18" i="6"/>
  <c r="J19" i="6" s="1"/>
  <c r="J20" i="6" s="1"/>
  <c r="J21" i="6" s="1"/>
  <c r="J22" i="6" s="1"/>
  <c r="J23" i="6" s="1"/>
  <c r="J24" i="6" s="1"/>
  <c r="J25" i="6" s="1"/>
  <c r="J26" i="6" s="1"/>
  <c r="J27" i="6" s="1"/>
  <c r="J28" i="6" s="1"/>
  <c r="J29" i="6" s="1"/>
  <c r="H18" i="6"/>
  <c r="H19" i="6" s="1"/>
  <c r="H20" i="6" s="1"/>
  <c r="H21" i="6" s="1"/>
  <c r="H22" i="6" s="1"/>
  <c r="H23" i="6" s="1"/>
  <c r="H24" i="6" s="1"/>
  <c r="H25" i="6" s="1"/>
  <c r="F18" i="6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H14" i="6"/>
  <c r="H13" i="6"/>
  <c r="H12" i="6"/>
  <c r="H11" i="6"/>
  <c r="H10" i="6"/>
  <c r="O4" i="6"/>
  <c r="H3" i="6"/>
  <c r="H4" i="6" s="1"/>
  <c r="H5" i="6" s="1"/>
  <c r="H6" i="6" s="1"/>
  <c r="H7" i="6" s="1"/>
  <c r="H8" i="6" s="1"/>
  <c r="H9" i="6" s="1"/>
  <c r="O10" i="6" s="1"/>
  <c r="F3" i="6"/>
  <c r="F4" i="6" s="1"/>
  <c r="F5" i="6" s="1"/>
  <c r="F6" i="6" s="1"/>
  <c r="F7" i="6" s="1"/>
  <c r="F8" i="6" s="1"/>
  <c r="F9" i="6" s="1"/>
  <c r="F10" i="6" s="1"/>
  <c r="F11" i="6" s="1"/>
  <c r="F12" i="6" s="1"/>
  <c r="F13" i="6" s="1"/>
  <c r="F14" i="6" s="1"/>
  <c r="L40" i="6" l="1"/>
  <c r="K40" i="6"/>
  <c r="K39" i="6"/>
  <c r="L39" i="6"/>
  <c r="L37" i="6"/>
  <c r="K37" i="6"/>
  <c r="I43" i="6"/>
  <c r="H26" i="6"/>
  <c r="H27" i="6" s="1"/>
  <c r="H28" i="6" s="1"/>
  <c r="H29" i="6" s="1"/>
  <c r="N18" i="6"/>
  <c r="N19" i="6" s="1"/>
  <c r="L26" i="6"/>
  <c r="L27" i="6" s="1"/>
  <c r="L28" i="6" s="1"/>
  <c r="N26" i="6" s="1"/>
  <c r="N25" i="6"/>
  <c r="I55" i="6" l="1"/>
  <c r="L43" i="6"/>
  <c r="K43" i="6"/>
  <c r="K55" i="6"/>
  <c r="G11" i="5"/>
  <c r="G12" i="5"/>
  <c r="G13" i="5"/>
  <c r="G14" i="5"/>
  <c r="G10" i="5"/>
  <c r="E11" i="5"/>
  <c r="E12" i="5"/>
  <c r="E13" i="5"/>
  <c r="E14" i="5"/>
  <c r="E10" i="5"/>
  <c r="K17" i="5"/>
  <c r="K18" i="5" s="1"/>
  <c r="K19" i="5" s="1"/>
  <c r="K20" i="5" s="1"/>
  <c r="K21" i="5" s="1"/>
  <c r="K22" i="5" s="1"/>
  <c r="K23" i="5" s="1"/>
  <c r="K24" i="5" s="1"/>
  <c r="K25" i="5" s="1"/>
  <c r="K26" i="5" s="1"/>
  <c r="K27" i="5" s="1"/>
  <c r="K28" i="5" s="1"/>
  <c r="I17" i="5"/>
  <c r="I18" i="5" s="1"/>
  <c r="I19" i="5" s="1"/>
  <c r="I20" i="5" s="1"/>
  <c r="I21" i="5" s="1"/>
  <c r="I22" i="5" s="1"/>
  <c r="I23" i="5" s="1"/>
  <c r="I24" i="5" s="1"/>
  <c r="I25" i="5" s="1"/>
  <c r="I26" i="5" s="1"/>
  <c r="I27" i="5" s="1"/>
  <c r="I28" i="5" s="1"/>
  <c r="G17" i="5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E17" i="5"/>
  <c r="E18" i="5" s="1"/>
  <c r="E19" i="5" s="1"/>
  <c r="E20" i="5" s="1"/>
  <c r="E21" i="5" s="1"/>
  <c r="E22" i="5" s="1"/>
  <c r="E23" i="5" s="1"/>
  <c r="E24" i="5" s="1"/>
  <c r="E25" i="5" s="1"/>
  <c r="P4" i="5"/>
  <c r="M18" i="5" l="1"/>
  <c r="L55" i="6"/>
  <c r="J56" i="6"/>
  <c r="M25" i="5"/>
  <c r="M26" i="5"/>
  <c r="M19" i="5"/>
  <c r="E26" i="5"/>
  <c r="E27" i="5" s="1"/>
  <c r="E28" i="5" s="1"/>
  <c r="G3" i="5" l="1"/>
  <c r="G4" i="5" s="1"/>
  <c r="G5" i="5" s="1"/>
  <c r="G6" i="5" s="1"/>
  <c r="G7" i="5" s="1"/>
  <c r="G8" i="5" s="1"/>
  <c r="G9" i="5" s="1"/>
  <c r="E3" i="5"/>
  <c r="E4" i="5" s="1"/>
  <c r="E5" i="5" s="1"/>
  <c r="E6" i="5" s="1"/>
  <c r="E7" i="5" s="1"/>
  <c r="E8" i="5" s="1"/>
  <c r="E9" i="5" s="1"/>
  <c r="P10" i="5" l="1"/>
  <c r="J39" i="127"/>
  <c r="K39" i="127"/>
  <c r="J90" i="127" l="1"/>
  <c r="J91" i="127"/>
  <c r="D29" i="130"/>
  <c r="D23" i="130" s="1"/>
  <c r="K90" i="127"/>
  <c r="K91" i="127"/>
  <c r="J92" i="127" l="1"/>
  <c r="K92" i="127"/>
  <c r="J29" i="130"/>
  <c r="D22" i="130" l="1"/>
  <c r="J23" i="130"/>
  <c r="E22" i="130" l="1"/>
  <c r="F22" i="130" s="1"/>
  <c r="G22" i="130" s="1"/>
  <c r="H22" i="130" l="1"/>
  <c r="I22" i="130" s="1"/>
  <c r="J22" i="130" l="1"/>
  <c r="K38" i="144"/>
  <c r="K111" i="144" s="1"/>
  <c r="L38" i="144"/>
  <c r="D32" i="138" l="1"/>
  <c r="L110" i="144"/>
  <c r="L111" i="144"/>
  <c r="K110" i="144"/>
  <c r="L112" i="144" l="1"/>
  <c r="I32" i="138"/>
  <c r="D23" i="138"/>
  <c r="K150" i="144"/>
  <c r="K112" i="144"/>
  <c r="I23" i="138" l="1"/>
  <c r="D22" i="138"/>
  <c r="E22" i="138" s="1"/>
  <c r="F22" i="138" s="1"/>
  <c r="G22" i="138" l="1"/>
  <c r="H22" i="138" s="1"/>
  <c r="I22" i="138" s="1"/>
  <c r="F85" i="182"/>
  <c r="F91" i="182" s="1"/>
  <c r="E111" i="220"/>
  <c r="E113" i="220" s="1"/>
  <c r="E115" i="220" s="1"/>
  <c r="G113" i="220"/>
  <c r="E34" i="227" s="1"/>
  <c r="I34" i="227" s="1"/>
  <c r="G115" i="220" l="1"/>
  <c r="E28" i="227"/>
  <c r="I28" i="227" l="1"/>
  <c r="E27" i="227"/>
  <c r="F27" i="227" l="1"/>
  <c r="E19" i="227"/>
  <c r="F19" i="227" l="1"/>
  <c r="G27" i="227"/>
  <c r="G19" i="227" l="1"/>
  <c r="H27" i="227"/>
  <c r="H19" i="227" l="1"/>
  <c r="I27" i="227"/>
  <c r="U21" i="232"/>
  <c r="AB20" i="232"/>
  <c r="AB29" i="232" l="1"/>
  <c r="I45" i="244" l="1"/>
  <c r="E27" i="244"/>
  <c r="I27" i="244" s="1"/>
  <c r="E26" i="244" l="1"/>
  <c r="F26" i="244" s="1"/>
  <c r="E19" i="244" l="1"/>
  <c r="G26" i="244"/>
  <c r="F19" i="244"/>
  <c r="H26" i="244" l="1"/>
  <c r="G19" i="244"/>
  <c r="I26" i="244" l="1"/>
  <c r="H19" i="24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tc={1B2980B0-C736-45A8-B744-F89C69C864AF}</author>
    <author>tc={7EE505E1-A2EE-45C8-A632-C26A19899770}</author>
  </authors>
  <commentList>
    <comment ref="E8" authorId="0" shapeId="0" xr:uid="{1B2980B0-C736-45A8-B744-F89C69C864AF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10% del total
</t>
        </r>
      </text>
    </comment>
    <comment ref="E12" authorId="1" shapeId="0" xr:uid="{7EE505E1-A2EE-45C8-A632-C26A19899770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 el 1% de las ventas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tc={0204C27A-1205-43C3-929E-D9005E84159D}</author>
    <author>tc={CD4348D5-2310-4EB0-9849-C723DF817167}</author>
  </authors>
  <commentList>
    <comment ref="E8" authorId="0" shapeId="0" xr:uid="{0204C27A-1205-43C3-929E-D9005E84159D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10% del total
</t>
        </r>
      </text>
    </comment>
    <comment ref="E12" authorId="1" shapeId="0" xr:uid="{CD4348D5-2310-4EB0-9849-C723DF817167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 el 1% de las ventas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tc={345A0200-BC25-42F1-AD72-F23F02110DB7}</author>
    <author>tc={A858241B-8D21-490A-8897-9066884E171B}</author>
    <author>Antonely Villalona</author>
  </authors>
  <commentList>
    <comment ref="E8" authorId="0" shapeId="0" xr:uid="{345A0200-BC25-42F1-AD72-F23F02110DB7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10% del total
</t>
        </r>
      </text>
    </comment>
    <comment ref="E12" authorId="1" shapeId="0" xr:uid="{A858241B-8D21-490A-8897-9066884E171B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 el 1% de las ventas
</t>
        </r>
      </text>
    </comment>
    <comment ref="E17" authorId="2" shapeId="0" xr:uid="{120CB851-737A-4507-B83E-D1469CD8721C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En procore 12,132,268.5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tc={87982987-AA75-43A2-964D-DC607B4F827C}</author>
    <author>Antonely Villalona</author>
  </authors>
  <commentList>
    <comment ref="E8" authorId="0" shapeId="0" xr:uid="{87982987-AA75-43A2-964D-DC607B4F827C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10% del total
Respuesta:
    Deberíamos quitar el compromiso total de este monto del presupuesto. </t>
        </r>
      </text>
    </comment>
    <comment ref="E17" authorId="1" shapeId="0" xr:uid="{352B6F6A-EE28-4CAC-B59A-582C7FBB78DB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En procore 12,132,268.5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E4" authorId="0" shapeId="0" xr:uid="{73AE8806-0576-40BF-BA64-5D642694A70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Pendiente ajustar</t>
        </r>
      </text>
    </comment>
    <comment ref="E5" authorId="0" shapeId="0" xr:uid="{D282F220-585D-4DFD-924F-71C2957FA38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Pendiente ajustar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K15" authorId="0" shapeId="0" xr:uid="{7DB6A280-40CC-441F-8F1D-352B21804E32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LMCAD, 4S, EPUGRAF, WORDSIGN
</t>
        </r>
      </text>
    </comment>
    <comment ref="K18" authorId="0" shapeId="0" xr:uid="{8F69010D-64FB-4284-9B1E-80D1C9719BA7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TURISMO Y MIVHED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K15" authorId="0" shapeId="0" xr:uid="{E648DBDB-CC72-4679-8189-97CFA13B8024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LMCAD, 4S, EPUGRAF, WORDSIGN
</t>
        </r>
      </text>
    </comment>
    <comment ref="K18" authorId="0" shapeId="0" xr:uid="{EBE85A42-73FC-4E1B-B10F-2CBD1E639581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TURISMO Y MIVHED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K15" authorId="0" shapeId="0" xr:uid="{755CDF19-4C1C-48F1-A845-112C3A52F196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4S, EPUGRAF, WORDSIGN,MATASIETE
</t>
        </r>
      </text>
    </comment>
    <comment ref="K18" authorId="0" shapeId="0" xr:uid="{C4641D91-7EED-42AC-8EE2-CBE71D400BDF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TURISMO Y MIVHED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K15" authorId="0" shapeId="0" xr:uid="{E65EC5A5-F311-4FEC-A0A9-39C772EB46B6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4S, VALLAS
</t>
        </r>
      </text>
    </comment>
    <comment ref="K18" authorId="0" shapeId="0" xr:uid="{D1A5A197-E2BE-4655-82F3-59BD82FDD255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TURISMO Y MIVHED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K15" authorId="0" shapeId="0" xr:uid="{F2CE09D0-CB56-4D41-83C3-6418E0906CEB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4S, VALLAS
</t>
        </r>
      </text>
    </comment>
    <comment ref="K18" authorId="0" shapeId="0" xr:uid="{6F3C15F7-0413-4D53-A71E-215439DFC659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TURISMO Y MIVHED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H2" authorId="0" shapeId="0" xr:uid="{89CBB0A0-4D40-4037-B736-CC770B10ECAB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USD 2,162.50</t>
        </r>
      </text>
    </comment>
    <comment ref="D11" authorId="0" shapeId="0" xr:uid="{F4B9451B-30D9-444F-9B8A-F989F7465587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USD 4,307.00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E9" authorId="0" shapeId="0" xr:uid="{1DE76F49-4FD0-4F68-B61F-6783E98FF9C3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Colocado manualmente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F9" authorId="0" shapeId="0" xr:uid="{7076E14B-46E2-4216-9192-945C996C04B0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manualmente, pendiente revisar ITBIS</t>
        </r>
      </text>
    </comment>
    <comment ref="G13" authorId="0" shapeId="0" xr:uid="{3F011B5C-915F-461C-B8B5-2A396B40D8ED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2mm manual
</t>
        </r>
      </text>
    </comment>
    <comment ref="G15" authorId="0" shapeId="0" xr:uid="{1BF2E61A-1E12-450E-8F27-5FBE3604D8AC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2m manual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O60" authorId="0" shapeId="0" xr:uid="{B9E69CD3-6CA2-4B7C-80C0-D8A9998A7934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pago parcial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F72" authorId="0" shapeId="0" xr:uid="{FFF30D37-6149-493B-9FEC-1548A39750A2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Se abonó 400,000 en oct, lo demás para nov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H35" authorId="0" shapeId="0" xr:uid="{0210AE1C-DA0D-4833-8BBF-C731FCECF43B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Overpayment LMCAD</t>
        </r>
      </text>
    </comment>
    <comment ref="I35" authorId="0" shapeId="0" xr:uid="{B0A792F7-6F93-442A-A5D2-D9ADBD331EE7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Overpayment LMCAD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F36" authorId="0" shapeId="0" xr:uid="{423584E5-705D-477B-8979-9A7B8074DD15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Le rebajamos 250mil para compensar lo que hemos cobrado de DT.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H35" authorId="0" shapeId="0" xr:uid="{E685D8EB-A326-4C92-A44C-2F0E9E671489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Overpayment LMCAD</t>
        </r>
      </text>
    </comment>
    <comment ref="I35" authorId="0" shapeId="0" xr:uid="{9F37CF80-E910-4F44-A461-6D39B5F2A7CF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Overpayment LMCAD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V25" authorId="0" shapeId="0" xr:uid="{046E937C-5BB8-44F9-9E9A-8E07331F2493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mas Dif cambiario Nov-25</t>
        </r>
      </text>
    </comment>
    <comment ref="V29" authorId="0" shapeId="0" xr:uid="{B9A62E96-5400-4B90-8523-72440E32710F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Dif cambiario Oct-25
</t>
        </r>
      </text>
    </comment>
    <comment ref="H35" authorId="0" shapeId="0" xr:uid="{079FB194-D237-46B6-8F9D-5C9F4B8DD5DC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Overpayment LMCAD</t>
        </r>
      </text>
    </comment>
    <comment ref="I35" authorId="0" shapeId="0" xr:uid="{1BEE06F6-84FE-4AD8-907E-680E3FDA3183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Overpayment LMCAD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O27" authorId="0" shapeId="0" xr:uid="{D4E6E75E-9D54-493D-994D-91BD51BBEBF2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Diferencial cambiario pagos de Dic-25</t>
        </r>
      </text>
    </comment>
    <comment ref="O38" authorId="0" shapeId="0" xr:uid="{D3CFEFF8-F284-4A8D-85DA-5E2DEC1C5CF9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Diferencial cambiario pagos de Dic-25</t>
        </r>
      </text>
    </comment>
    <comment ref="O41" authorId="0" shapeId="0" xr:uid="{98E24674-4E67-4759-A5E4-13EE2DE4DB78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Diferencial cambiario pagos de Dic-25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H15" authorId="0" shapeId="0" xr:uid="{197D0D40-8FED-4A2C-94E9-5BC3427B4693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Hidropozos</t>
        </r>
      </text>
    </comment>
    <comment ref="W25" authorId="0" shapeId="0" xr:uid="{DE3EC08F-0FEF-4933-9C28-65A34BADC513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mas Dif cambiario Nov-25</t>
        </r>
      </text>
    </comment>
    <comment ref="W29" authorId="0" shapeId="0" xr:uid="{8801398B-2652-438F-A291-977DC8671073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Dif cambiario Oct-25
</t>
        </r>
      </text>
    </comment>
    <comment ref="I35" authorId="0" shapeId="0" xr:uid="{37436108-5F27-42EA-BBD1-4CD4CADBD8CA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Overpayment LMCAD</t>
        </r>
      </text>
    </comment>
    <comment ref="J35" authorId="0" shapeId="0" xr:uid="{7143BC83-3D88-4DBE-805D-B0A57F420DE3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Overpayment LMCAD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G18" authorId="0" shapeId="0" xr:uid="{84E4DDBD-462E-4477-ADB6-8BED66F5D201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Corroborar monto: Se considera un aumento en la nomina por el personal residente proximo a ingresar</t>
        </r>
      </text>
    </comment>
    <comment ref="G43" authorId="0" shapeId="0" xr:uid="{6833F9E8-5BAF-42CD-96D3-179E7020ADC6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Corroborar monto: Se considera un aumento en la nomina por el personal residente proximo a ingresar</t>
        </r>
      </text>
    </comment>
    <comment ref="F128" authorId="0" shapeId="0" xr:uid="{1057D92B-2A62-4932-9BD7-67F17D6CE848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4 Referimientos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R6" authorId="0" shapeId="0" xr:uid="{EB9CFC73-DE04-4976-8AEF-B5A0497A6B9C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Menos factura gondar mov. Tierra.</t>
        </r>
      </text>
    </comment>
    <comment ref="O27" authorId="0" shapeId="0" xr:uid="{1998104B-448F-4684-B67A-28EAC000E765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Diferencial cambiario pagos de Dic-25</t>
        </r>
      </text>
    </comment>
    <comment ref="O38" authorId="0" shapeId="0" xr:uid="{099EDC1E-7854-456F-88AF-5AD7D458B196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Diferencial cambiario pagos de Dic-25</t>
        </r>
      </text>
    </comment>
    <comment ref="O41" authorId="0" shapeId="0" xr:uid="{5ACBA24D-339B-4E04-B4BA-F43309086934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Diferencial cambiario pagos de Dic-25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F2" authorId="0" shapeId="0" xr:uid="{6AFE0A66-213C-434A-BE3E-F542810CF1D3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5 desde enero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G30" authorId="0" shapeId="0" xr:uid="{5B2C15F7-8387-48A2-B0EC-1A532EFFB74F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Corroborar monto: Se considera un aumento en la nomina por el personal residente proximo a ingresar</t>
        </r>
      </text>
    </comment>
    <comment ref="G87" authorId="0" shapeId="0" xr:uid="{BBC27D45-E85B-406A-BC70-BAC744A1A44C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Corroborar monto: Se considera un aumento en la nomina por el personal residente proximo a ingresar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B51" authorId="0" shapeId="0" xr:uid="{7BBB503B-8F69-49F1-B835-7105A1161637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Incluye ITBIS</t>
        </r>
      </text>
    </comment>
    <comment ref="B58" authorId="0" shapeId="0" xr:uid="{91D6E409-603D-494A-88FE-E0997247B7E2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Incluye ITBIS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Q5" authorId="0" shapeId="0" xr:uid="{BB6D384F-9E02-4534-A751-1BC940735FAC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Corrección dif cambiaria conconcretos</t>
        </r>
      </text>
    </comment>
    <comment ref="S6" authorId="0" shapeId="0" xr:uid="{88B97CE4-6701-4A61-8500-BF97AFBD7DF4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Menos factura gondar mov. Tierra.</t>
        </r>
      </text>
    </comment>
    <comment ref="O27" authorId="0" shapeId="0" xr:uid="{93EE20C2-AF6B-4CDB-9F34-2916B6F0D3F4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Diferencial cambiario pagos de Dic-25</t>
        </r>
      </text>
    </comment>
    <comment ref="O38" authorId="0" shapeId="0" xr:uid="{AAA2CF52-B63F-495E-BC52-A8B16B4E4D20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Diferencial cambiario pagos de Dic-25</t>
        </r>
      </text>
    </comment>
    <comment ref="O41" authorId="0" shapeId="0" xr:uid="{3095DF3B-C6F0-4EB8-A68A-CEAE8C455E6C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Diferencial cambiario pagos de Dic-25</t>
        </r>
      </text>
    </comment>
    <comment ref="Q42" authorId="0" shapeId="0" xr:uid="{BE5F2237-57DE-40A6-8C54-1470E1878CEE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Diferencia corrección calculos de Referidos feb-26</t>
        </r>
      </text>
    </comment>
    <comment ref="Q47" authorId="0" shapeId="0" xr:uid="{2824F83E-C03F-4A84-ADDC-4C31E29FC684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Inclusión de factura Jawe Auditores feb-26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G20" authorId="0" shapeId="0" xr:uid="{A9FAB2FF-B71B-4F22-A271-B8C9A4DA8802}">
      <text>
        <r>
          <rPr>
            <b/>
            <sz val="9"/>
            <color indexed="81"/>
            <rFont val="Tahoma"/>
            <charset val="1"/>
          </rPr>
          <t>Antonely Villalona:</t>
        </r>
        <r>
          <rPr>
            <sz val="9"/>
            <color indexed="81"/>
            <rFont val="Tahoma"/>
            <charset val="1"/>
          </rPr>
          <t xml:space="preserve">
Por activar mas ventas de febrero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G21" authorId="0" shapeId="0" xr:uid="{8960826E-2A89-4FC7-B206-1091A12C8F0E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Corroborar monto: Se considera un aumento en la nomina por el personal residente proximo a ingresar</t>
        </r>
      </text>
    </comment>
    <comment ref="F191" authorId="0" shapeId="0" xr:uid="{A8852960-388E-4866-86DF-38D3EAFCE7A6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300mil de otras tasas pendientes de calcular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B52" authorId="0" shapeId="0" xr:uid="{4A62349B-E955-486F-AE81-5B9133387B2F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Incluye ITBIS</t>
        </r>
      </text>
    </comment>
    <comment ref="B59" authorId="0" shapeId="0" xr:uid="{94BBE5D0-78BC-490D-96F1-4D45CE66A07A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Incluye ITBIS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G20" authorId="0" shapeId="0" xr:uid="{3BF28DE8-48BF-4204-B062-DCAEA9C921C9}">
      <text>
        <r>
          <rPr>
            <b/>
            <sz val="9"/>
            <color indexed="81"/>
            <rFont val="Tahoma"/>
            <charset val="1"/>
          </rPr>
          <t>Antonely Villalona:</t>
        </r>
        <r>
          <rPr>
            <sz val="9"/>
            <color indexed="81"/>
            <rFont val="Tahoma"/>
            <charset val="1"/>
          </rPr>
          <t xml:space="preserve">
Por activar mas ventas de febrero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Q5" authorId="0" shapeId="0" xr:uid="{F1EBF72F-6F51-4B37-AE68-0B28200A3E9B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Corrección dif cambiaria conconcretos</t>
        </r>
      </text>
    </comment>
    <comment ref="O27" authorId="0" shapeId="0" xr:uid="{130BDDBC-8FB1-4481-9A3A-1E76E00D0C0E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Diferencial cambiario pagos de Dic-25</t>
        </r>
      </text>
    </comment>
    <comment ref="O38" authorId="0" shapeId="0" xr:uid="{71A2494B-9381-4668-8654-5D38588473F3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Diferencial cambiario pagos de Dic-25</t>
        </r>
      </text>
    </comment>
    <comment ref="O41" authorId="0" shapeId="0" xr:uid="{052928E1-1416-41BD-BAD5-FBE0B6F6E897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Diferencial cambiario pagos de Dic-25</t>
        </r>
      </text>
    </comment>
    <comment ref="Q42" authorId="0" shapeId="0" xr:uid="{FB6C38FA-E43C-43FE-BC0E-9DB2AB10AE0B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Diferencia corrección calculos de Referidos feb-26</t>
        </r>
      </text>
    </comment>
    <comment ref="Q47" authorId="0" shapeId="0" xr:uid="{5CE6211A-7008-4EA1-8F7B-23828E7C0E90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Inclusión de factura Jawe Auditores feb-26</t>
        </r>
      </text>
    </comment>
    <comment ref="R51" authorId="0" shapeId="0" xr:uid="{38981047-BEFD-4270-8481-DA2AD463782A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Corrección de 25,000 de cargos legales por prestamo ALAVER, llevado a preliminares con factura a nombre de Ricardo 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E32" authorId="0" shapeId="0" xr:uid="{E3B32E0F-5A90-4719-9429-8046962AED13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Impuestos</t>
        </r>
      </text>
    </comment>
    <comment ref="B52" authorId="0" shapeId="0" xr:uid="{2B3DB2FB-2792-4672-BAE4-D2CF5E6EAC6B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Incluye ITBIS</t>
        </r>
      </text>
    </comment>
    <comment ref="B59" authorId="0" shapeId="0" xr:uid="{77F85433-14F7-456E-813C-C3587ED8E3F1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Incluye ITBIS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<sst xmlns="http://schemas.openxmlformats.org/spreadsheetml/2006/main" count="15451" uniqueCount="2760">
  <si>
    <t>VENTAS ESPERADAS</t>
  </si>
  <si>
    <t>V. ACUMULADAS</t>
  </si>
  <si>
    <t>VENTAS REALES</t>
  </si>
  <si>
    <t>VENTAS ACUMULADAS</t>
  </si>
  <si>
    <t>VENTAS</t>
  </si>
  <si>
    <t>VENTAS DEL PERIODO</t>
  </si>
  <si>
    <t>% PRESUPUESTO</t>
  </si>
  <si>
    <t>% PRESUPUESTO ACUMULADO</t>
  </si>
  <si>
    <t>AVANCE REAL %</t>
  </si>
  <si>
    <t>AVANCE REAL % ACUMULADO</t>
  </si>
  <si>
    <t>MONTO PRESUPUESTADO mensual</t>
  </si>
  <si>
    <t>MONTO PRESUPUESTADO ACUMULADO</t>
  </si>
  <si>
    <t>MONTO REAL EJECUTADO</t>
  </si>
  <si>
    <t>MONTO REAL EJECUTADO ACUMULADO</t>
  </si>
  <si>
    <t>AVANCE  DE OBRA</t>
  </si>
  <si>
    <t>Ejecutado</t>
  </si>
  <si>
    <t>Por ejecutar</t>
  </si>
  <si>
    <t>por ejecutar</t>
  </si>
  <si>
    <t xml:space="preserve"> </t>
  </si>
  <si>
    <t>% avance</t>
  </si>
  <si>
    <t>% AVANCE ACUMULADO</t>
  </si>
  <si>
    <t>ADI</t>
  </si>
  <si>
    <t>B.- COSTOS DEL PROYECTO</t>
  </si>
  <si>
    <t>AVANCE EN DOP</t>
  </si>
  <si>
    <t>ACUMULADO</t>
  </si>
  <si>
    <t>PRESUPUESTO A LA FECHA</t>
  </si>
  <si>
    <t xml:space="preserve">% CUMPLIMIENTO </t>
  </si>
  <si>
    <t>% AVANCE EN DOP DEL TOTAL</t>
  </si>
  <si>
    <t>TENDENCIA</t>
  </si>
  <si>
    <t>PARTIDA</t>
  </si>
  <si>
    <t>DOP</t>
  </si>
  <si>
    <t>US $</t>
  </si>
  <si>
    <t>Mes Actual</t>
  </si>
  <si>
    <t>Terreno</t>
  </si>
  <si>
    <t>Etapa 1 462</t>
  </si>
  <si>
    <t>Costo Urbanismo</t>
  </si>
  <si>
    <t>Micro Urbanismo</t>
  </si>
  <si>
    <t>Macro Urbanismo</t>
  </si>
  <si>
    <t>Costo Vivienda</t>
  </si>
  <si>
    <t>Gerencia Contrucción:</t>
  </si>
  <si>
    <t>Indirectos de Obra</t>
  </si>
  <si>
    <t>Total Costos Construcción</t>
  </si>
  <si>
    <t>Gerencia de la Promotora</t>
  </si>
  <si>
    <t>Gerencia de Ventas</t>
  </si>
  <si>
    <t>Administración Fiducia</t>
  </si>
  <si>
    <t>Publicidad</t>
  </si>
  <si>
    <t>Post Ventas</t>
  </si>
  <si>
    <t>Total Gastos Operativos</t>
  </si>
  <si>
    <t>Permisos legales y Preliminares</t>
  </si>
  <si>
    <t>Diseño y Proyecto</t>
  </si>
  <si>
    <t>Gastos Financieros</t>
  </si>
  <si>
    <t>Imprevistos</t>
  </si>
  <si>
    <t>Total Otros Gastos</t>
  </si>
  <si>
    <t>Costos Totales de Proyecto</t>
  </si>
  <si>
    <t>D1</t>
  </si>
  <si>
    <t>D2</t>
  </si>
  <si>
    <t>PRESUPUESTO ORIGINAL</t>
  </si>
  <si>
    <t>COMPROMETIDOS</t>
  </si>
  <si>
    <t>COSTO DE TRABAJO A LA FECHA</t>
  </si>
  <si>
    <t>COSTO PROYECTADO A LA FECHA</t>
  </si>
  <si>
    <t>PRECIO UNITARIO DEL PRESUPUESTO</t>
  </si>
  <si>
    <t>PROYECCIÓN PARA TERMINAR</t>
  </si>
  <si>
    <t>COSTO TERMINADO AL TERMINAR</t>
  </si>
  <si>
    <t>PROYECTADO ARRIBA ABAJO DEL PRESUPUESTO</t>
  </si>
  <si>
    <t>1 - CONSTRUCCION</t>
  </si>
  <si>
    <t>1-1 - TERRENO</t>
  </si>
  <si>
    <t>1-1-1 - TERRENO ADI</t>
  </si>
  <si>
    <t>1-1-2 - COSTO ASOCIADO TERRENO</t>
  </si>
  <si>
    <t>1-2 - DISEÑO Y PROYECTO</t>
  </si>
  <si>
    <t>1-2-1 - DISEÑO Y PROYECTO ADI</t>
  </si>
  <si>
    <t>1-2-2 - ESTUDIOS</t>
  </si>
  <si>
    <t>1-2-3 - DISEÑO Y ARQUITECTURA</t>
  </si>
  <si>
    <t>1-2-4 - INGENIERIAS</t>
  </si>
  <si>
    <t>1-2-5 - COMPUTOS</t>
  </si>
  <si>
    <t>1-3 - PRELIMINARES DE OBRA</t>
  </si>
  <si>
    <t>1-3-1 - PRELIMINARES DE OBRA ADI</t>
  </si>
  <si>
    <t>1-3-2 - OBRAS PRELIMINARES AREA CAMPAMENTO</t>
  </si>
  <si>
    <t>1-3-3 - OBRAS PRELIMINARES AREA SHOWROOM</t>
  </si>
  <si>
    <t>1-4 - URBANISMO</t>
  </si>
  <si>
    <t>1-4-1 - URBANISMO ADI</t>
  </si>
  <si>
    <t>1-4-2 - MOVIMIENTO DE TIERRA</t>
  </si>
  <si>
    <t>1-4-3 - HIDROSANITARIAS</t>
  </si>
  <si>
    <t>1-4-4 - SISTEMAS DE AGUAS</t>
  </si>
  <si>
    <t>1-4-6 - INFRAESTRUCTURA ELECTRICA</t>
  </si>
  <si>
    <t>1-4-7 - INSTALACIONES DE GAS</t>
  </si>
  <si>
    <t>1-4-8 - INSTALACIONES TELECOMUNICACIONES</t>
  </si>
  <si>
    <t>1-4-9 - EQUIPAMIENTO URBANO</t>
  </si>
  <si>
    <t>1-4-10 - VIALIDAD</t>
  </si>
  <si>
    <t>1-4-11 - PAISAJISMO</t>
  </si>
  <si>
    <t>1-4-12 - OBRAS EXTERIORES</t>
  </si>
  <si>
    <t>1-5 - EDIFICACIONES</t>
  </si>
  <si>
    <t>1-5-1 - EDIFICACIONES ADI</t>
  </si>
  <si>
    <t>1-5-2 - INSFRAESTRUCTURA</t>
  </si>
  <si>
    <t>1-5-3 - SUPERESTRUCTURA</t>
  </si>
  <si>
    <t>1-5-4 - INSTALACIONES ELECTRICAS</t>
  </si>
  <si>
    <t>1-5-5 - TELECOMUNICACIONES</t>
  </si>
  <si>
    <t>1-5-6 - INSTALACIONES SANITARIAS</t>
  </si>
  <si>
    <t>1-5-7 - INSTALACIONES MECANICAS</t>
  </si>
  <si>
    <t>1-5-8 - ALBANILERIA</t>
  </si>
  <si>
    <t>1-5-9 - HERRERIA</t>
  </si>
  <si>
    <t>1-5-10 - REVESTIMIENTO</t>
  </si>
  <si>
    <t>1-5-11 - CARPINTERIA</t>
  </si>
  <si>
    <t>1-5-12 - VENTANERIA</t>
  </si>
  <si>
    <t>1-5-13 - PINTURA</t>
  </si>
  <si>
    <t>1-5-14 - MISCELANEOS</t>
  </si>
  <si>
    <t>1-6 - GERENCIA DE CONSTRUCCION</t>
  </si>
  <si>
    <t>1-6-1 - GERENCIA DE CONSTRUCCION ADI</t>
  </si>
  <si>
    <t>1-6-2 - COSTO GERENCIA DE CONSTRUCCION</t>
  </si>
  <si>
    <t>1-7 - INDIRECTOS DE OBRA</t>
  </si>
  <si>
    <t>1-7-1 - INDIRECTOS DE OBRA ADI</t>
  </si>
  <si>
    <t>1-7-2 - COSTOS INDIRECTOS DE OBRA</t>
  </si>
  <si>
    <t>2 - OPERATIVO</t>
  </si>
  <si>
    <t>2-1 - GERENCIA DE LA PROMOTORA</t>
  </si>
  <si>
    <t>2-1-1 - GERENCIA DE LA PROMOTORA ADI</t>
  </si>
  <si>
    <t>2-1-2 - COSTO GERENCIA DE LA PROMOTORA ADI</t>
  </si>
  <si>
    <t>2-2 - GERENCIA DE VENTAS</t>
  </si>
  <si>
    <t>2-2-1 - COSTO GERENCIA DE VENTAS</t>
  </si>
  <si>
    <t>2-2-2 - ADMINISTRACION DE VENTAS</t>
  </si>
  <si>
    <t>2-2-3 - COMISIONES</t>
  </si>
  <si>
    <t>2-3 - ADMINISTRACION DE FIDUCIARIA</t>
  </si>
  <si>
    <t>2-3-1 - ADMINISTRACION DE FIDUCIARIA ADI</t>
  </si>
  <si>
    <t>2-3-2 - COSTO ADMINISTRACION DE FIDUCIARIA</t>
  </si>
  <si>
    <t>2-4 - PUBLICIDAD Y PROMOCION</t>
  </si>
  <si>
    <t>2-4-1 - PUBLICIDAD Y PROMOCION ADI</t>
  </si>
  <si>
    <t xml:space="preserve">2-4-2 - PUBLICIDAD Y PROMOCION </t>
  </si>
  <si>
    <t>ESTA DUPLICADO</t>
  </si>
  <si>
    <t>2-5 - POST-VENTAS</t>
  </si>
  <si>
    <t>2-5-1 - POST-VENTAS ADI</t>
  </si>
  <si>
    <t>2-5-2 - POST-VENTAS</t>
  </si>
  <si>
    <t>3 - OTROS</t>
  </si>
  <si>
    <t>3-1 - PERMISOS, LEGALES Y PRELIMINARES</t>
  </si>
  <si>
    <t>3-1-1 - PERMISOS,LEGALES Y PRELIMINARES ADI</t>
  </si>
  <si>
    <t>3-1-2 - PERMISOS,LEGALES Y PRELIMINARES</t>
  </si>
  <si>
    <t>3-2 - IMPREVISTOS</t>
  </si>
  <si>
    <t>3-2-1 - IMPREVISTOS ADI</t>
  </si>
  <si>
    <t>3-2-2 - IMPREVISTOS</t>
  </si>
  <si>
    <t>3-3 - GASTOS FINANCIEROS</t>
  </si>
  <si>
    <t>3-3-1 - GASTOS FINANCIEROS ADI</t>
  </si>
  <si>
    <t>3-3-2 - GASTOS FINANCIEROS</t>
  </si>
  <si>
    <t>pagos</t>
  </si>
  <si>
    <t>contratos</t>
  </si>
  <si>
    <t>pendiente de pagar</t>
  </si>
  <si>
    <t>PRESUPUESTO A MARZO 2024</t>
  </si>
  <si>
    <t>COSTO A LA FECHA</t>
  </si>
  <si>
    <t>TOTAL A LA FECHA</t>
  </si>
  <si>
    <t xml:space="preserve">COMPROMETIDO </t>
  </si>
  <si>
    <t>PROYECTADO PARA TERMINAR</t>
  </si>
  <si>
    <t>POR EJECUTAR</t>
  </si>
  <si>
    <t>Gerencia Construcción:</t>
  </si>
  <si>
    <t>PERMISOS</t>
  </si>
  <si>
    <t>REE,BOLSO BAK</t>
  </si>
  <si>
    <t>MODIFICAR ADI 22,000,000</t>
  </si>
  <si>
    <t>ADELANTO AFI</t>
  </si>
  <si>
    <t>Gastado y comprometido</t>
  </si>
  <si>
    <t>Disponible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</si>
  <si>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</si>
  <si>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</si>
  <si>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</si>
  <si>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</si>
  <si>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</si>
  <si>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</si>
  <si>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</si>
  <si>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</si>
  <si>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</si>
  <si>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Total</t>
  </si>
  <si>
    <t>gerencias</t>
  </si>
  <si>
    <t>promocion</t>
  </si>
  <si>
    <t>atención al cliente</t>
  </si>
  <si>
    <t>Acumulado</t>
  </si>
  <si>
    <t>Código de Costo Nivel 1</t>
  </si>
  <si>
    <t>Código de Costo Nivel 2</t>
  </si>
  <si>
    <t>Código de Costo Nivel 3</t>
  </si>
  <si>
    <t>Presupuesto Original</t>
  </si>
  <si>
    <t>Costos Comprometidos (CONTRATO)</t>
  </si>
  <si>
    <t>Costos de Trabajo a la Fecha  (CUBICADO)</t>
  </si>
  <si>
    <t>Costos Proyectados</t>
  </si>
  <si>
    <t>Precio unitario del presupuesto</t>
  </si>
  <si>
    <t>Proyección para terminar</t>
  </si>
  <si>
    <t>Costo Estimado al Terminar</t>
  </si>
  <si>
    <t>Proyectado Arriba/Abajo del Presupuesto</t>
  </si>
  <si>
    <t>2-4-2 - PUBLICIDAD Y PROMOCION</t>
  </si>
  <si>
    <t>"3-1 - PERMISOS</t>
  </si>
  <si>
    <t xml:space="preserve"> LEGALES Y PRELIMINARES"</t>
  </si>
  <si>
    <t>Costos Comprometidos</t>
  </si>
  <si>
    <t>Costos de Trabajo a la Fecha</t>
  </si>
  <si>
    <t>IMAGEN DEL ADI archivo : 
Flujo_de_caja_PUNTA_CANA_462_MAR2024_V.0.XLSX al 02/05/24</t>
  </si>
  <si>
    <t>TC al 7 de mayo</t>
  </si>
  <si>
    <t>PRESUPUESTO ABRIL 2024</t>
  </si>
  <si>
    <t>TOTAL EJECUTADO</t>
  </si>
  <si>
    <t>Dato del ADI</t>
  </si>
  <si>
    <t>Dato Procore</t>
  </si>
  <si>
    <t>Diferencia</t>
  </si>
  <si>
    <t>?</t>
  </si>
  <si>
    <t>3-1 - PERMISOS LEGALES Y PRELIMINARES</t>
  </si>
  <si>
    <t>3-1-1 - PERMISOS LEGALES Y PRELIMINARES ADI</t>
  </si>
  <si>
    <t>3-1-2 - PERMISOS LEGALES Y PRELIMINARES</t>
  </si>
  <si>
    <t>cambiar a la fecha  del adi marzo 2024</t>
  </si>
  <si>
    <t>a</t>
  </si>
  <si>
    <t>b</t>
  </si>
  <si>
    <t>d</t>
  </si>
  <si>
    <t>c</t>
  </si>
  <si>
    <t>meter gastos operativos</t>
  </si>
  <si>
    <t>FECHA</t>
  </si>
  <si>
    <t xml:space="preserve">EXPLICACIÓN </t>
  </si>
  <si>
    <t>ACCIÓN REQUERIDA</t>
  </si>
  <si>
    <t>RESPONSABLE</t>
  </si>
  <si>
    <t>SEGUIMIENTO</t>
  </si>
  <si>
    <t>Falta permiso de agua</t>
  </si>
  <si>
    <t>Actualizar el monto en el ADI</t>
  </si>
  <si>
    <t>PLA / RQ</t>
  </si>
  <si>
    <t>Impuesto de transferencia del activo</t>
  </si>
  <si>
    <t>var%</t>
  </si>
  <si>
    <t>1-3 - PRELIMINARES DE OBRA.</t>
  </si>
  <si>
    <t>1-4-2 - PRELIMINARES ADI</t>
  </si>
  <si>
    <t>1-4-3 - PRELIMINARES DE OBRA</t>
  </si>
  <si>
    <t>1-4-4 - MOVIMIENTO DE TIERRA</t>
  </si>
  <si>
    <t>1-4-5 - HIDROSANITARIAS</t>
  </si>
  <si>
    <t>1-4-6 - SISTEMAS DE AGUAS</t>
  </si>
  <si>
    <t>1-4-7 - INSFRAESTRUCTURA ELECTRICA</t>
  </si>
  <si>
    <t>1-4-8 - INSTALACIONES DE GAS</t>
  </si>
  <si>
    <t>1-4-9 - INSTALACIONES TELECOMUNICACIONES</t>
  </si>
  <si>
    <t>1-4-10 - EQUIPAMIENTO URBANISMO</t>
  </si>
  <si>
    <t>1-4-11 - VIALIDAD</t>
  </si>
  <si>
    <t>1-4-12 - PAISAJISMO</t>
  </si>
  <si>
    <t>1-4-13 - OBRAS EXTERIORES</t>
  </si>
  <si>
    <t>e</t>
  </si>
  <si>
    <t>PRESUPUESTO MAYO 2024</t>
  </si>
  <si>
    <t>PAGADO</t>
  </si>
  <si>
    <t>POR EJECUTAR DE LO COMPROMETIDO</t>
  </si>
  <si>
    <t>TOTALES</t>
  </si>
  <si>
    <t>permisos por iniciar</t>
  </si>
  <si>
    <t>diseño por pagar</t>
  </si>
  <si>
    <t>Publicidade por pagar</t>
  </si>
  <si>
    <t>diponible</t>
  </si>
  <si>
    <t>APORTE AFI</t>
  </si>
  <si>
    <t>Balance Sheet</t>
  </si>
  <si>
    <t>Fideicomiso Irrevocable de Desarrollo Inmobiliario y Administración Araya</t>
  </si>
  <si>
    <t>As at 31 May 2024</t>
  </si>
  <si>
    <t>Account</t>
  </si>
  <si>
    <t>Assets</t>
  </si>
  <si>
    <t>Current Assets</t>
  </si>
  <si>
    <t>Anticipos a Proveedores</t>
  </si>
  <si>
    <t>Total Current Assets</t>
  </si>
  <si>
    <t>Non-current Assets</t>
  </si>
  <si>
    <t>Costos de Construccion</t>
  </si>
  <si>
    <t>Costos Operativos</t>
  </si>
  <si>
    <t>Otros Costos (123906)</t>
  </si>
  <si>
    <t>Total Non-current Assets</t>
  </si>
  <si>
    <t>Total Assets</t>
  </si>
  <si>
    <t>Liabilities</t>
  </si>
  <si>
    <t>Current Liabilities</t>
  </si>
  <si>
    <t>Cuentas por Pagar Comerciales</t>
  </si>
  <si>
    <t>Otras Cuentas por Pagar</t>
  </si>
  <si>
    <t>Total Current Liabilities</t>
  </si>
  <si>
    <t>Total Liabilities</t>
  </si>
  <si>
    <t>Net Assets</t>
  </si>
  <si>
    <t>Equity</t>
  </si>
  <si>
    <t>Aporte Fideicomitente AFI Universal</t>
  </si>
  <si>
    <t>Total Equity</t>
  </si>
  <si>
    <t>TERRENO</t>
  </si>
  <si>
    <t>DISENO Y PROYECTO</t>
  </si>
  <si>
    <t>PRELIMINARES DEL PROYECTO</t>
  </si>
  <si>
    <t>PUBLICIDAD</t>
  </si>
  <si>
    <t>FECHA1</t>
  </si>
  <si>
    <t>ACUMULADO MAY0 2024</t>
  </si>
  <si>
    <t>APORTE INICIAL</t>
  </si>
  <si>
    <t>DISPONIBLE</t>
  </si>
  <si>
    <t>TOTAL GASTO</t>
  </si>
  <si>
    <t>ETAPA 0</t>
  </si>
  <si>
    <t>ETAPA ARRANQUE</t>
  </si>
  <si>
    <t>GERENCIA CONSTRUCCIÓN</t>
  </si>
  <si>
    <t>URBANISMO</t>
  </si>
  <si>
    <t>Gerencia de Construcción</t>
  </si>
  <si>
    <t>Impuesto de transferencia</t>
  </si>
  <si>
    <t xml:space="preserve">IFC (lote 1 y lote 2) </t>
  </si>
  <si>
    <t>Comisión de terreno (Lote 1 y 2)</t>
  </si>
  <si>
    <t>Atención al cliente</t>
  </si>
  <si>
    <t>Promocion</t>
  </si>
  <si>
    <t>PRESUPUESTO JUNIO 2024</t>
  </si>
  <si>
    <t>Budget Code &gt; Cost Code Tier 2 Description</t>
  </si>
  <si>
    <t>Budget Code &gt; Cost Code Tier 2</t>
  </si>
  <si>
    <t>Budget Line Item &gt; Original Budget Amount</t>
  </si>
  <si>
    <t>Commitment &gt; Number</t>
  </si>
  <si>
    <t>Commitment &gt; Title</t>
  </si>
  <si>
    <t>Commitment &gt; Payment Terms</t>
  </si>
  <si>
    <t>Commitment &gt; Payments Issued</t>
  </si>
  <si>
    <t>Commitment &gt; Percent Paid</t>
  </si>
  <si>
    <t>Company (Vendor) &gt; Name</t>
  </si>
  <si>
    <t>Commitment Line Item &gt; Number</t>
  </si>
  <si>
    <t>Commitment Line Item &gt; Description</t>
  </si>
  <si>
    <t>Commitment Line Item &gt; Amount</t>
  </si>
  <si>
    <t>ADMINISTRACION DE FIDUCIARIA</t>
  </si>
  <si>
    <t>3</t>
  </si>
  <si>
    <t>PO--003</t>
  </si>
  <si>
    <t>REEMBOLSO GASTOS POR LA PROMOTORA</t>
  </si>
  <si>
    <t>GRUPO BAK SRL</t>
  </si>
  <si>
    <t>2</t>
  </si>
  <si>
    <t>REEMBOLSO COMISION POR ESTRUCTURACION FT B0100006940</t>
  </si>
  <si>
    <t>DISEÑO Y PROYECTO</t>
  </si>
  <si>
    <t>SC--007</t>
  </si>
  <si>
    <t>Conceptuales y Diseños (Diseno y Proyecto)</t>
  </si>
  <si>
    <t>INVERSIONES BRICKET C A</t>
  </si>
  <si>
    <t>1</t>
  </si>
  <si>
    <t>Conceptuales y Diseños</t>
  </si>
  <si>
    <t>SC--013</t>
  </si>
  <si>
    <t>Proyecto de Planta de Tratamiento (Diseno y Proyecto)</t>
  </si>
  <si>
    <t>CONPROIN C A</t>
  </si>
  <si>
    <t>Proyecto de Planta de Tratamiento</t>
  </si>
  <si>
    <t>SC--006</t>
  </si>
  <si>
    <t>Diseño Arquitectonico de Edificios y Urb (Diseno y Proyecto)</t>
  </si>
  <si>
    <t>CONTEXTO URBANO</t>
  </si>
  <si>
    <t>Diseño Arqutectonico de Edificios y Urb</t>
  </si>
  <si>
    <t>PO--013</t>
  </si>
  <si>
    <t>REEMBOLSO GASTOS VARIOS ARAYA ENE-ABR-24</t>
  </si>
  <si>
    <t>RESPONSABILIDAD ARQUITECTONICA ONEIDA FRIAS</t>
  </si>
  <si>
    <t>SC--002</t>
  </si>
  <si>
    <t>Replanteo de Edificios, Vias y Recreativas (Diseno y proyecto)</t>
  </si>
  <si>
    <t>FRANCISCO AQUINO &amp; ASOCIADOS SRL</t>
  </si>
  <si>
    <t>Replanteo de Edificios, Vias y Recreativas</t>
  </si>
  <si>
    <t>SC--003</t>
  </si>
  <si>
    <t>Diseño Vial y Terraceria</t>
  </si>
  <si>
    <t>SC--014</t>
  </si>
  <si>
    <t>ANDRES MONTERO LANDSCAPE ARCHITECTURE( Paisajismo) (Diseno y Proyecto)</t>
  </si>
  <si>
    <t>ANDRES MONTERO LANDSCAPE ARCHITECTURE</t>
  </si>
  <si>
    <t>LANDSCAPE ARCHITECTURE( Paisajismo)</t>
  </si>
  <si>
    <t>SC--016</t>
  </si>
  <si>
    <t>Ajustes en Calculos cambios en diseño  y Computos BIM</t>
  </si>
  <si>
    <t>CONCONCRETOS PROYECTOS S A S</t>
  </si>
  <si>
    <t>SC--025</t>
  </si>
  <si>
    <t>Diseno  Estructural de Portal entrada, Portería, Comunal piscina, Comunal Gimnasio,Comunal social</t>
  </si>
  <si>
    <t>DISENOS ESTRUCTURALES AL LIMITE D E L SRL</t>
  </si>
  <si>
    <t>Calculo Estructural de Portal entrada, Portería, Comunal Social, Comunal Gimnasio,Comunal Piscina</t>
  </si>
  <si>
    <t>SC--008</t>
  </si>
  <si>
    <t>Diseño EstructuralEdificios (Diseno y Proyecto)</t>
  </si>
  <si>
    <t>Diseño EstructuralEdificios</t>
  </si>
  <si>
    <t>SC--022</t>
  </si>
  <si>
    <t>Calculo estructural del tanque de agua y redes (Diseno y Proyecto)</t>
  </si>
  <si>
    <t>Calculo estructural del tanque de agua y redes</t>
  </si>
  <si>
    <t>SC--020</t>
  </si>
  <si>
    <t>Diseño de Drenaje, sistema de impulsion</t>
  </si>
  <si>
    <t>SC--026</t>
  </si>
  <si>
    <t>Sistema de Tratado de Agua Potable (Diseno y Proyecto)</t>
  </si>
  <si>
    <t>COMPAÑIA OPERADORA DEL AGUA TECCA SAS</t>
  </si>
  <si>
    <t xml:space="preserve">Sistema de Tratado de Agua Potable </t>
  </si>
  <si>
    <t>SC--012</t>
  </si>
  <si>
    <t>Estructura de Planta de Tratamiento y PISCINAS(ninosy adultos) ( (Diseno y Proyecto)</t>
  </si>
  <si>
    <t>Estructura de Planta de Tratamiento</t>
  </si>
  <si>
    <t>SC--041</t>
  </si>
  <si>
    <t>Redes Electricas Internas Areas Comunes (Portería, Comunal Piscina, Comunal Social y Comunal Gimnasio)</t>
  </si>
  <si>
    <t>ALETHIA ASPACIA CRUZ DE RUIZ 001-1629463-8</t>
  </si>
  <si>
    <t>REDES ELECTRICAS AREAS COMUNES</t>
  </si>
  <si>
    <t>SC--027</t>
  </si>
  <si>
    <t>DISEÑO REDES DE ÁREAS COMUNES</t>
  </si>
  <si>
    <t>SiHiSa</t>
  </si>
  <si>
    <t>Diseno Redes COMUNAL PISCINA,SOCIAL,GYM;PISCINAS Y PORTERIA</t>
  </si>
  <si>
    <t>SC--005</t>
  </si>
  <si>
    <t>Estudio de Infiltracion y Extraccion (Diseno y Proyecto)</t>
  </si>
  <si>
    <t>PERFORADO DOMINICANO SRL</t>
  </si>
  <si>
    <t>Estudio de Infiltracion y Extraccion</t>
  </si>
  <si>
    <t>SC--034</t>
  </si>
  <si>
    <t xml:space="preserve">Estudio de Trafico </t>
  </si>
  <si>
    <t>GRUPO ICAT SRL</t>
  </si>
  <si>
    <t>Estudio de Trafico</t>
  </si>
  <si>
    <t>SC--033</t>
  </si>
  <si>
    <t xml:space="preserve">Estudio de Impacto Ambiental </t>
  </si>
  <si>
    <t>ECOTURISMO MUNDIAL Y PROYECTOS AMBIENTALES SRL(EMPACA)</t>
  </si>
  <si>
    <t>Estudio de Impacto Ambiental</t>
  </si>
  <si>
    <t>SC--018</t>
  </si>
  <si>
    <t>Re estudio del agua por Infiltración Debil y calidad del agua (Diseno y Proyecto)</t>
  </si>
  <si>
    <t>HIDROPOZO SRL</t>
  </si>
  <si>
    <t>Re estudio del agua por Infiltracion Debil y calidad del agua</t>
  </si>
  <si>
    <t>SC--021</t>
  </si>
  <si>
    <t>Calificacion para Sostenibilidad EDGE (Diseno y Proyecto)</t>
  </si>
  <si>
    <t>ADVANCEBAU LLC</t>
  </si>
  <si>
    <t>Calificacion para Sostenibilidad EDGE</t>
  </si>
  <si>
    <t>SC--004</t>
  </si>
  <si>
    <t>Estudio de Suelos y Diseño de Pavimento (Diseno y proyecto)</t>
  </si>
  <si>
    <t>STEFAN ALVAREZ &amp; ASOCIADOS, SRL</t>
  </si>
  <si>
    <t>Estudio de Suelos y Diseño de Pavimento</t>
  </si>
  <si>
    <t>GERENCIA DE CONSTRUCCION</t>
  </si>
  <si>
    <t>6</t>
  </si>
  <si>
    <t>SC--039</t>
  </si>
  <si>
    <t>GERENCIA DE CONSTRUCCION ARAYA</t>
  </si>
  <si>
    <t>TECNICA MMHB SRL RNC 130-67304-7</t>
  </si>
  <si>
    <t>GERENCIA DE LA PROMOTORA</t>
  </si>
  <si>
    <t>SC--038</t>
  </si>
  <si>
    <t xml:space="preserve">GERENCIA DE ADMINISTRACION </t>
  </si>
  <si>
    <t>GERENCIA DE VENTAS</t>
  </si>
  <si>
    <t>SC--040</t>
  </si>
  <si>
    <t>ACERVO INMOBILIARIO SRL</t>
  </si>
  <si>
    <t>PERMISOS LEGALES Y PRELIMINARES</t>
  </si>
  <si>
    <t>PO--010</t>
  </si>
  <si>
    <t>DERECHO USO DEL AGUA PARA LA CONSTRUCCION</t>
  </si>
  <si>
    <t>INSTITUTO NACIONAL DE AGUAS POTABLES Y ALCANTARILLADOS</t>
  </si>
  <si>
    <t>PO--006</t>
  </si>
  <si>
    <t xml:space="preserve">PERMISO USO DE SUELO </t>
  </si>
  <si>
    <t>AYUNTAMIENTO DE HIGUEY</t>
  </si>
  <si>
    <t>PERMISO USO DE SUELO AYUNTAMIENTO</t>
  </si>
  <si>
    <t>PO--009</t>
  </si>
  <si>
    <t>PERMISO USO DE SUELO</t>
  </si>
  <si>
    <t>DISTRITO MUNICIPAL TURISTICO VERON PUNTA CANA</t>
  </si>
  <si>
    <t>PERMISO AYUNTAMIENTO VERON</t>
  </si>
  <si>
    <t>PO--007</t>
  </si>
  <si>
    <t>REVISION AMBIENTAL ARAYA</t>
  </si>
  <si>
    <t>MINISTERIO DE MEDIO AMBIENTE Y RECURSOS NATURALES</t>
  </si>
  <si>
    <t xml:space="preserve">REVISION AUTORIZACION AMBIENTAL </t>
  </si>
  <si>
    <t>SC--031</t>
  </si>
  <si>
    <t>Limpieza y Desbroce (Preliminares del proyecto)</t>
  </si>
  <si>
    <t>REMIX S A</t>
  </si>
  <si>
    <t>Limpieza y Desbroce (Preliminares de Proyecto)</t>
  </si>
  <si>
    <t>PO--008</t>
  </si>
  <si>
    <t>COPIA DE PLANOS</t>
  </si>
  <si>
    <t>CENTRO COPIADORA NACO S R L</t>
  </si>
  <si>
    <t>SC--032</t>
  </si>
  <si>
    <t>Relleno de caliche para estudio de suelos (Preliminares del proyecto)</t>
  </si>
  <si>
    <t>REEMBOLSO GASTOS DE PERMISOLOGIAS</t>
  </si>
  <si>
    <t>PUBLICIDAD Y PROMOCION</t>
  </si>
  <si>
    <t>4</t>
  </si>
  <si>
    <t>PO--002</t>
  </si>
  <si>
    <t>LANZAMIENTO COMERCIAL Y VALIDACION DE PRODUCTO</t>
  </si>
  <si>
    <t>PANAMERICAN CREATIVE MINDS INC</t>
  </si>
  <si>
    <t>VALIDACION DE PRODUCTO</t>
  </si>
  <si>
    <t>SC--030</t>
  </si>
  <si>
    <t xml:space="preserve">RENDERS </t>
  </si>
  <si>
    <t>RANCEL SANTIAGO VASQUEZ AZAR</t>
  </si>
  <si>
    <t xml:space="preserve">LANZAMIENTO COMERCIAL </t>
  </si>
  <si>
    <t>SC--028</t>
  </si>
  <si>
    <t>ARQUETIPO DE MARCA PROPUESTA DE LOGO ETC</t>
  </si>
  <si>
    <t>EM2 ENTERTAINMENT SAS</t>
  </si>
  <si>
    <t xml:space="preserve">ARQUETIPO DE MARCA PROPUESTA DE LOGO ETC </t>
  </si>
  <si>
    <t>REEMBOLSO FT CORTINA B0100000825 TASACION TERRENO</t>
  </si>
  <si>
    <t>PO--012</t>
  </si>
  <si>
    <t>TASACION TERRENO</t>
  </si>
  <si>
    <t>CORTINA RUA SRL</t>
  </si>
  <si>
    <t>PO--011</t>
  </si>
  <si>
    <t>TASACION DE TERRENO</t>
  </si>
  <si>
    <t>INGENIERIA AVANZADA SRL</t>
  </si>
  <si>
    <t>SC--029</t>
  </si>
  <si>
    <t>LOTE 1 TERRENO ARAYA</t>
  </si>
  <si>
    <t>ADMINISTRADORA DE FONDOS DE INVERSION UNIVERSAL S A</t>
  </si>
  <si>
    <t>APORTE TERRENO LOTE 1</t>
  </si>
  <si>
    <t>SC--037</t>
  </si>
  <si>
    <t>Preliminares de obra-Showroom</t>
  </si>
  <si>
    <t>Obras preliminares showrroom</t>
  </si>
  <si>
    <t>SC--036</t>
  </si>
  <si>
    <t>Preliminares de obra-Instalaciones provisionales-campamento</t>
  </si>
  <si>
    <t>obras preliminares area campamento</t>
  </si>
  <si>
    <t>Grand Totals</t>
  </si>
  <si>
    <t>ACUMULADO JULIO 2024</t>
  </si>
  <si>
    <t>PROMOCION Y PUBLICIDAD</t>
  </si>
  <si>
    <t>Gerencias</t>
  </si>
  <si>
    <t>Etiquetas de fila</t>
  </si>
  <si>
    <t>Suma de Presupuesto Proyectado</t>
  </si>
  <si>
    <t>Suma de Costos Comprometidos</t>
  </si>
  <si>
    <t>Suma de Costos de Trabajo a la Fecha</t>
  </si>
  <si>
    <t>Total general</t>
  </si>
  <si>
    <t>Subproyecto</t>
  </si>
  <si>
    <t>Código de costo Nivel 1</t>
  </si>
  <si>
    <t>Código de costo Nivel 2</t>
  </si>
  <si>
    <t>Código de costo Nivel 3</t>
  </si>
  <si>
    <t>Código de costo Nivel 4</t>
  </si>
  <si>
    <t>Código de costo Nivel 5</t>
  </si>
  <si>
    <t>Tipo de costo</t>
  </si>
  <si>
    <t>Budget Code</t>
  </si>
  <si>
    <t>Budget Code Description</t>
  </si>
  <si>
    <t>Modificaciones de Presupuesto</t>
  </si>
  <si>
    <t>OC Aprobadas</t>
  </si>
  <si>
    <t>Presupuesto Revisado</t>
  </si>
  <si>
    <t>Cambios Pendientes al Presupuesto</t>
  </si>
  <si>
    <t>Presupuesto Proyectado</t>
  </si>
  <si>
    <t>Costos indirectos</t>
  </si>
  <si>
    <t>Cambios Pendientes al Costo</t>
  </si>
  <si>
    <t>Cantidad por unidad del presupuesto</t>
  </si>
  <si>
    <t>Unidad de medida del presupuesto</t>
  </si>
  <si>
    <t>Ninguno</t>
  </si>
  <si>
    <t>1-1-1-MTOTALTE - TERRENO ADI</t>
  </si>
  <si>
    <t>T - Total</t>
  </si>
  <si>
    <t>1-1-1-MTOTALTE.T</t>
  </si>
  <si>
    <t>TERRENO ADI.Total</t>
  </si>
  <si>
    <t>1-1-2-COSTTE - COSTO ASOCIADO TERRENO</t>
  </si>
  <si>
    <t>1-1-2-COSTTE.T</t>
  </si>
  <si>
    <t>COSTO ASOCIADO TERRENO.Total</t>
  </si>
  <si>
    <t>suma global</t>
  </si>
  <si>
    <t>1-2-1-MTOTALDP - DISEÑO Y PROYECTO ADI</t>
  </si>
  <si>
    <t>1-2-1-MTOTALDP.T</t>
  </si>
  <si>
    <t>DISEÑO Y PROYECTO ADI.Total</t>
  </si>
  <si>
    <t>1-2-2-DIPRO01 - ESTUDIOS</t>
  </si>
  <si>
    <t>OT - Otros</t>
  </si>
  <si>
    <t>1-2-2-DIPRO01.OT</t>
  </si>
  <si>
    <t>ESTUDIOS.Otros</t>
  </si>
  <si>
    <t>1-2-2-DIPRO01.T</t>
  </si>
  <si>
    <t>ESTUDIOS.Total</t>
  </si>
  <si>
    <t>1-2-3-DIPRO02 - DISEÑO Y ARQUITECTURA</t>
  </si>
  <si>
    <t>1-2-3-DIPRO02.T</t>
  </si>
  <si>
    <t>DISEÑO Y ARQUITECTURA.Total</t>
  </si>
  <si>
    <t>1-2-4-DIPRO03 - INGENIERIAS</t>
  </si>
  <si>
    <t>1-2-4-DIPRO03.T</t>
  </si>
  <si>
    <t>INGENIERIAS.Total</t>
  </si>
  <si>
    <t>1-2-5-DIPRO04 - COMPUTOS</t>
  </si>
  <si>
    <t>1-2-5-DIPRO04.T</t>
  </si>
  <si>
    <t>COMPUTOS.Total</t>
  </si>
  <si>
    <t>1-3-2-1 - OBRAS PRELIMINARES AREA CAMPAMENTO</t>
  </si>
  <si>
    <t>1-3-2-1.T</t>
  </si>
  <si>
    <t>OBRAS PRELIMINARES AREA CAMPAMENTO.Total</t>
  </si>
  <si>
    <t>1-4-1-MTOTALURB - URBANISMO ADI</t>
  </si>
  <si>
    <t>1-4-1-MTOTALURB.T</t>
  </si>
  <si>
    <t>URBANISMO ADI.Total</t>
  </si>
  <si>
    <t>1-4-2-MTOTALPRELI - PRELIMINARES ADI</t>
  </si>
  <si>
    <t>1-4-2-MTOTALPRELI.T</t>
  </si>
  <si>
    <t>PRELIMINARES ADI.Total</t>
  </si>
  <si>
    <t>1-4-3-PRELIMOBRA1 - PRELIMINARES AREA CAMPAMENTO</t>
  </si>
  <si>
    <t>1-4-3-PRELIMOBRA1.T</t>
  </si>
  <si>
    <t>PRELIMINARES AREA CAMPAMENTO.Total</t>
  </si>
  <si>
    <t>1-4-3-PRELIMOBRA2 - PRELIMINARES AREA SHOWROOM</t>
  </si>
  <si>
    <t>1-4-3-PRELIMOBRA2.T</t>
  </si>
  <si>
    <t>PRELIMINARES AREA SHOWROOM.Total</t>
  </si>
  <si>
    <t>1-4-4-URB01 - MOVIMIENTO DE TIERRA</t>
  </si>
  <si>
    <t>1-4-4-URB01.T</t>
  </si>
  <si>
    <t>MOVIMIENTO DE TIERRA.Total</t>
  </si>
  <si>
    <t>1-4-5-URB02 - HIDROSANITARIAS</t>
  </si>
  <si>
    <t>1-4-5-URB02.T</t>
  </si>
  <si>
    <t>HIDROSANITARIAS.Total</t>
  </si>
  <si>
    <t>1-4-6-URB03 - SISTEMA DE AGUAS</t>
  </si>
  <si>
    <t>1-4-6-URB03.T</t>
  </si>
  <si>
    <t>SISTEMA DE AGUAS.Total</t>
  </si>
  <si>
    <t>1-4-7-URB04 - INSFRAESTRUCTURA ELECTRICA</t>
  </si>
  <si>
    <t>1-4-7-URB04.T</t>
  </si>
  <si>
    <t>INSFRAESTRUCTURA ELECTRICA.Total</t>
  </si>
  <si>
    <t>1-4-8-URB05 - INSTALACIONES DE GAS</t>
  </si>
  <si>
    <t>1-4-8-URB05.T</t>
  </si>
  <si>
    <t>INSTALACIONES DE GAS.Total</t>
  </si>
  <si>
    <t>1-4-9-URB6 - INSTALACIONES TELECOMUNICACIONES</t>
  </si>
  <si>
    <t>1-4-9-URB6.T</t>
  </si>
  <si>
    <t>INSTALACIONES TELECOMUNICACIONES.Total</t>
  </si>
  <si>
    <t>1-4-10-URB7 - EQUIPAMIENTO URBANO</t>
  </si>
  <si>
    <t>1-4-10-URB7.T</t>
  </si>
  <si>
    <t>EQUIPAMIENTO URBANO.Total</t>
  </si>
  <si>
    <t>1-4-11-URB8 - VIALIDAD</t>
  </si>
  <si>
    <t>1-4-11-URB8.T</t>
  </si>
  <si>
    <t>VIALIDAD.Total</t>
  </si>
  <si>
    <t>1-4-12-URB9 - PAISAJISMO</t>
  </si>
  <si>
    <t>1-4-12-URB9.T</t>
  </si>
  <si>
    <t>PAISAJISMO.Total</t>
  </si>
  <si>
    <t>1-4-13-URB10 - OBRAS EXTERIORES</t>
  </si>
  <si>
    <t>1-4-13-URB10.T</t>
  </si>
  <si>
    <t>OBRAS EXTERIORES.Total</t>
  </si>
  <si>
    <t>1-5-1-MTOTALEDIF - EDIFICACIONES ADI</t>
  </si>
  <si>
    <t>1-5-1-MTOTALEDIF-MTOTALEDIF - EDIFICACIONES ADI</t>
  </si>
  <si>
    <t>1-5-1-MTOTALEDIF-MTOTALEDIF.T</t>
  </si>
  <si>
    <t>EDIFICACIONES ADI.Total</t>
  </si>
  <si>
    <t>1-5-2-EDIF02 - INSFRAESTRUCTURA</t>
  </si>
  <si>
    <t>1-5-2-EDIF02.T</t>
  </si>
  <si>
    <t>INSFRAESTRUCTURA.Total</t>
  </si>
  <si>
    <t>1-5-3-EDIF02 - SUPERESTRUCTURA</t>
  </si>
  <si>
    <t>1-5-3-EDIF02.T</t>
  </si>
  <si>
    <t>SUPERESTRUCTURA.Total</t>
  </si>
  <si>
    <t>1-5-4-EDIF04 - INSTALACIONES ELECTRICAS</t>
  </si>
  <si>
    <t>1-5-4-EDIF04.OT</t>
  </si>
  <si>
    <t>INSTALACIONES ELECTRICAS.Otros</t>
  </si>
  <si>
    <t>1-5-4-EDIF04.T</t>
  </si>
  <si>
    <t>INSTALACIONES ELECTRICAS.Total</t>
  </si>
  <si>
    <t>1-5-5-EDIF05 - TELECOMUNICACIONES</t>
  </si>
  <si>
    <t>1-5-5-EDIF05.T</t>
  </si>
  <si>
    <t>TELECOMUNICACIONES.Total</t>
  </si>
  <si>
    <t>1-5-6-EDIF06 - INSTALACIONES SANITARIAS</t>
  </si>
  <si>
    <t>1-5-6-EDIF06.T</t>
  </si>
  <si>
    <t>INSTALACIONES SANITARIAS.Total</t>
  </si>
  <si>
    <t>1-5-7-EDIF07 - INSTALACIONES MECANICAS</t>
  </si>
  <si>
    <t>1-5-7-EDIF07.T</t>
  </si>
  <si>
    <t>INSTALACIONES MECANICAS.Total</t>
  </si>
  <si>
    <t>1-5-8-EDIF08 - ALBANILERIA</t>
  </si>
  <si>
    <t>1-5-8-EDIF08.T</t>
  </si>
  <si>
    <t>ALBANILERIA.Total</t>
  </si>
  <si>
    <t>1-5-9-EDIF09 - HERRERIA</t>
  </si>
  <si>
    <t>1-5-9-EDIF09.T</t>
  </si>
  <si>
    <t>HERRERIA.Total</t>
  </si>
  <si>
    <t>1-5-10-EDIF10 - REVESTIMIENTO</t>
  </si>
  <si>
    <t>1-5-10-EDIF10.T</t>
  </si>
  <si>
    <t>REVESTIMIENTO.Total</t>
  </si>
  <si>
    <t>1-5-11-EDIF11 - CARPINTERIA</t>
  </si>
  <si>
    <t>1-5-11-EDIF11.T</t>
  </si>
  <si>
    <t>CARPINTERIA.Total</t>
  </si>
  <si>
    <t>1-5-12-EDIF12 - VENTANERIA</t>
  </si>
  <si>
    <t>1-5-12-EDIF12.OT</t>
  </si>
  <si>
    <t>VENTANERIA.Otros</t>
  </si>
  <si>
    <t>1-5-13-EDIF13 - PINTURA</t>
  </si>
  <si>
    <t>1-5-13-EDIF13.T</t>
  </si>
  <si>
    <t>PINTURA.Total</t>
  </si>
  <si>
    <t>1-5-14-URB14 - MISCELANEOS</t>
  </si>
  <si>
    <t>1-5-14-URB14.T</t>
  </si>
  <si>
    <t>MISCELANEOS.Total</t>
  </si>
  <si>
    <t>1-6-1-MTOTALGECO - GERENCIA DE CONSTRUCCION ADI</t>
  </si>
  <si>
    <t>1-6-1-MTOTALGECO.OT</t>
  </si>
  <si>
    <t>GERENCIA DE CONSTRUCCION ADI.Otros</t>
  </si>
  <si>
    <t>1-6-2-COSTGE - COSTO GERENCIA DE CONSTRUCCION</t>
  </si>
  <si>
    <t>1-6-2-COSTGE.T</t>
  </si>
  <si>
    <t>COSTO GERENCIA DE CONSTRUCCION.Total</t>
  </si>
  <si>
    <t>1-7-2-COSTIND - COSTOS INDIRECTOS DE OBRA</t>
  </si>
  <si>
    <t>1-7-2-COSTIND.T</t>
  </si>
  <si>
    <t>COSTOS INDIRECTOS DE OBRA.Total</t>
  </si>
  <si>
    <t>2-1-2-COSTGEPRO - COSTO GERENCIA DE LA PROMOTORA</t>
  </si>
  <si>
    <t>2-1-2-COSTGEPRO.T</t>
  </si>
  <si>
    <t>COSTO GERENCIA DE LA PROMOTORA.Total</t>
  </si>
  <si>
    <t>2-2-1-MTOTALGEVE - GERENCIA DE VENTAS ADI</t>
  </si>
  <si>
    <t>2-2-1-MTOTALGEVE.T</t>
  </si>
  <si>
    <t>GERENCIA DE VENTAS ADI.Total</t>
  </si>
  <si>
    <t>2-2-2-COSTGEVEN01 - ADMINISTRACION DE VENTAS</t>
  </si>
  <si>
    <t>2-2-2-COSTGEVEN01.T</t>
  </si>
  <si>
    <t>ADMINISTRACION DE VENTAS.Total</t>
  </si>
  <si>
    <t>2-2-3-COSTGEVEN02 - COMISIONES</t>
  </si>
  <si>
    <t>2-2-3-COSTGEVEN02.T</t>
  </si>
  <si>
    <t>COMISIONES.Total</t>
  </si>
  <si>
    <t>2-3-2-ADMFE - COSTO ADMINISTRACION DE FIDUCIARIA</t>
  </si>
  <si>
    <t>2-3-2-ADMFE.T</t>
  </si>
  <si>
    <t>COSTO ADMINISTRACION DE FIDUCIARIA.Total</t>
  </si>
  <si>
    <t>2-4-1-MTOTALPU - PUBLICIDAD Y PROMOCION ADI</t>
  </si>
  <si>
    <t>2-4-1-MTOTALPU.T</t>
  </si>
  <si>
    <t>PUBLICIDAD Y PROMOCION ADI.Total</t>
  </si>
  <si>
    <t>2-4-2-COSTPUPROM - PUBLICIDAD Y PROMOCION</t>
  </si>
  <si>
    <t>2-4-2-COSTPUPROM.T</t>
  </si>
  <si>
    <t>PUBLICIDAD Y PROMOCION.Total</t>
  </si>
  <si>
    <t>2-5-2-COSTPOSTVEN - POST-VENTAS</t>
  </si>
  <si>
    <t>2-5-2-COSTPOSTVEN.T</t>
  </si>
  <si>
    <t>POST-VENTAS.Total</t>
  </si>
  <si>
    <t>3-1-1-MTOTALPER - PERMISOS LEGALES Y PRELIMINARES ADI</t>
  </si>
  <si>
    <t>3-1-1-MTOTALPER.T</t>
  </si>
  <si>
    <t>PERMISOS LEGALES Y PRELIMINARES ADI.Total</t>
  </si>
  <si>
    <t>3-1-2-PERM03 - PERMISOS LEGALES Y PRELIMINARES</t>
  </si>
  <si>
    <t>3-1-2-PERM03.T</t>
  </si>
  <si>
    <t>PERMISOS LEGALES Y PRELIMINARES.Total</t>
  </si>
  <si>
    <t>3-2-2-COSTIMPRE - COSTO IMPREVISTOS</t>
  </si>
  <si>
    <t>3-2-2-COSTIMPRE.T</t>
  </si>
  <si>
    <t>COSTO IMPREVISTOS.Total</t>
  </si>
  <si>
    <t>3-3-2-COSTGAFI - GASTOS FINANCIEROS</t>
  </si>
  <si>
    <t>3-3-2-COSTGAFI.T</t>
  </si>
  <si>
    <t>GASTOS FINANCIEROS.Total</t>
  </si>
  <si>
    <t>As at 30 June 2024</t>
  </si>
  <si>
    <t>30 Jun 2024</t>
  </si>
  <si>
    <t>Bank</t>
  </si>
  <si>
    <t>Banesco DOP -Cta. Corriente No.99100010856</t>
  </si>
  <si>
    <t>Banesco USD -Cta. Ahorro No.99200013780</t>
  </si>
  <si>
    <t>[FX]</t>
  </si>
  <si>
    <t>Total Bank</t>
  </si>
  <si>
    <t>Ret 100% ITBIS. Personas Fsicas</t>
  </si>
  <si>
    <t>Retencin 30% ITBIS Juridica</t>
  </si>
  <si>
    <t>Retencin ISR Exterior 27%</t>
  </si>
  <si>
    <t>Retencin ISR Personas Fsicas 10%</t>
  </si>
  <si>
    <t>Current Year Earnings</t>
  </si>
  <si>
    <r>
      <rPr>
        <b/>
        <sz val="9"/>
        <color theme="1"/>
        <rFont val="Arial"/>
        <family val="2"/>
      </rPr>
      <t>[FX]</t>
    </r>
    <r>
      <rPr>
        <sz val="9"/>
        <color theme="1"/>
        <rFont val="Arial"/>
        <family val="2"/>
      </rPr>
      <t xml:space="preserve"> Exchange rates used to convert foreign currency into DOP are shown below. Rates are provided by XE.com unless otherwise stated.</t>
    </r>
  </si>
  <si>
    <t>0.0169480 USD (United States Dollar) – on 1 Jul 2024</t>
  </si>
  <si>
    <t>EJECUTADO</t>
  </si>
  <si>
    <t>CXP DE LO EJECUTADO</t>
  </si>
  <si>
    <t>ANTICIPOS PAGADOS</t>
  </si>
  <si>
    <t>Aportes AFI</t>
  </si>
  <si>
    <t>Balance Bancos</t>
  </si>
  <si>
    <t>Retenciones por pagar</t>
  </si>
  <si>
    <t>Pagado según balanza</t>
  </si>
  <si>
    <t>Pagado según reportes</t>
  </si>
  <si>
    <t>Diferencial cambiario</t>
  </si>
  <si>
    <t>As at 31 July 2024</t>
  </si>
  <si>
    <t>31 Jul 2024</t>
  </si>
  <si>
    <t>0.0170489 USD (United States Dollar) – on 1 Aug 2024</t>
  </si>
  <si>
    <t>Account Transactions</t>
  </si>
  <si>
    <t>For the period 1 January 2014 to 31 July 2024</t>
  </si>
  <si>
    <t xml:space="preserve">COSTOS </t>
  </si>
  <si>
    <t>Debit (DOP)</t>
  </si>
  <si>
    <t>Credit (DOP)</t>
  </si>
  <si>
    <t>123902 - Terreno</t>
  </si>
  <si>
    <t>Total 123902 - Terreno</t>
  </si>
  <si>
    <t>123903 - Costos de Construccion</t>
  </si>
  <si>
    <t>Total 123903 - Costos de Construccion</t>
  </si>
  <si>
    <t>123904 - Costos Operativos</t>
  </si>
  <si>
    <t>Administración Fiduciaria</t>
  </si>
  <si>
    <t>Publicidad: Medios Tradicionales y Digitales</t>
  </si>
  <si>
    <t>Total 123904 - Costos Operativos</t>
  </si>
  <si>
    <t>123906 - Otros Costos (123906)</t>
  </si>
  <si>
    <t>Permisos, Legales y Preliminares</t>
  </si>
  <si>
    <t>Total 123906 - Otros Costos (123906)</t>
  </si>
  <si>
    <t xml:space="preserve">Columnas personalizadas &gt; Monto Total Presupuestado </t>
  </si>
  <si>
    <t>Columnas personalizadas &gt; Restante</t>
  </si>
  <si>
    <t>DISEÃ‘O Y PROYECTO</t>
  </si>
  <si>
    <t>EDIFICACIONES</t>
  </si>
  <si>
    <t>INDIRECTOS DE OBRA</t>
  </si>
  <si>
    <t>POST-VENTAS</t>
  </si>
  <si>
    <t>IMPREVISTOS</t>
  </si>
  <si>
    <t>GASTOS FINANCIEROS</t>
  </si>
  <si>
    <t>Payable Invoice Summary</t>
  </si>
  <si>
    <t>For the period 1 July 2014 to 31 July 2024</t>
  </si>
  <si>
    <t>Status contains Accepted, Approved, Awaiting Approval, Billed, Current, Draft, Invoiced, Sent</t>
  </si>
  <si>
    <t>Invoice Date</t>
  </si>
  <si>
    <t>Contact</t>
  </si>
  <si>
    <t>Reference</t>
  </si>
  <si>
    <t>Gross (DOP)</t>
  </si>
  <si>
    <t>Payments / Debits (DOP)</t>
  </si>
  <si>
    <t>Balance (DOP)</t>
  </si>
  <si>
    <t>COSTOS DE OBRA</t>
  </si>
  <si>
    <t>INT.061024</t>
  </si>
  <si>
    <t>B0100004526</t>
  </si>
  <si>
    <t>INT.8763 PARTE-1</t>
  </si>
  <si>
    <t>INT-18632</t>
  </si>
  <si>
    <t>INT. 201</t>
  </si>
  <si>
    <t>B0100002594</t>
  </si>
  <si>
    <t>PROV.INFORMAL</t>
  </si>
  <si>
    <t>INT-005828</t>
  </si>
  <si>
    <t>DANIELLA MARIA BETANCES COPELLO</t>
  </si>
  <si>
    <t>PROVEEDOR INFORMAL</t>
  </si>
  <si>
    <t>INT-005849</t>
  </si>
  <si>
    <t>ContactName</t>
  </si>
  <si>
    <t>InvoiceDate</t>
  </si>
  <si>
    <t>InvoiceAmountDue</t>
  </si>
  <si>
    <t>TrackingOption1</t>
  </si>
  <si>
    <t>ANTICIPO DISEÃ‘OS ESTRUCTURALES</t>
  </si>
  <si>
    <t>DiseÃ±o y Proyecto</t>
  </si>
  <si>
    <t>ANTICIPO HIDROPOZOS</t>
  </si>
  <si>
    <t>ANTICIPO ANDRES MONTERO</t>
  </si>
  <si>
    <t>TECNICA MMHB SRL</t>
  </si>
  <si>
    <t>ANTICIPO TECNICA</t>
  </si>
  <si>
    <t>Permisos y Preliminares</t>
  </si>
  <si>
    <t>30% REVISION AMBIENTAL</t>
  </si>
  <si>
    <t>As at 31 August 2024</t>
  </si>
  <si>
    <t>31 Aug 2024</t>
  </si>
  <si>
    <t>0.0167981 USD (United States Dollar) – on 1 Sep 2024</t>
  </si>
  <si>
    <t>For the period 1 March 2014 to 31 August 2024</t>
  </si>
  <si>
    <t>Aged Payables Summary</t>
  </si>
  <si>
    <t>Ageing by due date</t>
  </si>
  <si>
    <t xml:space="preserve"> Costo Urbanismo,  Gerencia de Construcción</t>
  </si>
  <si>
    <t>Total  Costo Urbanismo,  Gerencia de Construcción</t>
  </si>
  <si>
    <t xml:space="preserve"> Diseño y Proyecto</t>
  </si>
  <si>
    <t>OFICINA DE TASACIONES Y PROYECTOS ECONOMICOS SRL OTPRESA</t>
  </si>
  <si>
    <t>Total  Diseño y Proyecto</t>
  </si>
  <si>
    <t xml:space="preserve"> Publicidad: Medios Tradicionales y Digitales</t>
  </si>
  <si>
    <t>Total  Publicidad: Medios Tradicionales y Digitales</t>
  </si>
  <si>
    <t>Percentage of total</t>
  </si>
  <si>
    <t>LineAmount</t>
  </si>
  <si>
    <t>ANTICIPO AQUINO</t>
  </si>
  <si>
    <t>MARY VANGIE GRULLON CACERES</t>
  </si>
  <si>
    <t>ANTICIPO MARY</t>
  </si>
  <si>
    <t>ONEIDA MARIA FRIAS PADILLA</t>
  </si>
  <si>
    <t>PO--020</t>
  </si>
  <si>
    <t>Preliminares de Obra</t>
  </si>
  <si>
    <t>LMCAD ESTUDIO DE ANIMACION SRL</t>
  </si>
  <si>
    <t>ACUMULADO AGOSTO 2024</t>
  </si>
  <si>
    <t>As at 30 September 2024</t>
  </si>
  <si>
    <t xml:space="preserve"> Costo Urbanismo,  Gerencia de Construcción,  Publicidad: Medios Tradicionales y Digitales</t>
  </si>
  <si>
    <t>Total  Costo Urbanismo,  Gerencia de Construcción,  Publicidad: Medios Tradicionales y Digitales</t>
  </si>
  <si>
    <t xml:space="preserve"> Eventos Publicitarios y Material Promocional</t>
  </si>
  <si>
    <t>INMOBILIARIA PEREZ &amp; PINEDA SRL</t>
  </si>
  <si>
    <t>Total  Eventos Publicitarios y Material Promocional</t>
  </si>
  <si>
    <t>Approved and paid</t>
  </si>
  <si>
    <t>For the period 1 September 2014 to 30 September 2024</t>
  </si>
  <si>
    <t>Source contains Payable Prepayment</t>
  </si>
  <si>
    <t>Status contains Accepted, Approved, Billed, Current, Invoiced, Sent</t>
  </si>
  <si>
    <t>Last Payment Date</t>
  </si>
  <si>
    <t>Net (DOP)</t>
  </si>
  <si>
    <t>Balance (Source)</t>
  </si>
  <si>
    <t>PAGO DUPLICADO INV. BRICKET</t>
  </si>
  <si>
    <t>LUCES INDUSTRIALES SRL</t>
  </si>
  <si>
    <t>ANTICIPO WORLD SIGN</t>
  </si>
  <si>
    <t>Eventos Publicitarios y Material Promocional</t>
  </si>
  <si>
    <t>30 Sep 2024</t>
  </si>
  <si>
    <t>0.0165736 USD (United States Dollar)</t>
  </si>
  <si>
    <t>CONTROL PRESUPUESTAL</t>
  </si>
  <si>
    <t>ADI MARZO-24</t>
  </si>
  <si>
    <t>ADI AGO-24</t>
  </si>
  <si>
    <t>Fondo de Contingencia</t>
  </si>
  <si>
    <t>ACUMULADO SEPTIEMBRE 2024</t>
  </si>
  <si>
    <t>PERMISOS PRELIMINARES DEL PROYECTO</t>
  </si>
  <si>
    <t>Gerencia Construcción</t>
  </si>
  <si>
    <t>Gerencia Promotora</t>
  </si>
  <si>
    <t>Gerencia de Ventas(Adm Ventas)</t>
  </si>
  <si>
    <t>Comisiones de Ventas</t>
  </si>
  <si>
    <t>Aged Payables Detail</t>
  </si>
  <si>
    <t>As at 30 November 2024</t>
  </si>
  <si>
    <t>Invoice Reference</t>
  </si>
  <si>
    <t>B0100000159</t>
  </si>
  <si>
    <t>Total  Gerencia de Construcción</t>
  </si>
  <si>
    <t>20241120</t>
  </si>
  <si>
    <t xml:space="preserve"> Gerencia de Ventas</t>
  </si>
  <si>
    <t>MATASIETE SRL</t>
  </si>
  <si>
    <t>B0100000496</t>
  </si>
  <si>
    <t>Total  Gerencia de Ventas</t>
  </si>
  <si>
    <t>ESTRUCTURAS PUBLICITARIAS Y GRAFICOS EPUGRAF SRL</t>
  </si>
  <si>
    <t>B0100000046</t>
  </si>
  <si>
    <t>B0100000048</t>
  </si>
  <si>
    <t>B0100008807</t>
  </si>
  <si>
    <t>B0100000158</t>
  </si>
  <si>
    <t>No</t>
  </si>
  <si>
    <t>Código de presupuesto</t>
  </si>
  <si>
    <t>Monto del presupuesto original</t>
  </si>
  <si>
    <t>Cambio de presupuesto</t>
  </si>
  <si>
    <t>Monto Total Presupuestado</t>
  </si>
  <si>
    <t>Monto Total Comprometido</t>
  </si>
  <si>
    <t>Trabajo Ejectutado</t>
  </si>
  <si>
    <t>FONDO DE CONTINGENCIA</t>
  </si>
  <si>
    <t>ANTICIPO EMPACA</t>
  </si>
  <si>
    <t>RIOS &amp; ASOCIADOS ABOGADOS CONSULTORES S R L</t>
  </si>
  <si>
    <t>ANTICIPO RIOS LEGAL</t>
  </si>
  <si>
    <t>ANTICIPO LMCAD</t>
  </si>
  <si>
    <t>30 Nov 2024</t>
  </si>
  <si>
    <t>Cuentas por Cobrar Compañía Relacionada USD</t>
  </si>
  <si>
    <t>Costos de Construcción</t>
  </si>
  <si>
    <t>Otros Costos</t>
  </si>
  <si>
    <t>Depósitos Diferidos de Clientes</t>
  </si>
  <si>
    <t>Retención 100% ITBIS. Personas Físicas</t>
  </si>
  <si>
    <t>Retención 30% ITBIS Jurídica</t>
  </si>
  <si>
    <t>Retención ISR Personas Físicas 10%</t>
  </si>
  <si>
    <t>0.0165700 USD (United States Dollar)</t>
  </si>
  <si>
    <t>POR PAGAR DE LO COMPROMETIDO</t>
  </si>
  <si>
    <t>Depósitos de Clientes</t>
  </si>
  <si>
    <t>ACUMULADO NOVIEMBRE 2024</t>
  </si>
  <si>
    <t>ADMINISTRACION FIDUCIARIA</t>
  </si>
  <si>
    <t>As at 31 December 2024</t>
  </si>
  <si>
    <t>31 Dec 2024</t>
  </si>
  <si>
    <t>Retención ISR Exterior 27%</t>
  </si>
  <si>
    <r>
      <rPr>
        <b/>
        <sz val="9"/>
        <color theme="1"/>
        <rFont val="Arial"/>
        <family val="2"/>
      </rPr>
      <t>[FX]</t>
    </r>
    <r>
      <rPr>
        <sz val="11"/>
        <color theme="1"/>
        <rFont val="Calibri"/>
        <family val="2"/>
        <scheme val="minor"/>
      </rPr>
      <t xml:space="preserve"> Exchange rates used to convert foreign currency into DOP are shown below. Rates are provided by XE.com unless otherwise stated.</t>
    </r>
  </si>
  <si>
    <t>0.0163669 USD (United States Dollar)</t>
  </si>
  <si>
    <t>1-8 - FONDO DE CONTINGENCIA</t>
  </si>
  <si>
    <t>Description</t>
  </si>
  <si>
    <t>TrackingName1</t>
  </si>
  <si>
    <t>Para Registrar el anticipo realizado por Tecnica MMHB por gestion Confotur. Pendiente reembolso PO--036</t>
  </si>
  <si>
    <t>Avance 25% PO--018 Renders y Maqueta Digital Araya</t>
  </si>
  <si>
    <t>PO--021</t>
  </si>
  <si>
    <t>ANTICIPO COT 94 PRUEBA DE INFILTRACION Y BOMBEO ARAYA</t>
  </si>
  <si>
    <t>Due Date</t>
  </si>
  <si>
    <t>&lt; 1 Month</t>
  </si>
  <si>
    <t>1 Month</t>
  </si>
  <si>
    <t>2 Months</t>
  </si>
  <si>
    <t>3 Months</t>
  </si>
  <si>
    <t>Older</t>
  </si>
  <si>
    <t>COSTO DE OBRA</t>
  </si>
  <si>
    <t>Total ADVANCEBAU LLC</t>
  </si>
  <si>
    <t>Total ESTRUCTURAS PUBLICITARIAS Y GRAFICOS EPUGRAF SRL</t>
  </si>
  <si>
    <t>B0100000500</t>
  </si>
  <si>
    <t>Total MATASIETE SRL</t>
  </si>
  <si>
    <t>EPUGRAF</t>
  </si>
  <si>
    <t>WORDSING</t>
  </si>
  <si>
    <t>LMCAD</t>
  </si>
  <si>
    <t>4S</t>
  </si>
  <si>
    <t>TURISMO</t>
  </si>
  <si>
    <t>RIOS</t>
  </si>
  <si>
    <t>MIVHED</t>
  </si>
  <si>
    <t>ACUMULADO DICIEMBRE 2024</t>
  </si>
  <si>
    <t>As at 31 January 2025</t>
  </si>
  <si>
    <t>31 Jan 2025</t>
  </si>
  <si>
    <t>Popular Cta Ahorro No. 845567916</t>
  </si>
  <si>
    <t>Popular Cta Corriente No. 845567809</t>
  </si>
  <si>
    <t>Resultado del Ejercicio</t>
  </si>
  <si>
    <t>0.0161926 USD (United States Dollar)</t>
  </si>
  <si>
    <t>Modificaciones presupuestarias aprobadas</t>
  </si>
  <si>
    <t>Presupuesto proyectado</t>
  </si>
  <si>
    <t>Costos comprometidos</t>
  </si>
  <si>
    <t>Costos de trabajo a la fecha</t>
  </si>
  <si>
    <t>TrackingOption2</t>
  </si>
  <si>
    <t>1-2 DiseÃ±o y Proyecto</t>
  </si>
  <si>
    <t>2-4 Gerencia de Mercadeo</t>
  </si>
  <si>
    <t>2-4-2 Medios Digitales (Redes Sociales)</t>
  </si>
  <si>
    <t>ADVANTAGE CARO ARTICULOS PROMOCIONALES EIRL</t>
  </si>
  <si>
    <t>ANTICIPO PO--049 LETREROS EN ACRILICO</t>
  </si>
  <si>
    <t>2-4-3 Medios Tradicionales (Ferias - Eventos - Vallas - POP)</t>
  </si>
  <si>
    <t>3-1 Permisos Legales y Preliminares</t>
  </si>
  <si>
    <t>3-1-1 Permisos Legales y Preliminares</t>
  </si>
  <si>
    <t>Current</t>
  </si>
  <si>
    <t>AUXILIAR</t>
  </si>
  <si>
    <t>B01000000629</t>
  </si>
  <si>
    <t xml:space="preserve"> 2-4 Gerencia de Mercadeo</t>
  </si>
  <si>
    <t xml:space="preserve"> 2-4-5 Gastos Operativos Mercadeo</t>
  </si>
  <si>
    <t>Total ACERVO INMOBILIARIO SRL</t>
  </si>
  <si>
    <t xml:space="preserve"> 1-2 Diseño y Proyecto</t>
  </si>
  <si>
    <t xml:space="preserve"> 2-4-3 Medios Tradicionales (Ferias - Eventos - Val</t>
  </si>
  <si>
    <t>IVANNA ADALGISA CANDELIER JEREZ</t>
  </si>
  <si>
    <t>B0100000056</t>
  </si>
  <si>
    <t>Total IVANNA ADALGISA CANDELIER JEREZ</t>
  </si>
  <si>
    <t>RABEIKA LISSELOTE MESSINA CRUZ</t>
  </si>
  <si>
    <t>B0100000226</t>
  </si>
  <si>
    <t>Total RABEIKA LISSELOTE MESSINA CRUZ</t>
  </si>
  <si>
    <t>B0100000165</t>
  </si>
  <si>
    <t xml:space="preserve"> 2-4-4 Gastos Operativos Oficina de ventas</t>
  </si>
  <si>
    <t>B0100000166</t>
  </si>
  <si>
    <t xml:space="preserve"> 1-6 Gerencia de Construcción</t>
  </si>
  <si>
    <t>Total TECNICA MMHB SRL</t>
  </si>
  <si>
    <t>ACUMULADO ENERO 2025</t>
  </si>
  <si>
    <t>As at 28 February 2025</t>
  </si>
  <si>
    <t>28 Feb 2025</t>
  </si>
  <si>
    <t>Otros impuestos</t>
  </si>
  <si>
    <t>0.0160285 USD (United States Dollar)</t>
  </si>
  <si>
    <t>Presupuesto revisado</t>
  </si>
  <si>
    <t>RAFAEL ANTONIO BADIA CASTAÑOS</t>
  </si>
  <si>
    <t>Desistimiento Unidad 10-101.</t>
  </si>
  <si>
    <t>Desistimiento por Pagar</t>
  </si>
  <si>
    <t xml:space="preserve"> 1-2-1 Diseño y Proyecto</t>
  </si>
  <si>
    <t>Total  1-2 Diseño y Proyecto</t>
  </si>
  <si>
    <t>B0100000344</t>
  </si>
  <si>
    <t xml:space="preserve"> 2-4-2 Medios Digitales (Redes Sociales)</t>
  </si>
  <si>
    <t>B0100009020</t>
  </si>
  <si>
    <t>B0100001244</t>
  </si>
  <si>
    <t>Total  2-4 Gerencia de Mercadeo</t>
  </si>
  <si>
    <t>Otros impuestos pagados</t>
  </si>
  <si>
    <t>ACUMULADO FEBRERO 2025</t>
  </si>
  <si>
    <t xml:space="preserve">Juan Jose Tejada </t>
  </si>
  <si>
    <t>Auditoria EDGE</t>
  </si>
  <si>
    <t>Fiduciaria</t>
  </si>
  <si>
    <t>Comision</t>
  </si>
  <si>
    <t>As at 25 March 2025</t>
  </si>
  <si>
    <t>25 Mar 2025</t>
  </si>
  <si>
    <t>0.0158275 USD (United States Dollar)</t>
  </si>
  <si>
    <t>B0100002224</t>
  </si>
  <si>
    <t>INT-007999</t>
  </si>
  <si>
    <t>ACUMULADO MARZO 2025</t>
  </si>
  <si>
    <t>As at 31 March 2025</t>
  </si>
  <si>
    <t>31 Mar 2025</t>
  </si>
  <si>
    <t>0.0159076 USD (United States Dollar)</t>
  </si>
  <si>
    <t>SC-018 PRUEBA DE INFILTRACION Y BOMBEO ARAYA</t>
  </si>
  <si>
    <t>Gestion Confotur. PO--036</t>
  </si>
  <si>
    <t>PO--071 PERMISO POZO</t>
  </si>
  <si>
    <t>TESSERA SRL</t>
  </si>
  <si>
    <t>B0100001274</t>
  </si>
  <si>
    <t xml:space="preserve"> 3-1 Permisos Legales y Preliminares</t>
  </si>
  <si>
    <t>JAWE AUDITORES Y CONSULTORES FINANCIEROS SRL</t>
  </si>
  <si>
    <t>B0100000066</t>
  </si>
  <si>
    <t xml:space="preserve"> 3-1-1 Permisos Legales y Preliminares</t>
  </si>
  <si>
    <t>Total  3-1 Permisos Legales y Preliminares</t>
  </si>
  <si>
    <t>Número</t>
  </si>
  <si>
    <t>Compañía contratista</t>
  </si>
  <si>
    <t>Título</t>
  </si>
  <si>
    <t>Monto del contrato revisado</t>
  </si>
  <si>
    <t>Facturado</t>
  </si>
  <si>
    <t>Pagos emitidos</t>
  </si>
  <si>
    <t>Saldo restante pendiente</t>
  </si>
  <si>
    <t>PO--015</t>
  </si>
  <si>
    <t>PO--035</t>
  </si>
  <si>
    <t>PO--034</t>
  </si>
  <si>
    <t>PO--064</t>
  </si>
  <si>
    <t>PO--059</t>
  </si>
  <si>
    <t>PO--069</t>
  </si>
  <si>
    <t>PO--074</t>
  </si>
  <si>
    <t>INVERSIONES CUADRANTES SRL</t>
  </si>
  <si>
    <t>PO--083</t>
  </si>
  <si>
    <t>ALEJANDRO MICHELENA</t>
  </si>
  <si>
    <t>PO--070</t>
  </si>
  <si>
    <t>PO--072</t>
  </si>
  <si>
    <t>2-4-5 Gastos Operativos Mercadeo</t>
  </si>
  <si>
    <t>PO--080</t>
  </si>
  <si>
    <t>2-4-4 Gastos Operativos Oficina de ventas</t>
  </si>
  <si>
    <t>PO--077</t>
  </si>
  <si>
    <t>2-2-2 Administracion de Ventas</t>
  </si>
  <si>
    <t>TECNICA</t>
  </si>
  <si>
    <t>PO--036</t>
  </si>
  <si>
    <t>SC--047</t>
  </si>
  <si>
    <t>MINISTERIO DE TURISMO</t>
  </si>
  <si>
    <t>SC--048</t>
  </si>
  <si>
    <t>MINISTERIO DE LA VIVIENDA HABITAT Y EDIFICACIONES MIVHED</t>
  </si>
  <si>
    <t>PO--079</t>
  </si>
  <si>
    <t>1-6 Gerencia de Construcción</t>
  </si>
  <si>
    <t>PO--081</t>
  </si>
  <si>
    <t>2-1-1 Gerencia de la Promotora</t>
  </si>
  <si>
    <t>PO--086</t>
  </si>
  <si>
    <t>TESSERA SRL (PLUSVAL PATROCINIO)</t>
  </si>
  <si>
    <t>REDES SOCIALES ADS (FACEBOOK Y GOOGLE)</t>
  </si>
  <si>
    <t>LUIS VALDEZ (PRODUCCION AUDIOVISUAL)</t>
  </si>
  <si>
    <t>LANZAMIENTO COMERCIAL</t>
  </si>
  <si>
    <t>CREDITO PUENTE</t>
  </si>
  <si>
    <t>Equipo de Trabajo de Ventas</t>
  </si>
  <si>
    <t>Administración de la Venta</t>
  </si>
  <si>
    <t>As at 30 April 2025</t>
  </si>
  <si>
    <t>30 Apr 2025</t>
  </si>
  <si>
    <t>Cuentas por Pagar Compañías Relacionadas en DOP</t>
  </si>
  <si>
    <t>0.0169487 USD (United States Dollar)</t>
  </si>
  <si>
    <t>Depósitos Diferidos de Clientes Transactions</t>
  </si>
  <si>
    <t>Suma de Devoluciones</t>
  </si>
  <si>
    <t>Suma de Aportes</t>
  </si>
  <si>
    <t>Cuenta de Contact</t>
  </si>
  <si>
    <t>Suma de Balance</t>
  </si>
  <si>
    <t>Estatus</t>
  </si>
  <si>
    <t>Devoluciones</t>
  </si>
  <si>
    <t>Aportes</t>
  </si>
  <si>
    <t>Conteo</t>
  </si>
  <si>
    <t>Balance</t>
  </si>
  <si>
    <t>Depurado</t>
  </si>
  <si>
    <t>For the period 1 April 2015 to 30 April 2025</t>
  </si>
  <si>
    <t>Desistido</t>
  </si>
  <si>
    <t>En Proceso</t>
  </si>
  <si>
    <t>Retirados</t>
  </si>
  <si>
    <t>ALBANIA DELGADO</t>
  </si>
  <si>
    <t>ALEXANDER VALIDO</t>
  </si>
  <si>
    <t>ALICIA SANTOS</t>
  </si>
  <si>
    <t>ANDREA RAQUEL ALVAREZ QUEZADA</t>
  </si>
  <si>
    <t>ARTURO ALEJANDRO NUÑEZ</t>
  </si>
  <si>
    <t>AYMEE MIRANDA ARTEAGA</t>
  </si>
  <si>
    <t>BETTY CELESTE PAULINO CRUZ</t>
  </si>
  <si>
    <t>CLARIBEL PENA YAPORT</t>
  </si>
  <si>
    <t>DANIEL ALEJANDRO ROJAS ARMAND</t>
  </si>
  <si>
    <t>DARREN LAMAR BARNES</t>
  </si>
  <si>
    <t>ELBA IRIS CASILLAS</t>
  </si>
  <si>
    <t>ERIKA JOSEFINA DIAZ CARDENAS</t>
  </si>
  <si>
    <t>HENRY VILLETA</t>
  </si>
  <si>
    <t>IRCANIA CLARIBEL VALERA</t>
  </si>
  <si>
    <t>JAYFA NISSET CONTI</t>
  </si>
  <si>
    <t>JESÚS ENRIQUE GUEVARA ADAMES</t>
  </si>
  <si>
    <t>JHOAN ALCANTARA</t>
  </si>
  <si>
    <t>JOSE ARSENIO NAZARIO</t>
  </si>
  <si>
    <t>JULIO ALICEA RAMOS</t>
  </si>
  <si>
    <t>KENIA MARIA PINA NOLASCO</t>
  </si>
  <si>
    <t>LAURA PEREZ SORIANO</t>
  </si>
  <si>
    <t>LUIS ERIC CASTILLO</t>
  </si>
  <si>
    <t>LYNNA VALERA</t>
  </si>
  <si>
    <t>MARIA DIAZ</t>
  </si>
  <si>
    <t>MARIDANIA ALTAGRACIA ESTRELLA</t>
  </si>
  <si>
    <t>MASSIEL ELVIRA CEPEDA DOMINGUEZ</t>
  </si>
  <si>
    <t>MONICA LEMUS</t>
  </si>
  <si>
    <t>NEFTALÍ GONZÁLEZ</t>
  </si>
  <si>
    <t>NELSON MIGUEL MAPP SIERRA</t>
  </si>
  <si>
    <t>PABLO VACA VINUEZA</t>
  </si>
  <si>
    <t>RENE PENALOZA</t>
  </si>
  <si>
    <t>RICARDO OGANDO LORENZO</t>
  </si>
  <si>
    <t>ROSA OGANDO PEREZ</t>
  </si>
  <si>
    <t>ROSA TORRES POLANCO</t>
  </si>
  <si>
    <t>SERGIO ALEJANDRO PENALOSA</t>
  </si>
  <si>
    <t>STEPHEN OMAR CURTIS</t>
  </si>
  <si>
    <t>URBENEY ALFARO GAINZA</t>
  </si>
  <si>
    <t>VÍCTOR RAFAEL SIERRA</t>
  </si>
  <si>
    <t>WILLVIN ENMANUEL GOMEZ CONTRERAS</t>
  </si>
  <si>
    <t>YANELA HERNANDEZ</t>
  </si>
  <si>
    <t>ZAIDA JACKELINE ACTA CARABALLO DE CAMILO</t>
  </si>
  <si>
    <t xml:space="preserve">SC--056 Proforma QU-0007 </t>
  </si>
  <si>
    <t>1-4 Urbanismo</t>
  </si>
  <si>
    <t>1-4-1 Urbanismo</t>
  </si>
  <si>
    <t>B0100000172</t>
  </si>
  <si>
    <t xml:space="preserve"> 1-4 Urbanismo</t>
  </si>
  <si>
    <t>THALIAN ELIZABETH SANCHEZ CATANO</t>
  </si>
  <si>
    <t>B0100000372</t>
  </si>
  <si>
    <t xml:space="preserve"> 1-4-1 Urbanismo</t>
  </si>
  <si>
    <t>CONSTRUCTORA FELIX CAMPOS SRL</t>
  </si>
  <si>
    <t>B0100000088</t>
  </si>
  <si>
    <t>B0100000375</t>
  </si>
  <si>
    <t>Total  1-4 Urbanismo</t>
  </si>
  <si>
    <t>B0100000170</t>
  </si>
  <si>
    <t xml:space="preserve"> 1-6-1 Gerencia de Construccion</t>
  </si>
  <si>
    <t>1-6-1 Gerencia de Construccion</t>
  </si>
  <si>
    <t>Total  1-6 Gerencia de Construcción</t>
  </si>
  <si>
    <t>INT-008342</t>
  </si>
  <si>
    <t>B0100000171</t>
  </si>
  <si>
    <t xml:space="preserve"> 2-4-1 Apartamento Modelo (Equipamiento)/Show Room</t>
  </si>
  <si>
    <t>PAGO EXT 14-04-2025</t>
  </si>
  <si>
    <t>COSFREYCAM TROPICAL S A S</t>
  </si>
  <si>
    <t>B0100002268</t>
  </si>
  <si>
    <t>SEGURIDAD INVESTIGACIONES Y PROTECCION HISPANIOLA SRL</t>
  </si>
  <si>
    <t>B0100005143</t>
  </si>
  <si>
    <t>REDES SOCIALES -FB-GOOGLE-</t>
  </si>
  <si>
    <t>REDES SOCIALES FEB-25</t>
  </si>
  <si>
    <t>GRUPO ASTRO SRL</t>
  </si>
  <si>
    <t>B0100296245</t>
  </si>
  <si>
    <t>REDES SOCIALES MAR-25</t>
  </si>
  <si>
    <t>Código de presupuesto &gt; Código de presupuesto</t>
  </si>
  <si>
    <t>Código de presupuesto &gt; Descripción del código de presupuesto</t>
  </si>
  <si>
    <t>Compañía (Proveedor) &gt; Nombre</t>
  </si>
  <si>
    <t>Contrato &gt; Número</t>
  </si>
  <si>
    <t>Contrato &gt; Título</t>
  </si>
  <si>
    <t>Partida de contrato &gt; Monto</t>
  </si>
  <si>
    <t>Partida de orden de cambio del contrato &gt; Monto</t>
  </si>
  <si>
    <t>Columnas personalizadas &gt; Monto Contrato Ajustado</t>
  </si>
  <si>
    <t>Columnas personalizadas &gt; Costos de proyecto hasta la fecha</t>
  </si>
  <si>
    <t xml:space="preserve">Columnas personalizadas &gt; Restante/Faltante </t>
  </si>
  <si>
    <t>Por pagar</t>
  </si>
  <si>
    <t>ESTUDIOS-Total</t>
  </si>
  <si>
    <t>DISEÑO Y ARQUITECTURA-Total</t>
  </si>
  <si>
    <t>TRAMITACION MINISTERIO DE VIVIENDA</t>
  </si>
  <si>
    <t>PO--091</t>
  </si>
  <si>
    <t>ACTIVIDADES VARIAS DE PRELIMINARES Y DISENNOS DEL PROYECTO</t>
  </si>
  <si>
    <t>INGENIERIAS-Total</t>
  </si>
  <si>
    <t>Revisión y Firma de los Planos Sanitarios y la Memoria Hidráulica</t>
  </si>
  <si>
    <t>COMPUTOS-Total</t>
  </si>
  <si>
    <t>1-4-12-PAISA.T</t>
  </si>
  <si>
    <t>PAISAJISMO-Total</t>
  </si>
  <si>
    <t>SC--060</t>
  </si>
  <si>
    <t>Recoleccion de Guayiga aproximadamente 5000 especies</t>
  </si>
  <si>
    <t>PO--078</t>
  </si>
  <si>
    <t>LIMPIEZA PARA ADECUACION DE TERRENO PARA LA CONSTRUCCION DE COMEDOR COCINA Y ADECUACION DE VIVERO</t>
  </si>
  <si>
    <t>PO--076</t>
  </si>
  <si>
    <t xml:space="preserve"> Identificación de árboles  y cobertores protegidos (Paisajismo)</t>
  </si>
  <si>
    <t>INSTALACIONES PROVISIONALES-Total</t>
  </si>
  <si>
    <t>SC--056</t>
  </si>
  <si>
    <t>Instalaciones provisionales campamento de obra y modulación aptos</t>
  </si>
  <si>
    <t>1-4-4-MOV10.T</t>
  </si>
  <si>
    <t>PERFILADO Y COMPACTACION FINAL DE AREAS DE VIALIDAD Y PARQUEOS-Total</t>
  </si>
  <si>
    <t>GONDAR COMERCIAL SRL</t>
  </si>
  <si>
    <t>SC--057</t>
  </si>
  <si>
    <t>URBANISMO MOVIMIENTO DE TIERRA FASE I 26 EDIFICOS ETAPA 1 AREA APROXIMADA 25.000 M2</t>
  </si>
  <si>
    <t>1-4-4-MOV11.T</t>
  </si>
  <si>
    <t>PERFILADO Y COMPACTACION FINAL DE AREAS DE EDIFICACIONES-Total</t>
  </si>
  <si>
    <t>1-4-4-MOV12.T</t>
  </si>
  <si>
    <t>LIMPIEZA FINAL MOVIMIENTO DE TIERRAS-Total</t>
  </si>
  <si>
    <t>1-4-4-MOV2.T</t>
  </si>
  <si>
    <t>MOVILIZACION Y DESMOVILIZACION-Total</t>
  </si>
  <si>
    <t>1-4-4-MOV3.T</t>
  </si>
  <si>
    <t>DESBROCE Y LIMPIEZA INCLUYE REMOCION CAPA VEGETAL-Total</t>
  </si>
  <si>
    <t>1-4-4-MOV4.T</t>
  </si>
  <si>
    <t>SUMINISTRO ACARREO REGADO NIVELADO Y COMPACTADO MATERIAL DE RELLENO EN AREA GENERAL DE TERRENO-Total</t>
  </si>
  <si>
    <t>SC--058</t>
  </si>
  <si>
    <t>Trabajos de Actividades de adecuaciones  Varias en la Ejecución del Proyecto Araya</t>
  </si>
  <si>
    <t>1-4-4-MOV5.T</t>
  </si>
  <si>
    <t>CORTE GENERAL EN AREAS DE TERRAZAS VIALIDAD PARQUEOS Y AREAS COMUNES-Total</t>
  </si>
  <si>
    <t>1-4-4-MOV6.T</t>
  </si>
  <si>
    <t>CORTE GENERAL PARA MEJORAMIENTO DE DOLINAS-Total</t>
  </si>
  <si>
    <t>1-4-4-MOV7.T</t>
  </si>
  <si>
    <t>SUMINISTRO ACARREO, REGADO NIVELADO Y COMPACTADO MATERIAL DE RELLENO EN AREA DE VIALIDAD PARQUEOS Y TERRAZAS-Total</t>
  </si>
  <si>
    <t>1-4-4-MOV8.T</t>
  </si>
  <si>
    <t>BOTE DE MATERIAL EXCAVADO INCLUYE CARGA-Total</t>
  </si>
  <si>
    <t>1-4-4-MOV9.T</t>
  </si>
  <si>
    <t>BOTE DE MATERIAL PROVENIENTE DEL DESBROCE Y LIMPIEZA INCLUYE CARGA-Total</t>
  </si>
  <si>
    <t>1-4-6-SA02-PTAP02.T</t>
  </si>
  <si>
    <t>CONSTRUCCION DE EQUIPO DE IMPULSION DE POZO SUBTERRANEO A TANQUE SEMIENTARRADO-Total</t>
  </si>
  <si>
    <t>SISTEMAS HIDROSANITARIOS ASESORIA AMBIENTAL SRL</t>
  </si>
  <si>
    <t>SC--061</t>
  </si>
  <si>
    <t xml:space="preserve"> SUMINISTRO  COLOCACION Y PUESTA EN MARCHA EQUIPO DE BOMBEO POZO No. 2</t>
  </si>
  <si>
    <t>1-4-7-IELEC05-IELEC0514.T</t>
  </si>
  <si>
    <t>SI DE ALIMENTADOR ELÉCTRICO 3F EN CABLE 6N°3/0AWG(FASES)+2N°3/0AWG(NEUTRO)+1N°1/0AWG(TIERRA) AL SERIE 8000 THHWN-2 PARA CONEXIÓN ENTRE EL MEDIDOR Y EL TABLERO DE PISCINA T-PISC-Total</t>
  </si>
  <si>
    <t>BELLON SAS</t>
  </si>
  <si>
    <t>PO--090</t>
  </si>
  <si>
    <t>MATERIALES ACOMETIDA ELECTRICA POZO AGUA POTABLE  #2</t>
  </si>
  <si>
    <t>PO--092</t>
  </si>
  <si>
    <t>MATERIALES ACOMETIDA ELECTRICA POZO AGUA POTABLE  #3</t>
  </si>
  <si>
    <t>COSTO GERENCIA DE CONSTRUCCION-Total</t>
  </si>
  <si>
    <t>Gerencia de Construccion Marzo 2025</t>
  </si>
  <si>
    <t>MARKETING DIGITAL</t>
  </si>
  <si>
    <t>PO--066</t>
  </si>
  <si>
    <t>REEMBOLSO REDES SOCIALES FEB-25</t>
  </si>
  <si>
    <t>Actualizacion Renders Araya 3D y 4D</t>
  </si>
  <si>
    <t>Gastos Operativos Showroom Marzo 2025</t>
  </si>
  <si>
    <t xml:space="preserve">Honorarios Servicios videos fotos dron </t>
  </si>
  <si>
    <t>ALQULER DE VALLAS MAY-JUL 2025</t>
  </si>
  <si>
    <t>PO--087</t>
  </si>
  <si>
    <t>REEMBOLSO REDES SOCIALES MAR-25</t>
  </si>
  <si>
    <t>PO--088</t>
  </si>
  <si>
    <t>Seguridad Area showroom mes de Abril</t>
  </si>
  <si>
    <t>PO--093</t>
  </si>
  <si>
    <t>Honorarios por Servicios de Promoción y Mercadeo Abr-25</t>
  </si>
  <si>
    <t/>
  </si>
  <si>
    <t>SC--059</t>
  </si>
  <si>
    <t>Mantenimiento de Paisajismo Area showroom</t>
  </si>
  <si>
    <t>GRUPO ASTRO</t>
  </si>
  <si>
    <t>PO--073</t>
  </si>
  <si>
    <t>Brochure y Lanyard Material POP</t>
  </si>
  <si>
    <t>REDES SOCIALES ADS (FACEBOOK Y GOOGLE) (5 MESES)</t>
  </si>
  <si>
    <t>ACERVO HONORARIOS  (5 MESES)</t>
  </si>
  <si>
    <t>SEGURIDAD (5 MESES)</t>
  </si>
  <si>
    <t>REEMBOLSO GASTOS OPERATIVOS SHOWROOM (5 MESES)</t>
  </si>
  <si>
    <t>JAYSA Y OMAR MUEBLES</t>
  </si>
  <si>
    <t>PERMISOS LEGALES Y PRELIMINARES-Total</t>
  </si>
  <si>
    <t>NO OBJECION DE TURISMO</t>
  </si>
  <si>
    <t>HONORARIOS GESTIONES CONFOTUR</t>
  </si>
  <si>
    <t>LICENCIA DE CONSTRUCCION MIVHED</t>
  </si>
  <si>
    <t>No Procore</t>
  </si>
  <si>
    <t>Procore</t>
  </si>
  <si>
    <t>Presentación</t>
  </si>
  <si>
    <t>Comprobacion</t>
  </si>
  <si>
    <t>VALORES EN RD$</t>
  </si>
  <si>
    <t>TOTALES RD$</t>
  </si>
  <si>
    <t>Prestamo Bak</t>
  </si>
  <si>
    <t>PRESTAMO GRUPO BAK</t>
  </si>
  <si>
    <t>ACUMULADO ABRIL 2025</t>
  </si>
  <si>
    <t>For the period 1 May 2015 to 31 May 2025</t>
  </si>
  <si>
    <t>ALAM EMMANUEL GARCÍA PEREZ</t>
  </si>
  <si>
    <t>En Proceso 9-6-25</t>
  </si>
  <si>
    <t>ALEXIS N WEHBE</t>
  </si>
  <si>
    <t>Depurados en Junio</t>
  </si>
  <si>
    <t>No Enviado a Depurar</t>
  </si>
  <si>
    <t>BERTONY SIMILIEN</t>
  </si>
  <si>
    <t>CARLOS JOAN CHIRINOS ROMERO</t>
  </si>
  <si>
    <t>CRISTOPHER VEGA</t>
  </si>
  <si>
    <t>FERNANDO PAULINO CRUZ</t>
  </si>
  <si>
    <t>GENESIS NAZARETH VERGARA BALDALLO</t>
  </si>
  <si>
    <t>IANNA PAIU LEAL QUINTERO</t>
  </si>
  <si>
    <t>JARONIL ANTONIO ARVELO</t>
  </si>
  <si>
    <t>JEANCARLOS ALVAREZ</t>
  </si>
  <si>
    <t>JENNIESKA ALTAGRACIA ALFONSO RAMIREZ</t>
  </si>
  <si>
    <t>KIMAIRY POL VASQUEZ</t>
  </si>
  <si>
    <t>MABELYN ALVA</t>
  </si>
  <si>
    <t>MARIANNY MONTERO DE DELROSARIO</t>
  </si>
  <si>
    <t>MARIO FABIAN FERNANDEZ</t>
  </si>
  <si>
    <t>NELSON ARGENIS CABRERA</t>
  </si>
  <si>
    <t>NELVIN DE LA CRUZ</t>
  </si>
  <si>
    <t>NICOLAS ESPIRITUSANTO</t>
  </si>
  <si>
    <t>NIURKELYN VALENTINA DUARTE TAVERAS</t>
  </si>
  <si>
    <t>ODELIS FERNANEZ</t>
  </si>
  <si>
    <t>ORLANDO SERRANO CANDELARIA</t>
  </si>
  <si>
    <t>RICHARD FREITES MEDEZ</t>
  </si>
  <si>
    <t>VIRGINIA VANESSA ALMONTE ROJAS</t>
  </si>
  <si>
    <t>WENDY YANEYRY LOWIS INDUSTRIS</t>
  </si>
  <si>
    <t>SC--061 Suministro y colocacion Equipo de Bombeo 70%</t>
  </si>
  <si>
    <t>SC--057 ANTICIPO LEVANTAMIENTO DE TIERRA</t>
  </si>
  <si>
    <t>As at 31 May 2025</t>
  </si>
  <si>
    <t>Desistimiento Unidad 9-201.</t>
  </si>
  <si>
    <t xml:space="preserve"> Desistimientos por Pagar</t>
  </si>
  <si>
    <t>Desistimiento Unidad 18-201.</t>
  </si>
  <si>
    <t>Desistimiento Unidad 15-101.</t>
  </si>
  <si>
    <t>Desistimiento Unidad 74-102.</t>
  </si>
  <si>
    <t xml:space="preserve"> 1-1 Terreno</t>
  </si>
  <si>
    <t>B0100000856</t>
  </si>
  <si>
    <t xml:space="preserve"> 1-1-1 Terreno</t>
  </si>
  <si>
    <t>Total  1-1 Terreno</t>
  </si>
  <si>
    <t xml:space="preserve">OFICINA DE TASACIONES Y PROYECTOS ECONOMICOS </t>
  </si>
  <si>
    <t>B0100000325</t>
  </si>
  <si>
    <t>LA SIERRA MULTISERVICIOS</t>
  </si>
  <si>
    <t>B0100000017</t>
  </si>
  <si>
    <t>INT-008578</t>
  </si>
  <si>
    <t>B0100002279</t>
  </si>
  <si>
    <t>B0100298519</t>
  </si>
  <si>
    <t>MEDIOS MASIVOS SAR SRL</t>
  </si>
  <si>
    <t>B0100008666</t>
  </si>
  <si>
    <t>B0100008675</t>
  </si>
  <si>
    <t>B0100000379</t>
  </si>
  <si>
    <t>B0100002317</t>
  </si>
  <si>
    <t>B0100002360</t>
  </si>
  <si>
    <t>HURUS CONSTRUCTION SRL</t>
  </si>
  <si>
    <t>B0100000044</t>
  </si>
  <si>
    <t>Pendiente de Pago</t>
  </si>
  <si>
    <t>COSTO ASOCIADO TERRENO-Total</t>
  </si>
  <si>
    <t>PO--109</t>
  </si>
  <si>
    <t>Tasacion Terreno</t>
  </si>
  <si>
    <t>PO--101</t>
  </si>
  <si>
    <t>Actualizacion Estudio Factibilidad</t>
  </si>
  <si>
    <t>LA SIERRA MULTISERVICIOS SRL</t>
  </si>
  <si>
    <t>PO--107</t>
  </si>
  <si>
    <t>SUMINISTRO Y COLOCACION DE REGULADOR DE VOLTAJE PARA FUNCIONAMIENTO DE POZO</t>
  </si>
  <si>
    <t>PRELIMINARES DE OBRA FALTANTE</t>
  </si>
  <si>
    <t>MOVIMIENTO DE TIERRA FALTANTE</t>
  </si>
  <si>
    <t>PORTAL Y CASETA</t>
  </si>
  <si>
    <t>OBRAS TERMINACION CAMPAMENTO</t>
  </si>
  <si>
    <t xml:space="preserve">MOVILIZACION Y MODULACION </t>
  </si>
  <si>
    <t>EDIFICIO MODELO</t>
  </si>
  <si>
    <t>Gerencia construcción</t>
  </si>
  <si>
    <t>GRUPO BAK</t>
  </si>
  <si>
    <t>MATASIETE</t>
  </si>
  <si>
    <t>Outsoursing RRHH Oficina de Ventas Abril 2025</t>
  </si>
  <si>
    <t>ACERVO INMOBILIARIO</t>
  </si>
  <si>
    <t>Honorarios Adm de Venta</t>
  </si>
  <si>
    <t>UNIVERSAL</t>
  </si>
  <si>
    <t>Comision Preventa</t>
  </si>
  <si>
    <t>Comision por Vinculacion</t>
  </si>
  <si>
    <t>PUBLICIDAD Y PROMOCION-Total</t>
  </si>
  <si>
    <t>PO--106</t>
  </si>
  <si>
    <t>Revista Inmobiliaria Construmedia</t>
  </si>
  <si>
    <t>PO--096</t>
  </si>
  <si>
    <t>MANTENIMIENTO DE PAISAJISMO MES DE ABRIL 2025</t>
  </si>
  <si>
    <t>PO--108</t>
  </si>
  <si>
    <t xml:space="preserve">Material Promocional </t>
  </si>
  <si>
    <t>PO--113</t>
  </si>
  <si>
    <t>Seguridad Area showroom mes de Mayo</t>
  </si>
  <si>
    <t>PO--102</t>
  </si>
  <si>
    <t>Alquiler de Valla mayo a julio 2025</t>
  </si>
  <si>
    <t>PO--098</t>
  </si>
  <si>
    <t>Modelado y Renderizado 3D interiores</t>
  </si>
  <si>
    <t>Honorarios Acervo</t>
  </si>
  <si>
    <t>Seguridad Showroom</t>
  </si>
  <si>
    <t>JERAMEEL NAIN CREATIVE MEDIA SRL</t>
  </si>
  <si>
    <t>PO--117</t>
  </si>
  <si>
    <t>Produccion Audiovisual</t>
  </si>
  <si>
    <t>MGC PROMOTIONS, S.R.L. (MAENO)</t>
  </si>
  <si>
    <t>PO--116</t>
  </si>
  <si>
    <t>Revistas y Prensa</t>
  </si>
  <si>
    <t>PO--115</t>
  </si>
  <si>
    <t>Alquiler de Rooftoop en La Bodega</t>
  </si>
  <si>
    <t>PO--120</t>
  </si>
  <si>
    <t>Brocure y Carpetas</t>
  </si>
  <si>
    <t>PO--119</t>
  </si>
  <si>
    <t>Lanyard</t>
  </si>
  <si>
    <t>PO--118</t>
  </si>
  <si>
    <t>Bolsos y Gorras</t>
  </si>
  <si>
    <t>Reembolsos</t>
  </si>
  <si>
    <t>Redes Sociales</t>
  </si>
  <si>
    <t>Reembolso Jaysa y Omar</t>
  </si>
  <si>
    <t>SC--064</t>
  </si>
  <si>
    <t>Responsabilidad Electrica Permisos y Preliminares Planos CEPM</t>
  </si>
  <si>
    <t>PO--104</t>
  </si>
  <si>
    <t>Talonarios para Bote de material de movimiento de tierra</t>
  </si>
  <si>
    <t>PO--071</t>
  </si>
  <si>
    <t>Solicitud de permisos Pozos</t>
  </si>
  <si>
    <t>31 May 2025</t>
  </si>
  <si>
    <t>1% Impuesto Retenido a Intereses Norma 13-11</t>
  </si>
  <si>
    <t>2-2-2 Administración de la Venta</t>
  </si>
  <si>
    <t>2-2-3 Equipo de Trabajo Oficina de Ventas</t>
  </si>
  <si>
    <t>2-3-1 Adm General de la Fiduciaria (Estruc. Post y Prev. Adm. Garantía)</t>
  </si>
  <si>
    <t>2-3-2 Debida Diligencia/Desvinculación-Fiduciaria</t>
  </si>
  <si>
    <t>2-4-1 Apartamento Modelo (Equipamiento)/Show Room</t>
  </si>
  <si>
    <t>Retención 100% ITBIS. Personas Jurídicas</t>
  </si>
  <si>
    <t>0.0169494 USD (United States Dollar)</t>
  </si>
  <si>
    <t>Valores RD$</t>
  </si>
  <si>
    <t>PUNTO DE EQUI.</t>
  </si>
  <si>
    <t>CRED. INTERINO</t>
  </si>
  <si>
    <t>Acumulado May-25</t>
  </si>
  <si>
    <t>Totales</t>
  </si>
  <si>
    <t>INGRESOS POR VENTAS</t>
  </si>
  <si>
    <t>PERMISOS Y PRELIMINARES</t>
  </si>
  <si>
    <t>Equipo y Administración de la Venta</t>
  </si>
  <si>
    <t>Gastos Financieros (15%)</t>
  </si>
  <si>
    <t>Precio promedio USD</t>
  </si>
  <si>
    <t>80 Und</t>
  </si>
  <si>
    <t>7% comision</t>
  </si>
  <si>
    <t>Tasa</t>
  </si>
  <si>
    <t>Proyección</t>
  </si>
  <si>
    <t>Proyección mensual</t>
  </si>
  <si>
    <t>SC--047 no objecion turismo</t>
  </si>
  <si>
    <t>As at 31 July 2025</t>
  </si>
  <si>
    <t>Desistimiento Unidad 8-201.</t>
  </si>
  <si>
    <t>Desistimiento Unidad 77-302.</t>
  </si>
  <si>
    <t>B0100000176</t>
  </si>
  <si>
    <t xml:space="preserve"> 1-7 Indirectos de Obra</t>
  </si>
  <si>
    <t>B0100005279</t>
  </si>
  <si>
    <t xml:space="preserve"> 1-7-4 Vigilancia</t>
  </si>
  <si>
    <t>B0100000177</t>
  </si>
  <si>
    <t xml:space="preserve"> 1-7-6 Campamento, 2-4-1 Apartamento Modelo (Equipamiento)/Show Room</t>
  </si>
  <si>
    <t>Total  1-7 Indirectos de Obra</t>
  </si>
  <si>
    <t xml:space="preserve"> 2-2 Gerencia de Ventas</t>
  </si>
  <si>
    <t>B0100000680</t>
  </si>
  <si>
    <t xml:space="preserve"> 2-2-3 Equipo de Trabajo Oficina de Ventas</t>
  </si>
  <si>
    <t>Total  2-2 Gerencia de Ventas</t>
  </si>
  <si>
    <t>PHRESH SRL</t>
  </si>
  <si>
    <t>B0100004484</t>
  </si>
  <si>
    <t>B0100001254</t>
  </si>
  <si>
    <t>REDES SOCIALES MAY-25</t>
  </si>
  <si>
    <t>B0100005212</t>
  </si>
  <si>
    <t>INT-008901</t>
  </si>
  <si>
    <t>B0100003019</t>
  </si>
  <si>
    <t>B0100002367</t>
  </si>
  <si>
    <t>B0100002395</t>
  </si>
  <si>
    <t>B0100002300</t>
  </si>
  <si>
    <t>B0100002412</t>
  </si>
  <si>
    <t>B0100008781</t>
  </si>
  <si>
    <t>B0100300431</t>
  </si>
  <si>
    <t>B0100082111</t>
  </si>
  <si>
    <t>B0100002105</t>
  </si>
  <si>
    <t>1-4-4-MOV1.T</t>
  </si>
  <si>
    <t>REPLANTEO CON ESTACION TOPOGRAFICA-Total</t>
  </si>
  <si>
    <t>SC--066</t>
  </si>
  <si>
    <t>SC--063</t>
  </si>
  <si>
    <t>ACOMETIDA ELECTRICA PARA FUNCIONAMIENTOPOZO #2</t>
  </si>
  <si>
    <t>TOPOGRAFIA</t>
  </si>
  <si>
    <t>ROCAENCA SRL</t>
  </si>
  <si>
    <t>CONTROL CALIDAD RELLENOS</t>
  </si>
  <si>
    <t>PO--127</t>
  </si>
  <si>
    <t>Gerencia de Construcción Jun-25</t>
  </si>
  <si>
    <t>COSTOS INDIRECTOS DE OBRA-Total</t>
  </si>
  <si>
    <t>PO--123</t>
  </si>
  <si>
    <t>Gastos showroom e indirectos abr-jun 2025</t>
  </si>
  <si>
    <t>PO--126</t>
  </si>
  <si>
    <t>Seguridad Area showroom mes de Junio 2025</t>
  </si>
  <si>
    <t>GERENCIA DE VENTAS-Total</t>
  </si>
  <si>
    <t>PO--111</t>
  </si>
  <si>
    <t>Honorarios por Gerencia Admin de la venta mayo 2025</t>
  </si>
  <si>
    <t>PO--128</t>
  </si>
  <si>
    <t>Honorarios por Gerencia Admin de la venta junio 2025</t>
  </si>
  <si>
    <t>PO--130</t>
  </si>
  <si>
    <t>Outsoursing RRHH Oficina de Ventas Junio 2025</t>
  </si>
  <si>
    <t>PO--065</t>
  </si>
  <si>
    <t>MUESTRAS DE CARNET</t>
  </si>
  <si>
    <t>PO--039</t>
  </si>
  <si>
    <t>DISEÑO BOTELLA AGUA - PUBLICIDAD</t>
  </si>
  <si>
    <t>SC--065</t>
  </si>
  <si>
    <t>Mantenimiento de Paisajismo Area showroom mayo2025-agosto2025</t>
  </si>
  <si>
    <t>Material promocional Lanyard</t>
  </si>
  <si>
    <t>PO--129</t>
  </si>
  <si>
    <t>Honorarios por Servicios de Promoción y Mercadeo Jun-25</t>
  </si>
  <si>
    <t>Material promocional brochure y carpetas</t>
  </si>
  <si>
    <t>PO--124</t>
  </si>
  <si>
    <t>REEMBOLSO REDES SOCIALES MAY-25</t>
  </si>
  <si>
    <t>Produccion Audiovisual Araya</t>
  </si>
  <si>
    <t>Material promocional Bolsos y Gorras</t>
  </si>
  <si>
    <t>MGC PROMOTIONS S R L</t>
  </si>
  <si>
    <t>Evento promocional Soft Launch Revista y Prensa</t>
  </si>
  <si>
    <t xml:space="preserve">Evento promocional Soft Launch La Bodega </t>
  </si>
  <si>
    <t>aguas de diseño con la marca de Araya. 504 unidades</t>
  </si>
  <si>
    <t>GOOGLE</t>
  </si>
  <si>
    <t>Clasificación Provisional CONFOTUR</t>
  </si>
  <si>
    <t>PO--135</t>
  </si>
  <si>
    <t>Análisis del Contrato Rental Pool</t>
  </si>
  <si>
    <t>PO--136</t>
  </si>
  <si>
    <t>Redacción Contrato Cesion Permisos al Fideicomiso</t>
  </si>
  <si>
    <t>PO--137</t>
  </si>
  <si>
    <t>Clasificación Definitiva CONFOTUR</t>
  </si>
  <si>
    <t>BAK</t>
  </si>
  <si>
    <t>ACERVO</t>
  </si>
  <si>
    <t>COMISIONES</t>
  </si>
  <si>
    <t>MAENO</t>
  </si>
  <si>
    <t>ACERVO Y MATASIETE</t>
  </si>
  <si>
    <t>Fideicomiso Araya</t>
  </si>
  <si>
    <t>As at 30 June 2025</t>
  </si>
  <si>
    <t>For the period 1 January 2015 to 30 June 2025</t>
  </si>
  <si>
    <t>30 Jun 2025</t>
  </si>
  <si>
    <t>1-1-1 Terreno</t>
  </si>
  <si>
    <t>1-2-1 Diseño y Proyecto</t>
  </si>
  <si>
    <t>1-7-4 Vigilancia</t>
  </si>
  <si>
    <t>1-7-6 Campamento</t>
  </si>
  <si>
    <t>Fondo de Inversión Abierto Plazo Mensual USD</t>
  </si>
  <si>
    <t>Total Costos de Construcción</t>
  </si>
  <si>
    <t>Fondo de Inversión Abierto Universal Liquidez DOP</t>
  </si>
  <si>
    <t>Total Costos Operativos</t>
  </si>
  <si>
    <t>Total Otros Costos</t>
  </si>
  <si>
    <t>0.0168338 USD (United States Dollar)</t>
  </si>
  <si>
    <t>ANÁLISIS DE INVERSIÓN</t>
  </si>
  <si>
    <t>A.- CARACTERISTICAS DEL PROYECTO</t>
  </si>
  <si>
    <t>VIVIENDA</t>
  </si>
  <si>
    <t>Area Construcción:</t>
  </si>
  <si>
    <t>Fecha:</t>
  </si>
  <si>
    <t>Parcela Básica:</t>
  </si>
  <si>
    <t>PROYECTO:</t>
  </si>
  <si>
    <t>LOTE 1</t>
  </si>
  <si>
    <t>Cantidad Viviendas.:</t>
  </si>
  <si>
    <t>UBICACIÓN:</t>
  </si>
  <si>
    <t>VIVIENDA:</t>
  </si>
  <si>
    <t>Apto</t>
  </si>
  <si>
    <t>USO</t>
  </si>
  <si>
    <t>Etapa</t>
  </si>
  <si>
    <t>TIPO DE CAMBIO:</t>
  </si>
  <si>
    <t>Area Total Terreno:</t>
  </si>
  <si>
    <t>Vivienda:</t>
  </si>
  <si>
    <t>Parcelas Adicionales:</t>
  </si>
  <si>
    <t>Costos</t>
  </si>
  <si>
    <t>Metraje</t>
  </si>
  <si>
    <t>Costo M2</t>
  </si>
  <si>
    <t>Unidades</t>
  </si>
  <si>
    <t>Costos TOT</t>
  </si>
  <si>
    <t>VALOR</t>
  </si>
  <si>
    <t>POR PROYECTO</t>
  </si>
  <si>
    <t>Apto M2</t>
  </si>
  <si>
    <t>% Grupo</t>
  </si>
  <si>
    <t>% Costos</t>
  </si>
  <si>
    <t xml:space="preserve">% Precio </t>
  </si>
  <si>
    <t>Tipo A</t>
  </si>
  <si>
    <t>Terreno</t>
    <phoneticPr fontId="0" type="noConversion"/>
  </si>
  <si>
    <t>Indirectos de Obra e Imprevistos</t>
  </si>
  <si>
    <t>C.- RESULTADOS DEL PROYECTO</t>
  </si>
  <si>
    <t>COSTOS:</t>
  </si>
  <si>
    <t>X M2</t>
  </si>
  <si>
    <t>URB + VIV + GER.CONST</t>
  </si>
  <si>
    <t>Gastos Operativos</t>
  </si>
  <si>
    <t>Otros Gastos</t>
  </si>
  <si>
    <t>TOTAL COSTOS</t>
  </si>
  <si>
    <t>Total Costos Por Vivienda</t>
  </si>
  <si>
    <t>Costo por M2</t>
  </si>
  <si>
    <t>PVP CALCULADO</t>
  </si>
  <si>
    <t>Precio de Venta</t>
  </si>
  <si>
    <t>UTILIDAD:</t>
  </si>
  <si>
    <t xml:space="preserve">Utilidad esperada sin ISLR </t>
  </si>
  <si>
    <t>X Unidad</t>
  </si>
  <si>
    <t>Aporte a la Utilidad</t>
  </si>
  <si>
    <t>CONTROL PRESUPUESTAL VALORES EN RD$</t>
  </si>
  <si>
    <t>ADI JUL-25</t>
  </si>
  <si>
    <t>META DE INGRESOS</t>
  </si>
  <si>
    <t>RESULTADOS</t>
  </si>
  <si>
    <t>Acumulado Jun-25</t>
  </si>
  <si>
    <t>ABONO CREDITO PUENTE</t>
  </si>
  <si>
    <t>Equipo y Oficina de Venta</t>
  </si>
  <si>
    <t>SC--068 Proforma 0377-2025 Servicio Control de Calidad Rellenos</t>
  </si>
  <si>
    <t>LMCAD ESTUDIO DE ANIMACION</t>
  </si>
  <si>
    <t>PO--098 60% Renders</t>
  </si>
  <si>
    <t>MUDANZAS DOMINICANAS</t>
  </si>
  <si>
    <t xml:space="preserve">PO--146 Traslado POP </t>
  </si>
  <si>
    <t>Cubicaciones pendientes de Facturación</t>
  </si>
  <si>
    <t>1-9 - INSPECCION TECNICA</t>
  </si>
  <si>
    <t>Pendiente sincerisar el ajuste contablemente y con la Fiduciaria.</t>
  </si>
  <si>
    <t>Desistimiento Unidad 11-102.</t>
  </si>
  <si>
    <t>Desistimiento Unidad 7-101</t>
  </si>
  <si>
    <t>GERARDO ORTIZ BAEZ</t>
  </si>
  <si>
    <t>Desistimiento Unidad 73-102.</t>
  </si>
  <si>
    <t>Desistimiento Unidad 74-101.</t>
  </si>
  <si>
    <t>Desistimiento Unidad 12-201.</t>
  </si>
  <si>
    <t>Desistimiento Unidad 6-102.</t>
  </si>
  <si>
    <t>FONDO 01</t>
  </si>
  <si>
    <t>B0100003103</t>
  </si>
  <si>
    <t>B0100003131</t>
  </si>
  <si>
    <t>B0100000179</t>
  </si>
  <si>
    <t>Total 1-6 Gerencia de Construcción</t>
  </si>
  <si>
    <t>B0100005352</t>
  </si>
  <si>
    <t xml:space="preserve"> 1-7-6 Campamento</t>
  </si>
  <si>
    <t>B0100001385</t>
  </si>
  <si>
    <t xml:space="preserve"> 2-2-1 Comisiones por Venta</t>
  </si>
  <si>
    <t>INT-009226</t>
  </si>
  <si>
    <t>B0100000377</t>
  </si>
  <si>
    <t>B0100002446</t>
  </si>
  <si>
    <t>E310000000071</t>
  </si>
  <si>
    <t>E310000000070</t>
  </si>
  <si>
    <t>E310000000073</t>
  </si>
  <si>
    <t>B0100008886</t>
  </si>
  <si>
    <t>Fondo Rotatorio Tecnica MMHB Transactions</t>
  </si>
  <si>
    <t>For the period 1 January 2015 to 31 July 2025</t>
  </si>
  <si>
    <t>Date</t>
  </si>
  <si>
    <t>Currency</t>
  </si>
  <si>
    <t>1-1 Terreno</t>
  </si>
  <si>
    <t>Payment: INGENIERIA AVANZADA SRL</t>
  </si>
  <si>
    <t>Total 1-1 Terreno</t>
  </si>
  <si>
    <t>1-2 Diseño y Proyecto</t>
  </si>
  <si>
    <t>Prepayment: ONEIDA MARIA FRIAS PADILLA</t>
  </si>
  <si>
    <t>Prepayment: MARY VANGIE GRULLON CACERES</t>
  </si>
  <si>
    <t>Payment: OFICINA DE TASACIONES Y PROYECTOS ECONOMICOS SRL OTPRESA</t>
  </si>
  <si>
    <t>pago 15-05-2024</t>
  </si>
  <si>
    <t>Total 1-2 Diseño y Proyecto</t>
  </si>
  <si>
    <t>Payment: LA SIERRA MULTISERVICIOS</t>
  </si>
  <si>
    <t>Prepayment: ROCAENCA SRL</t>
  </si>
  <si>
    <t>Anticipo SC--068</t>
  </si>
  <si>
    <t>Total 1-4 Urbanismo</t>
  </si>
  <si>
    <t>Payment: PHRESH SRL</t>
  </si>
  <si>
    <t>Payment: GRUPO ASTRO SRL</t>
  </si>
  <si>
    <t>Prepayment: LMCAD ESTUDIO DE ANIMACION SRL</t>
  </si>
  <si>
    <t>Anticipo PO--098</t>
  </si>
  <si>
    <t>B0100301031</t>
  </si>
  <si>
    <t>Payment: COSFREYCAM TROPICAL S A S</t>
  </si>
  <si>
    <t>Payment: INMOBILIARIA PEREZ &amp; PINEDA SRL</t>
  </si>
  <si>
    <t>Payment: REDES SOCIALES -FB-GOOGLE-</t>
  </si>
  <si>
    <t>Payment: ANNE YVONNE HERNANDEZ OQUET</t>
  </si>
  <si>
    <t>B0100000079</t>
  </si>
  <si>
    <t>Prepayment: MGC PROMOTIONS S R L</t>
  </si>
  <si>
    <t>ANTICIPO PO--115</t>
  </si>
  <si>
    <t>REDES SOCIALES JUN-25</t>
  </si>
  <si>
    <t>Prepayment: MUDOM</t>
  </si>
  <si>
    <t>ANTICIPO PO--146</t>
  </si>
  <si>
    <t>Total 2-4 Gerencia de Mercadeo</t>
  </si>
  <si>
    <t>Prepayment: DISTRITO MUNICIPAL TURISTICO VERON PUNTA CANA</t>
  </si>
  <si>
    <t>Permiso Pozo 1</t>
  </si>
  <si>
    <t>Permiso Pozo 2</t>
  </si>
  <si>
    <t>Payment: MINISTERIO DE MEDIO AMBIENTE Y RECURSOS NATURALES</t>
  </si>
  <si>
    <t>Payment: RIOS &amp; ASOCIADOS ABOGADOS CONSULTORES S R L</t>
  </si>
  <si>
    <t>Total 3-1 Permisos Legales y Preliminares</t>
  </si>
  <si>
    <t>Ingresos Generados por cuenta de Ahorros</t>
  </si>
  <si>
    <t>For the period 1 July 2015 to 31 July 2025</t>
  </si>
  <si>
    <t>31 Oct 2024</t>
  </si>
  <si>
    <t>30 May 2025</t>
  </si>
  <si>
    <t>31 Jul 2025</t>
  </si>
  <si>
    <t>Gastos Bancarios</t>
  </si>
  <si>
    <t>29 Jun 2024</t>
  </si>
  <si>
    <t>24 Jul 2024</t>
  </si>
  <si>
    <t>8 Nov 2024</t>
  </si>
  <si>
    <t>10 Dec 2024</t>
  </si>
  <si>
    <t>5 Mar 2025</t>
  </si>
  <si>
    <t>24 Mar 2025</t>
  </si>
  <si>
    <t>Ganancia Total</t>
  </si>
  <si>
    <t>Contrato</t>
  </si>
  <si>
    <t xml:space="preserve">Faltante </t>
  </si>
  <si>
    <t>Pagos</t>
  </si>
  <si>
    <t>MMHB</t>
  </si>
  <si>
    <t>Pendientes Proveedor</t>
  </si>
  <si>
    <t>Total Pendiente</t>
  </si>
  <si>
    <t>REEMBOLSO MMHB</t>
  </si>
  <si>
    <t>REEMBOLSO 1</t>
  </si>
  <si>
    <t>PO--019</t>
  </si>
  <si>
    <t>ESTUDIO DE FACTIBILIDAD PROYECTO</t>
  </si>
  <si>
    <t>SC--069</t>
  </si>
  <si>
    <t>Diseno estructural Edificio Tipo B Araya</t>
  </si>
  <si>
    <t>CONCONCRETOS</t>
  </si>
  <si>
    <t>INVERSIONES BRICKET</t>
  </si>
  <si>
    <t>SC--070</t>
  </si>
  <si>
    <t>TOPOGRAFÍA JULIO 2025 URBANISMO 1 FASE</t>
  </si>
  <si>
    <t>TOPOGRAFIA ABRIL-MAYO 2025 URBANISMO 1 FASE</t>
  </si>
  <si>
    <t>SC--067</t>
  </si>
  <si>
    <t>TOPOGRAFÍA JUNIO 2025 URBANISMO 1 FASE</t>
  </si>
  <si>
    <t>SC--068</t>
  </si>
  <si>
    <t>Control de calidad de rellenos compactados Dolinas plataforma #2 del 7-12</t>
  </si>
  <si>
    <t>INSPECCIÓN TECNICA</t>
  </si>
  <si>
    <t>PO--152</t>
  </si>
  <si>
    <t>Gerencia de Construcción Jul-25</t>
  </si>
  <si>
    <t>COSTOS INDIRECTOS DE OBRA</t>
  </si>
  <si>
    <t>PO--143</t>
  </si>
  <si>
    <t>Seguridad Area de Obra mes de Julio 2025</t>
  </si>
  <si>
    <t>INDIRECTOS</t>
  </si>
  <si>
    <t>PO--153</t>
  </si>
  <si>
    <t>Gerencia de Administración Promotora</t>
  </si>
  <si>
    <t>PO--144</t>
  </si>
  <si>
    <t>Comisión Venta 2C Julio 2025</t>
  </si>
  <si>
    <t>PO--149</t>
  </si>
  <si>
    <t>Outsoursing RRHH Oficina de Ventas Julio 2025</t>
  </si>
  <si>
    <t>MARLO SERVICIOS SRL</t>
  </si>
  <si>
    <t>PO--148</t>
  </si>
  <si>
    <t>PO--157</t>
  </si>
  <si>
    <t>Comisión Venta 1C Agosto 2025</t>
  </si>
  <si>
    <t>PO--156</t>
  </si>
  <si>
    <t>PO--151</t>
  </si>
  <si>
    <t>Honorarios por Gerencia Admin de la venta julio 2025</t>
  </si>
  <si>
    <t>COMISIONES PROYECTADAS</t>
  </si>
  <si>
    <t>PO--150</t>
  </si>
  <si>
    <t>Honorarios por Servicios de Promoción y Mercadeo Jul-25</t>
  </si>
  <si>
    <t>MD NUMBER TWO EVENTOS Y CATERING SRL</t>
  </si>
  <si>
    <t>PO--161</t>
  </si>
  <si>
    <t>Servicios de Catherine actividad realtors Araya</t>
  </si>
  <si>
    <t>PO--154</t>
  </si>
  <si>
    <t>Alquiler de Vallas AGO-OCT2025</t>
  </si>
  <si>
    <t>ANNE YVONNE HERNANDEZ OQUET</t>
  </si>
  <si>
    <t>PO--139</t>
  </si>
  <si>
    <t>Presentación musical lanzamiento comercial</t>
  </si>
  <si>
    <t>PO--162</t>
  </si>
  <si>
    <t>Reembolso Redes Sociales Jun-25</t>
  </si>
  <si>
    <t>PO--158</t>
  </si>
  <si>
    <t>Alquiler de Valla agosto a octubre 2025</t>
  </si>
  <si>
    <t>LYCHEE STUDIO SRL</t>
  </si>
  <si>
    <t>PO--147</t>
  </si>
  <si>
    <t>Cobertura fotografica evento</t>
  </si>
  <si>
    <t>MUDANZAS DOMINICANAS SRL</t>
  </si>
  <si>
    <t>PO--146</t>
  </si>
  <si>
    <t>Transporte material publicitario Araya</t>
  </si>
  <si>
    <t>HONORARIOS ACERVO</t>
  </si>
  <si>
    <t>REDES</t>
  </si>
  <si>
    <t>POP Y VALLAS</t>
  </si>
  <si>
    <t xml:space="preserve">Análisis del Contrato Rental Pool </t>
  </si>
  <si>
    <t>GASTO MENOR ARAYA</t>
  </si>
  <si>
    <t>AYUNTAMIENTO</t>
  </si>
  <si>
    <t>PO--145</t>
  </si>
  <si>
    <t>Intereses Credito puente Grupo Bak Julio-2025</t>
  </si>
  <si>
    <t>PO--134</t>
  </si>
  <si>
    <t>Intereses Credito puente Grupo Bak -ALNAP-</t>
  </si>
  <si>
    <t>Inspección Técnica</t>
  </si>
  <si>
    <t>Banesco USA No. 1500192677</t>
  </si>
  <si>
    <t>ok</t>
  </si>
  <si>
    <t>2-2-1 Comisiones por Venta</t>
  </si>
  <si>
    <t>OCULTAR</t>
  </si>
  <si>
    <t>SIN FACTURAS</t>
  </si>
  <si>
    <t>CUENTAS POR PAGAR</t>
  </si>
  <si>
    <t>ADI AGO-25</t>
  </si>
  <si>
    <t>Acumulado Jul-25</t>
  </si>
  <si>
    <t>APORTE INICIAL AFI</t>
  </si>
  <si>
    <t>CREDITO PUENTE BAK</t>
  </si>
  <si>
    <t>ABONO CREDITO PUENTE BAK</t>
  </si>
  <si>
    <t>Urbanismo:  469,787,395.58 donde el valor para colocar en m2 es 7279.35</t>
  </si>
  <si>
    <t>Vivienda: 1,517,615,097.15 para colocar por m2 38347.9</t>
  </si>
  <si>
    <t>Indirectos: 47,810,652.00 con un factor de 2.41</t>
  </si>
  <si>
    <t>Inspeccion Tecnica: 17,877,063 RD</t>
  </si>
  <si>
    <t>el flujo arroja resultado mayor</t>
  </si>
  <si>
    <t>diferencia meta de ingreso del flujo</t>
  </si>
  <si>
    <t>diferencia por ajuste de gerencia ventas y fiduciaria de acuerdo a la meta de ingreso</t>
  </si>
  <si>
    <t>Ajuste en el flujo los gastos financieros de acuerdo a la estimacion ADI</t>
  </si>
  <si>
    <t>Impacto de diferencia en resultado</t>
  </si>
  <si>
    <t>As at 31 August 2025</t>
  </si>
  <si>
    <t>INT-300 19-08-2025</t>
  </si>
  <si>
    <t>B0100000014</t>
  </si>
  <si>
    <t>INMOSTRATEGIA SRL</t>
  </si>
  <si>
    <t>B0100000006</t>
  </si>
  <si>
    <t>B0100003147</t>
  </si>
  <si>
    <t>B0100000550</t>
  </si>
  <si>
    <t>B0100000180</t>
  </si>
  <si>
    <t>pendiente fact</t>
  </si>
  <si>
    <t>B0100005423</t>
  </si>
  <si>
    <t xml:space="preserve"> 2-1 Gerencia de la Promotora</t>
  </si>
  <si>
    <t>B0100000266</t>
  </si>
  <si>
    <t>Total  2-1 Gerencia de la Promotora</t>
  </si>
  <si>
    <t>B0100014724</t>
  </si>
  <si>
    <t>E310000000013</t>
  </si>
  <si>
    <t>B0100000555</t>
  </si>
  <si>
    <t>B0100001397</t>
  </si>
  <si>
    <t>E310000000014</t>
  </si>
  <si>
    <t>B0100002509</t>
  </si>
  <si>
    <t>B0100014881</t>
  </si>
  <si>
    <t>B0100001415</t>
  </si>
  <si>
    <t>B0100002526</t>
  </si>
  <si>
    <t>B0100005433</t>
  </si>
  <si>
    <t>B0100002346</t>
  </si>
  <si>
    <t>B010000004</t>
  </si>
  <si>
    <t>E310000000012</t>
  </si>
  <si>
    <t>E310000000090</t>
  </si>
  <si>
    <t>B0100009418</t>
  </si>
  <si>
    <t>INVERSIONES ROMUR SRL</t>
  </si>
  <si>
    <t>B0100000148</t>
  </si>
  <si>
    <t>Anticipo Proforma 9284 PO--036 40% al saldo de la clasificacion provisional de confotur USD 4549.04 tasa 62.50</t>
  </si>
  <si>
    <t>3-1 Permisosa</t>
  </si>
  <si>
    <t>3-1-1 Permisos</t>
  </si>
  <si>
    <t>CÃ³digo de costo Nivel 2</t>
  </si>
  <si>
    <t>1-2 - DISEÃ‘O Y PROYECTO</t>
  </si>
  <si>
    <t>3-4 - IMPREVISTOS</t>
  </si>
  <si>
    <t>REDES SOCIALES JUL-25</t>
  </si>
  <si>
    <t>Payment: MD NUMBER TWO EVENTOS Y CATERING SRL</t>
  </si>
  <si>
    <t>B0100000691</t>
  </si>
  <si>
    <t>Payment: MR &amp; PC INVESTMENTS</t>
  </si>
  <si>
    <t>B0100463633</t>
  </si>
  <si>
    <t>Payment: CENTRO COPIADORA NACO S R L</t>
  </si>
  <si>
    <t>E310000000186</t>
  </si>
  <si>
    <t>SALDO FT 2174/5</t>
  </si>
  <si>
    <t>Prepayment: RIOS &amp; ASOCIADOS ABOGADOS CONSULTORES S R L</t>
  </si>
  <si>
    <t>ANTICIPO RIOS</t>
  </si>
  <si>
    <t>Monto Contrato Ajustado</t>
  </si>
  <si>
    <t xml:space="preserve"> Costos hasta la fecha</t>
  </si>
  <si>
    <t xml:space="preserve">Restante/Faltante </t>
  </si>
  <si>
    <t>Pago emitido &gt; Fecha de pago</t>
  </si>
  <si>
    <t>% de pago</t>
  </si>
  <si>
    <t>pagos al 31-8-25</t>
  </si>
  <si>
    <t>Pendiente Ago-25</t>
  </si>
  <si>
    <t>LUISA MILAGROS CASTILLO DURAN</t>
  </si>
  <si>
    <t>PO--184</t>
  </si>
  <si>
    <t>Notarizacion contrato de compra terreno</t>
  </si>
  <si>
    <t>09/11/2025</t>
  </si>
  <si>
    <t>PO--168</t>
  </si>
  <si>
    <t>Estudio Puntual de Mercado Punta Cana</t>
  </si>
  <si>
    <t>09/04/2025</t>
  </si>
  <si>
    <t>PO--180</t>
  </si>
  <si>
    <t>09/08/2025</t>
  </si>
  <si>
    <t>SC--072</t>
  </si>
  <si>
    <t xml:space="preserve"> Ajustes y adaptaciones del Diseño Arquitectónico</t>
  </si>
  <si>
    <t>08/20/2025</t>
  </si>
  <si>
    <t>SC--074</t>
  </si>
  <si>
    <t>Diseño estructural nuevo modelo de edificio B</t>
  </si>
  <si>
    <t>SC--075</t>
  </si>
  <si>
    <t>Reposicion Palma Cana paisajismo Entrada</t>
  </si>
  <si>
    <t>04/24/2025</t>
  </si>
  <si>
    <t>PO--178</t>
  </si>
  <si>
    <t>Topografia Agosto 2025</t>
  </si>
  <si>
    <t>STEFAN ALVAREZ &amp; ASOCIADOS SRL</t>
  </si>
  <si>
    <t>SC--071</t>
  </si>
  <si>
    <t xml:space="preserve">ESTUDIOS DE DENSIDAD DE CAMPO MOVIMIENTO DE TIERRA FASE 1 </t>
  </si>
  <si>
    <t>07/30/2024</t>
  </si>
  <si>
    <t>09/10/2025</t>
  </si>
  <si>
    <t>PO--170</t>
  </si>
  <si>
    <t>Seguridad Area de Obra mes de Agosto 2025</t>
  </si>
  <si>
    <t xml:space="preserve"> INDIRECTOS DE OBRA</t>
  </si>
  <si>
    <t>COSTO GERENCIA DE LA PROMOTORA-Total</t>
  </si>
  <si>
    <t>09/09/2025</t>
  </si>
  <si>
    <t>PO--181</t>
  </si>
  <si>
    <t>Gerencia de Administración Promotora agosto 2025</t>
  </si>
  <si>
    <t xml:space="preserve">Gerencia de Administración Promotora </t>
  </si>
  <si>
    <t>09/13/2025</t>
  </si>
  <si>
    <t>PO--177</t>
  </si>
  <si>
    <t>Comisión Venta 2C Agosto 2025</t>
  </si>
  <si>
    <t>PO--186</t>
  </si>
  <si>
    <t>Comisión Venta 1C Septiembre 2025</t>
  </si>
  <si>
    <t>PO--163</t>
  </si>
  <si>
    <t>PO--166</t>
  </si>
  <si>
    <t>PO--174</t>
  </si>
  <si>
    <t>Comisiones</t>
  </si>
  <si>
    <t>COMISIONES POR VENTAS</t>
  </si>
  <si>
    <t>PO--171</t>
  </si>
  <si>
    <t>Seguridad Area de Showroom mes de Agosto 2025</t>
  </si>
  <si>
    <t>PO--173</t>
  </si>
  <si>
    <t>Outsoursing RRHH Oficina de Ventas Agosto 2025</t>
  </si>
  <si>
    <t>SEGURIDAD Y MANTENIMIENTO</t>
  </si>
  <si>
    <t>EQUIPO OFICINA DE VENTA</t>
  </si>
  <si>
    <t>PO--176</t>
  </si>
  <si>
    <t>Honorarios por Gerencia Admin de la venta agosto 2025</t>
  </si>
  <si>
    <t>06/23/2025</t>
  </si>
  <si>
    <t>ADMINISTRACION DE LA VENTA</t>
  </si>
  <si>
    <t>COSTO ADMINISTRACION DE FIDUCIARIA-Total</t>
  </si>
  <si>
    <t>FIDUCIARIA UNIVERSAL S A</t>
  </si>
  <si>
    <t>PO--179</t>
  </si>
  <si>
    <t>Comision por Certificado de Garantia Sept-25</t>
  </si>
  <si>
    <t>PO--183</t>
  </si>
  <si>
    <t>Comision Preventa Septiembre 2025</t>
  </si>
  <si>
    <t>PO--167</t>
  </si>
  <si>
    <t>Modelado y Renderizado 3D interiores Balcony Flex</t>
  </si>
  <si>
    <t>PO--175</t>
  </si>
  <si>
    <t>Honorarios por Servicios de Promoción y Mercadeo Ago-25</t>
  </si>
  <si>
    <t>06/18/2025</t>
  </si>
  <si>
    <t>08/25/2025</t>
  </si>
  <si>
    <t>PO--182</t>
  </si>
  <si>
    <t>Tramites DGII Exoneracion Confotur</t>
  </si>
  <si>
    <t>COLEGIO DOM INGS ARQS AGRIMENS</t>
  </si>
  <si>
    <t>PO--185</t>
  </si>
  <si>
    <t>Permiso CODIA VUC 0255-2024</t>
  </si>
  <si>
    <t>SC--073</t>
  </si>
  <si>
    <t>Revisión planos estructurales Araya</t>
  </si>
  <si>
    <t>GASTOS FINANCIEROS-Total</t>
  </si>
  <si>
    <t>Intereses Credito puente Grupo Bak Ago-25</t>
  </si>
  <si>
    <t>Intereses Credito puente Grupo Bak Julio-2026</t>
  </si>
  <si>
    <t>For the period 1 March 2015 to 31 August 2025</t>
  </si>
  <si>
    <t>31 Aug 2025</t>
  </si>
  <si>
    <t>2-2-4 Gastos Operativos Oficina de ventas</t>
  </si>
  <si>
    <t>2-4-4 Gastos Operativos Mercadeo</t>
  </si>
  <si>
    <t>0.0159166 USD (United States Dollar)</t>
  </si>
  <si>
    <t>Acumulado Ago-25</t>
  </si>
  <si>
    <t xml:space="preserve">Porcentajes de gastos según concepto
Septiembre a Diciembre 2025 </t>
  </si>
  <si>
    <t>%</t>
  </si>
  <si>
    <t>Diseño y Proyectos</t>
  </si>
  <si>
    <t>Urbanismo</t>
  </si>
  <si>
    <t>Edificaciones</t>
  </si>
  <si>
    <t>Costos asoc. a Construcción</t>
  </si>
  <si>
    <t>Promoción y Mercadeo</t>
  </si>
  <si>
    <t>Amortización capital</t>
  </si>
  <si>
    <t>Intereses Financieros</t>
  </si>
  <si>
    <t>Costos Financieros</t>
  </si>
  <si>
    <t>Créditos en Instituciones Financieras Transactions</t>
  </si>
  <si>
    <t>OBLIGACIONES FINANCIERAS RD$</t>
  </si>
  <si>
    <t>Monto del Credito</t>
  </si>
  <si>
    <t>Desembolsado</t>
  </si>
  <si>
    <t>P/Desembolsar</t>
  </si>
  <si>
    <t>Amortizado</t>
  </si>
  <si>
    <t xml:space="preserve">Saldo a la fecha </t>
  </si>
  <si>
    <t>Vencimiento</t>
  </si>
  <si>
    <t>Préstamo puente ALNAP (Por Grupo Bak)</t>
  </si>
  <si>
    <t>Linea de Crédito Fondo de Inversión</t>
  </si>
  <si>
    <t xml:space="preserve">Total </t>
  </si>
  <si>
    <t>AFI Universal -Fondo de Inversion</t>
  </si>
  <si>
    <t>Prestamo Fideicomitente Inversionista Fondo de Inversion</t>
  </si>
  <si>
    <t>Prestamo AFI</t>
  </si>
  <si>
    <t>Total AFI Universal -Fondo de Inversion</t>
  </si>
  <si>
    <t>Grupo Bak</t>
  </si>
  <si>
    <t>Prestamo Fideicomitente Grupo Bak</t>
  </si>
  <si>
    <t xml:space="preserve">Prestamo BAK </t>
  </si>
  <si>
    <t>Para registrar el prestamo a BAK por avance a MGC y Anne Ivonne. Con los recursos del Credito Puente</t>
  </si>
  <si>
    <t>Total Grupo Bak</t>
  </si>
  <si>
    <t>Centro de Costo</t>
  </si>
  <si>
    <t>1-4 Costos de Urbanismo</t>
  </si>
  <si>
    <t>1-4-1 Costos de Urbanismo</t>
  </si>
  <si>
    <t>1-5 Edificaciones</t>
  </si>
  <si>
    <t>1-5-1 Edificaciones</t>
  </si>
  <si>
    <t>1-6-1 Gerencia de Construcción</t>
  </si>
  <si>
    <t>1-7 Indirectos de Obra</t>
  </si>
  <si>
    <t>1-7-1 Gastos Personal Administrativo de Obra</t>
  </si>
  <si>
    <t>1-7-2 Gastos Operativos Generales</t>
  </si>
  <si>
    <t>1-7-3 Equipos y Transporte</t>
  </si>
  <si>
    <t>1-7-5 Póliza TRC</t>
  </si>
  <si>
    <t>1-7-7 Otros Gastos</t>
  </si>
  <si>
    <t>1-8 Fondo de Contingencia</t>
  </si>
  <si>
    <t>1-8-1 Fondo de Contingencia</t>
  </si>
  <si>
    <t>1-9 Inspección Técnica</t>
  </si>
  <si>
    <t>1-9-1 Inspección Técnica</t>
  </si>
  <si>
    <t>2-1 Gerencia de la Promotora</t>
  </si>
  <si>
    <t>2-2 Gerencia de Ventas</t>
  </si>
  <si>
    <t>2-3 Administración de Fiduciaria</t>
  </si>
  <si>
    <t>2-4-5 Programa de Referidos</t>
  </si>
  <si>
    <t>2-5 Post Ventas</t>
  </si>
  <si>
    <t>2-5-1 Administración Condominio</t>
  </si>
  <si>
    <t>2-5-2 Gastos Operativos Post-Venta</t>
  </si>
  <si>
    <t>3-2 Imprevistos</t>
  </si>
  <si>
    <t>3-2-1 Imprevistos</t>
  </si>
  <si>
    <t>3-3 Gastos Financieros</t>
  </si>
  <si>
    <t>3-3-1 Gastos Financieros</t>
  </si>
  <si>
    <t>Total General</t>
  </si>
  <si>
    <t xml:space="preserve">DISEÑOS ESTRUCTURALES </t>
  </si>
  <si>
    <t>Pago 70% Estudio Diseños Estructural Cot c-0725-02 SC--069</t>
  </si>
  <si>
    <t xml:space="preserve">RIOS &amp; ASOCIADOS </t>
  </si>
  <si>
    <t>3-1 Permisos</t>
  </si>
  <si>
    <t>As at 30 September 2025</t>
  </si>
  <si>
    <t>30 Sep 2025</t>
  </si>
  <si>
    <t>Créditos en Instituciones Financieras</t>
  </si>
  <si>
    <t>Fondo Rotatorio Tecnica MMHB</t>
  </si>
  <si>
    <t>0.0160617 USD (United States Dollar)</t>
  </si>
  <si>
    <t>B0100000013</t>
  </si>
  <si>
    <t>Total  1-2-1 Diseño y Proyecto</t>
  </si>
  <si>
    <t>B0100003202</t>
  </si>
  <si>
    <t>Total  1-4-1 Urbanismo</t>
  </si>
  <si>
    <t>B0100000181</t>
  </si>
  <si>
    <t>Total  1-6-1 Gerencia de Construccion</t>
  </si>
  <si>
    <t>B0100005487</t>
  </si>
  <si>
    <t>Total  1-7-4 Vigilancia</t>
  </si>
  <si>
    <t xml:space="preserve"> 2-1-1 Gerencia de la Promotora</t>
  </si>
  <si>
    <t>B0100000268</t>
  </si>
  <si>
    <t>Total  2-1-1 Gerencia de la Promotora</t>
  </si>
  <si>
    <t>E310000000025</t>
  </si>
  <si>
    <t>B0100001424</t>
  </si>
  <si>
    <t>Total  2-2-1 Comisiones por Venta</t>
  </si>
  <si>
    <t xml:space="preserve"> 2-2-2 Administración de la Venta</t>
  </si>
  <si>
    <t>E310000000024</t>
  </si>
  <si>
    <t>Total  2-2-2 Administración de la Venta</t>
  </si>
  <si>
    <t>B0100000562</t>
  </si>
  <si>
    <t>Total  2-2-3 Equipo de Trabajo Oficina de Ventas</t>
  </si>
  <si>
    <t xml:space="preserve"> 2-2-4 Gastos Operativos Oficina de ventas</t>
  </si>
  <si>
    <t>B0100002558</t>
  </si>
  <si>
    <t>B0100005500</t>
  </si>
  <si>
    <t>Total  2-2-4 Gastos Operativos Oficina de ventas</t>
  </si>
  <si>
    <t xml:space="preserve"> 2-3-1 Adm General de la Fiduciaria (Estruc. Post y</t>
  </si>
  <si>
    <t>B0100010897</t>
  </si>
  <si>
    <t>Total  2-3-1 Adm General de la Fiduciaria (Estruc. Post y</t>
  </si>
  <si>
    <t>B0100000364</t>
  </si>
  <si>
    <t>CANVAS DESIGN &amp; MEDIA GROUP SRL</t>
  </si>
  <si>
    <t>B0100004405</t>
  </si>
  <si>
    <t>Total  2-4-2 Medios Digitales (Redes Sociales)</t>
  </si>
  <si>
    <t>B0100002365</t>
  </si>
  <si>
    <t>B0100009542</t>
  </si>
  <si>
    <t>Total  2-4-3 Medios Tradicionales (Ferias - Eventos - Val</t>
  </si>
  <si>
    <t xml:space="preserve"> 2-4-4 Gastos Operativos Mercadeo</t>
  </si>
  <si>
    <t>E310000000023</t>
  </si>
  <si>
    <t>Total  2-4-4 Gastos Operativos Mercadeo</t>
  </si>
  <si>
    <t>Total  3-1-1 Permisos Legales y Preliminares</t>
  </si>
  <si>
    <t>Cuentas por Pagar Tecnica MMHB</t>
  </si>
  <si>
    <t>For the period 1 January 2015 to 30 September 2025</t>
  </si>
  <si>
    <t>Source</t>
  </si>
  <si>
    <t>Pagado</t>
  </si>
  <si>
    <t>Pendiente</t>
  </si>
  <si>
    <t>Payable Payment</t>
  </si>
  <si>
    <t>Payable Prepayment</t>
  </si>
  <si>
    <t>Prepayment: DISENOS ESTRUCTURALES AL LIMITE D E L SRL</t>
  </si>
  <si>
    <t>ANTICIPO DISENOS</t>
  </si>
  <si>
    <t>Payment: MARY VANGIE GRULLON CACERES</t>
  </si>
  <si>
    <t>Payment: TESSERA SRL</t>
  </si>
  <si>
    <t>CXP BAK - Tessera</t>
  </si>
  <si>
    <t>Comisiones por Venta</t>
  </si>
  <si>
    <t>Gastos Operativos Oficina de ventas</t>
  </si>
  <si>
    <t>REDES SOCIALES AGO-25</t>
  </si>
  <si>
    <t>Medios Digitales (Redes Sociales)</t>
  </si>
  <si>
    <t>Prepayment: MUDANZAS DOMINICANAS SRL</t>
  </si>
  <si>
    <t>ANTICIPO MUDOM</t>
  </si>
  <si>
    <t>Medios Tradicionales (Ferias - Eventos - Vallas - POP)</t>
  </si>
  <si>
    <t>Prepayment: GASTO MENOR ARAYA</t>
  </si>
  <si>
    <t>Permiso 1</t>
  </si>
  <si>
    <t>Permiso 2</t>
  </si>
  <si>
    <t>E310000000880</t>
  </si>
  <si>
    <t>Payment: AYUNTAMIENTO DE HIGUEY</t>
  </si>
  <si>
    <t>B0100021485</t>
  </si>
  <si>
    <t>Permisos Legales y Preliminares</t>
  </si>
  <si>
    <t>Proyecto Araya I</t>
  </si>
  <si>
    <t>https://universalhousing.pipedrive.com/share/b728bebb36d07e86e297085cebb3d6ee2a5f340f4b92a34ea4596314291ced2b</t>
  </si>
  <si>
    <t>Ingresos</t>
  </si>
  <si>
    <t>Total Ejecutado
Septiembre 2025</t>
  </si>
  <si>
    <t>PRESUPUESTO</t>
  </si>
  <si>
    <t>RD$</t>
  </si>
  <si>
    <t>Acum. Dic-24</t>
  </si>
  <si>
    <t>Por Ejectutar</t>
  </si>
  <si>
    <t>Ventas Vinculadas</t>
  </si>
  <si>
    <t>Total Ventas Vinculado US$</t>
  </si>
  <si>
    <t>Ventas Proyectadas</t>
  </si>
  <si>
    <t>Recaudos de Clientes RD$</t>
  </si>
  <si>
    <t>Recaudos Proyectados US$</t>
  </si>
  <si>
    <t>Ejecución Septiembre 2025</t>
  </si>
  <si>
    <t>Egresos</t>
  </si>
  <si>
    <t>Total Acumulado a Sept-25</t>
  </si>
  <si>
    <t>Por Ejecutar</t>
  </si>
  <si>
    <t>Total Pagado</t>
  </si>
  <si>
    <t>Facturaciones</t>
  </si>
  <si>
    <t>Anticipos Acumulado</t>
  </si>
  <si>
    <t>Cuentas por Pagar</t>
  </si>
  <si>
    <t>Formula: Total facturaciones + Cubicaciones pendientes de facturar + Anticipos pagados</t>
  </si>
  <si>
    <t>Formula: Presupuesto - Ejecución</t>
  </si>
  <si>
    <t>Formula: Total facturaciones + Cubicaciones pendientes de facturar + Anticipos pagados - Cuentas por pagar</t>
  </si>
  <si>
    <t>Formula: Total facturas con valor fiscal</t>
  </si>
  <si>
    <t>Formula: Total anticipos dados a la fecha pendiente de facturar y/cubicar</t>
  </si>
  <si>
    <t>Formula: Facturas pendientes de pago + Reembolsos pendientes a MMBH y BAK</t>
  </si>
  <si>
    <t>-</t>
  </si>
  <si>
    <t>.</t>
  </si>
  <si>
    <t>Gerencia Contrucción</t>
  </si>
  <si>
    <t>Inpección Técnica</t>
  </si>
  <si>
    <t>Comprobación</t>
  </si>
  <si>
    <t>For the period 1 October 2025 to 31 October 2025</t>
  </si>
  <si>
    <t>Invoice Number</t>
  </si>
  <si>
    <t>DISENOS ESTRUCTURALES AL LIMITE D E L SRL - B0100000225 Contract #SC--069. Diseno estructural Edificio Tipo B Araya</t>
  </si>
  <si>
    <t>B0100000225</t>
  </si>
  <si>
    <t>Total 1-2-1 Diseño y Proyecto</t>
  </si>
  <si>
    <t>Total 1-4-1 Costos de Urbanismo</t>
  </si>
  <si>
    <t>TECNICA MMHB SRL - B0100000182 Purchase Order #PO--207. Gerencia de Construcción Sept-25</t>
  </si>
  <si>
    <t>B0100000182</t>
  </si>
  <si>
    <t>Total 1-6-1 Gerencia de Construccion</t>
  </si>
  <si>
    <t>IOCA</t>
  </si>
  <si>
    <t>Total 1-9-1 Inspección Técnica</t>
  </si>
  <si>
    <t>GRUPO BAK SRL - B0100000269 Purchase Order #PO--197. Gerencia de Administración Promotora septiembre 2025</t>
  </si>
  <si>
    <t>B0100000269</t>
  </si>
  <si>
    <t>Total 2-1-1 Gerencia de la Promotora</t>
  </si>
  <si>
    <t>MARLO SERVICIOS SRL - B0100015491 Purchase Order #PO--196. Comisión Venta 2C Septiembre 2025 USD 105462.38</t>
  </si>
  <si>
    <t>B0100015491</t>
  </si>
  <si>
    <t>ACERVO INMOBILIARIO SRL - E310000000032 Purchase Order #PO--208. Comisión Venta 1Q Octubre 2025 USD 7581.00</t>
  </si>
  <si>
    <t>E310000000032</t>
  </si>
  <si>
    <t>MARLO SERVICIOS SRL - B0100015597 Purchase Order #PO--209. Comisión Venta 1C Octubre 2025 USD 55878.90</t>
  </si>
  <si>
    <t>B0100015597</t>
  </si>
  <si>
    <t>Total 2-2-1 Comisiones por Venta</t>
  </si>
  <si>
    <t>ACERVO INMOBILIARIO SRL - E310000000028 Purchase Order #PO--200. Honorarios por Gerencia Admin de la venta Sept-2025</t>
  </si>
  <si>
    <t>E310000000028</t>
  </si>
  <si>
    <t>Total 2-2-2 Administración de la Venta</t>
  </si>
  <si>
    <t>MATASIETE SRL - B0100000568 Purchase Order #PO--198. Outsoursing RRHH Oficina de Ventas Septiembre 2025</t>
  </si>
  <si>
    <t>B0100000568</t>
  </si>
  <si>
    <t>Showroom Mantenimiento de Paisajismo Área septiembre2025-diciembre 2025</t>
  </si>
  <si>
    <t>SC--076</t>
  </si>
  <si>
    <t>Total 2-2-3 Equipo de Trabajo Oficina de Ventas</t>
  </si>
  <si>
    <t>CANVAS DESIGN &amp; MEDIA GROUP SRL - B0100004455 Purchase Order #PO--187. Plan de Comunicacion digital</t>
  </si>
  <si>
    <t>B0100004455</t>
  </si>
  <si>
    <t>INMOSTRATEGIA SRL - B0100000026 Purchase Order #PO--211. Suscripcion Galeria Inmobiliaria US 1180</t>
  </si>
  <si>
    <t>B0100000026</t>
  </si>
  <si>
    <t xml:space="preserve">Plan de Comunicacion digital </t>
  </si>
  <si>
    <t>PO--187</t>
  </si>
  <si>
    <t>Total 2-4-2 Medios Digitales (Redes Sociales)</t>
  </si>
  <si>
    <t>ARIEL GRASSO REAL ESTATE GROUP SRL</t>
  </si>
  <si>
    <t>ARIEL GRASSO REAL ESTATE GROUP SRL - B0100000032 Purchase Order #PO--201. Patrocinio Top Producer Academy Persuade Match</t>
  </si>
  <si>
    <t>B0100000032</t>
  </si>
  <si>
    <t>ACERVO INMOBILIARIO SRL - E310000000029 Purchase Order #PO--203. Compra de articulos promocionales feria BHD en NY USD 2069.01</t>
  </si>
  <si>
    <t>E310000000029</t>
  </si>
  <si>
    <t>ITWIT SRL</t>
  </si>
  <si>
    <t>ITWIT SRL - B0100000455 Purchase Order #PO--202. Open Door KW Dominicana USD2360</t>
  </si>
  <si>
    <t>B0100000455</t>
  </si>
  <si>
    <t>LUCES INDUSTRIALES SRL - B0100009586 Purchase Order #PO--204. Impresion Pano de Agua Valla</t>
  </si>
  <si>
    <t>B0100009586</t>
  </si>
  <si>
    <t>Material promocional para eventos</t>
  </si>
  <si>
    <t>PO--210</t>
  </si>
  <si>
    <t>Total 2-4-3 Medios Tradicionales (Ferias - Eventos - Vallas - POP)</t>
  </si>
  <si>
    <t>ACERVO INMOBILIARIO SRL - E310000000027 Purchase Order #PO--199. Honorarios por Servicios de Promoción y Mercadeo Sept-25</t>
  </si>
  <si>
    <t>E310000000027</t>
  </si>
  <si>
    <t>Total 2-4-4 Gastos Operativos Mercadeo</t>
  </si>
  <si>
    <t>RIOS &amp; ASOCIADOS ABOGADOS CONSULTORES S R L - B0100002229 Purchase Order #PO--136. Redacción Contrato Cesion Permisos al Fideicomiso</t>
  </si>
  <si>
    <t>B0100002229</t>
  </si>
  <si>
    <t>RIOS &amp; ASOCIADOS ABOGADOS CONSULTORES S R L - B0100002227 Purchase Order #PO--036. HONORARIOS GESTIONES CONFOTUR</t>
  </si>
  <si>
    <t>B0100002227</t>
  </si>
  <si>
    <t>RIOS &amp; ASOCIADOS ABOGADOS CONSULTORES S R L - B0100002228 Purchase Order #PO--135. Análisis del Contrato Rental Pool</t>
  </si>
  <si>
    <t>B0100002228</t>
  </si>
  <si>
    <t>Total 3-1-1 Permisos Legales y Preliminares</t>
  </si>
  <si>
    <t>TOTAL</t>
  </si>
  <si>
    <t>Desviación</t>
  </si>
  <si>
    <t>Tipo de cambio</t>
  </si>
  <si>
    <t>Mejoras en Equipamiento (Presupuesto)</t>
  </si>
  <si>
    <t>Detalles y Acabados por Definir (Presupuesto)</t>
  </si>
  <si>
    <t>Porcentaje de Obra + ITBIS</t>
  </si>
  <si>
    <t>No estaba Incluido / Incluye ITBIS</t>
  </si>
  <si>
    <t>Proyección Ajustada de Indirectos</t>
  </si>
  <si>
    <t>No estaba Incluido</t>
  </si>
  <si>
    <t>Ajuste de Precio / Presupuesto 8%</t>
  </si>
  <si>
    <t>Ajuste de Precio</t>
  </si>
  <si>
    <t>Ajuste del 1.5% al 1.7% de la Venta</t>
  </si>
  <si>
    <t>Porcentaje de Obra</t>
  </si>
  <si>
    <t>Normativa en Permisos y Extras</t>
  </si>
  <si>
    <t>Estudios Complementarios</t>
  </si>
  <si>
    <t>Aumento de Valor a Financiar</t>
  </si>
  <si>
    <t>Ajuste Total</t>
  </si>
  <si>
    <t xml:space="preserve">RESULTADOS </t>
  </si>
  <si>
    <t>PVP Promedio RD$</t>
  </si>
  <si>
    <t>PVP M2</t>
  </si>
  <si>
    <t>Tipo de Cambio</t>
  </si>
  <si>
    <t>Margen de Utilidad</t>
  </si>
  <si>
    <t>Acumulado Sept-25</t>
  </si>
  <si>
    <t>CREDITO PUENTE AFI</t>
  </si>
  <si>
    <t>Al 20 Octubre 2025</t>
  </si>
  <si>
    <t>Suplidores</t>
  </si>
  <si>
    <t>Reembolsos a MMHB</t>
  </si>
  <si>
    <t>Valores en RD$</t>
  </si>
  <si>
    <t>GONDAR</t>
  </si>
  <si>
    <t>PROFORMA</t>
  </si>
  <si>
    <t>Gerencia de Construccion</t>
  </si>
  <si>
    <t xml:space="preserve"> 1-7-4 Indirectos de Obra</t>
  </si>
  <si>
    <t xml:space="preserve"> 2-2-3 Equipo y Oficina de Venta</t>
  </si>
  <si>
    <t xml:space="preserve"> 2-4-2 Promoción y Publicidad</t>
  </si>
  <si>
    <t>Promoción y Publicidad</t>
  </si>
  <si>
    <t>Abono a Prestamo Fideicomitente Grupo Bak</t>
  </si>
  <si>
    <t xml:space="preserve">Anticipo PO--137  clasificacion definitiva de confotur </t>
  </si>
  <si>
    <t>As at 30 November 2025</t>
  </si>
  <si>
    <t>Factura No. 100925</t>
  </si>
  <si>
    <t>B0100005561</t>
  </si>
  <si>
    <t xml:space="preserve"> 1-9-1 Inspeccion Tecnica</t>
  </si>
  <si>
    <t>ING OMAR CORDERO &amp; ASOCIADOS SRL</t>
  </si>
  <si>
    <t>Total  1-9-1 Inspeccion Tecnica</t>
  </si>
  <si>
    <t>B0100002610</t>
  </si>
  <si>
    <t>B0100005562</t>
  </si>
  <si>
    <t xml:space="preserve"> 2-4-2 Inversion Inicial Promocion y Mercadeo</t>
  </si>
  <si>
    <t>Total  2-4-2 Inversion Inicial Promocion y Mercadeo</t>
  </si>
  <si>
    <t xml:space="preserve"> 2-4-4 Mantenimientos Medios Digitales</t>
  </si>
  <si>
    <t>Total  2-4-4 Mantenimientos Medios Digitales</t>
  </si>
  <si>
    <t xml:space="preserve"> 2-4-5 Vallas Publicitarias</t>
  </si>
  <si>
    <t>Total  2-4-5 Vallas Publicitarias</t>
  </si>
  <si>
    <t xml:space="preserve"> 2-4-6 Materiales POP</t>
  </si>
  <si>
    <t>E310000000030</t>
  </si>
  <si>
    <t>GOLFINGDR BY EJVF SRL</t>
  </si>
  <si>
    <t>B0100000259</t>
  </si>
  <si>
    <t>Total  2-4-6 Materiales POP</t>
  </si>
  <si>
    <t xml:space="preserve"> 2-4-9 Gastos Operativos Mercadeo</t>
  </si>
  <si>
    <t>Total  2-4-9 Gastos Operativos Mercadeo</t>
  </si>
  <si>
    <t>Pend Fact(Overpaiment)</t>
  </si>
  <si>
    <t>As at 31 October 2025</t>
  </si>
  <si>
    <t>1-9 Inspeccion Tecnica</t>
  </si>
  <si>
    <t>2-4-6 Materiales POP</t>
  </si>
  <si>
    <t>Payment: ADVANTAGE CARO ARTICULOS PROMOCIONALES EIRL</t>
  </si>
  <si>
    <t>Payment: KAHKOW SRL</t>
  </si>
  <si>
    <t>B0100038182</t>
  </si>
  <si>
    <t>Payment:DOCUGREEN SRL</t>
  </si>
  <si>
    <t>B0100001439</t>
  </si>
  <si>
    <t>Materiales POP</t>
  </si>
  <si>
    <t>2-4-3 Medios Digitales (Redes Sociales)</t>
  </si>
  <si>
    <t>REDES SOCIALES SEPT-26</t>
  </si>
  <si>
    <t>CXP</t>
  </si>
  <si>
    <t>Total Compromisos</t>
  </si>
  <si>
    <t>MATASIETE PERSONAL(NOMINA)</t>
  </si>
  <si>
    <t>TECNICA REEMBOLSOS</t>
  </si>
  <si>
    <t xml:space="preserve"> 1-5-1 Edificaciones</t>
  </si>
  <si>
    <t>Total  1-5-1 Edificaciones</t>
  </si>
  <si>
    <t>OTROS INDIRECTOS</t>
  </si>
  <si>
    <t>FIDUCIARIA UNIVERSAL</t>
  </si>
  <si>
    <t>Total  2-3 Administración de Fiduciaria</t>
  </si>
  <si>
    <t>VARIAS</t>
  </si>
  <si>
    <t>2-4-3 Medios Digitales (Campaña y Redes Sociales)</t>
  </si>
  <si>
    <t>Total  2-4-3 Medios Digitales (Campaña y Redes Sociales)</t>
  </si>
  <si>
    <t>VARIOS</t>
  </si>
  <si>
    <t>Permisos</t>
  </si>
  <si>
    <t>RIOS Y ASOCIADOS</t>
  </si>
  <si>
    <t>Clasif Definitiva</t>
  </si>
  <si>
    <t>COLOR AMARILLO: Están en programación de pagos</t>
  </si>
  <si>
    <t>COLOR VERDE: Facturas que aun no estan en programación.</t>
  </si>
  <si>
    <t>COLOR NARANJA: Obligaciones sin facturas</t>
  </si>
  <si>
    <t>2-4-2 Inversion Inicial Promocion y Mercadeo</t>
  </si>
  <si>
    <t>2-4-4 Mantenimientos Medios Digitales</t>
  </si>
  <si>
    <t>2-4-5 Vallas Publicitarias</t>
  </si>
  <si>
    <t>2-4-7 Feria y Eventos Publicitarios</t>
  </si>
  <si>
    <t>2-4-8 Programa de Referidos</t>
  </si>
  <si>
    <t>2-4-9 Gastos Operativos Mercadeo</t>
  </si>
  <si>
    <t>Total Ejecutado
Octubre 2025</t>
  </si>
  <si>
    <t>Ejecución Octubre 2025</t>
  </si>
  <si>
    <t>Total Acumulado a Oct-25</t>
  </si>
  <si>
    <t>SIN FACTURA</t>
  </si>
  <si>
    <t>31 Oct 2025</t>
  </si>
  <si>
    <t>0.0155795 USD (United States Dollar)</t>
  </si>
  <si>
    <t>Al 31 Octubre 2025</t>
  </si>
  <si>
    <t>Cuentas</t>
  </si>
  <si>
    <t>Activos</t>
  </si>
  <si>
    <t>Balance en Bancos</t>
  </si>
  <si>
    <t>Construcción en Proceso</t>
  </si>
  <si>
    <t>Total Activos</t>
  </si>
  <si>
    <t>Pasivos</t>
  </si>
  <si>
    <t>Retención varias de ITBIS e ISR</t>
  </si>
  <si>
    <t>Total Pasivos</t>
  </si>
  <si>
    <t>Activos Netos</t>
  </si>
  <si>
    <t>Capital</t>
  </si>
  <si>
    <t>Aporte Fideicomitentes</t>
  </si>
  <si>
    <t>Total Capital</t>
  </si>
  <si>
    <t>Acumulado Oct-25</t>
  </si>
  <si>
    <t xml:space="preserve">ACUMULADO </t>
  </si>
  <si>
    <t>Cantidad</t>
  </si>
  <si>
    <t>Acumuladas</t>
  </si>
  <si>
    <t>Precio Promedio</t>
  </si>
  <si>
    <t>Iniciales por Negociar (Separación 10%)</t>
  </si>
  <si>
    <t>Separación 10%</t>
  </si>
  <si>
    <t>Cuotas mensuales nuevas ventas</t>
  </si>
  <si>
    <t>Cuotas unidades negociadas (Plan de Pagos)</t>
  </si>
  <si>
    <t>Cuotas mensuales promedio</t>
  </si>
  <si>
    <t>Proyección de Ingresos</t>
  </si>
  <si>
    <t>Por activar</t>
  </si>
  <si>
    <t>Comisiones Nuevas Ventas</t>
  </si>
  <si>
    <t>PRESTAMOS PARA ARAYA</t>
  </si>
  <si>
    <t xml:space="preserve">Empresa </t>
  </si>
  <si>
    <t xml:space="preserve">Banco </t>
  </si>
  <si>
    <t xml:space="preserve">Capital actual </t>
  </si>
  <si>
    <t>Intereses mensual</t>
  </si>
  <si>
    <t xml:space="preserve">Fecha </t>
  </si>
  <si>
    <t>Transf. Araya</t>
  </si>
  <si>
    <t xml:space="preserve">Primer mes </t>
  </si>
  <si>
    <t>Dias</t>
  </si>
  <si>
    <t>Acum a
 oct-25</t>
  </si>
  <si>
    <t>Acum a
 mar-26</t>
  </si>
  <si>
    <t>Vencimiento de Facilidad</t>
  </si>
  <si>
    <t>Optima</t>
  </si>
  <si>
    <t>ALNAP</t>
  </si>
  <si>
    <t>Fondo Inversión</t>
  </si>
  <si>
    <t>Total Fondo Inversión</t>
  </si>
  <si>
    <t>Total Intereses Acumulados y Proyectados</t>
  </si>
  <si>
    <t>Desembolsos</t>
  </si>
  <si>
    <t>Amortización</t>
  </si>
  <si>
    <t>Acum a Nov-25</t>
  </si>
  <si>
    <t>PUNTACANA PARTY RENTAL SRL</t>
  </si>
  <si>
    <t>Anticipo PO--253  Alquiler decoracion evento</t>
  </si>
  <si>
    <t>2-4 Publicidad y Promocion</t>
  </si>
  <si>
    <t xml:space="preserve"> 1-2-1 Diseno y Proyecto</t>
  </si>
  <si>
    <t>Total  1-2-1 Diseno y Proyecto</t>
  </si>
  <si>
    <t>B0100000572</t>
  </si>
  <si>
    <t>B0100000575</t>
  </si>
  <si>
    <t>B0100000582</t>
  </si>
  <si>
    <t>B0100000185</t>
  </si>
  <si>
    <t>B0100000183</t>
  </si>
  <si>
    <t>B0100000184</t>
  </si>
  <si>
    <t>B0100000186</t>
  </si>
  <si>
    <t>Total  1-7-2 Gastos Operativos Generales</t>
  </si>
  <si>
    <t>Total  1-7-3 Equipos y Transporte</t>
  </si>
  <si>
    <t>B0100005623</t>
  </si>
  <si>
    <t>B0100000228</t>
  </si>
  <si>
    <t>B0100000271</t>
  </si>
  <si>
    <t>B0100001472</t>
  </si>
  <si>
    <t>E310000000041</t>
  </si>
  <si>
    <t>E310000000076</t>
  </si>
  <si>
    <t>E310000000134</t>
  </si>
  <si>
    <t xml:space="preserve"> 2-2-2 Administracion de la Venta</t>
  </si>
  <si>
    <t>E310000000039</t>
  </si>
  <si>
    <t>Total  2-2-2 Administracion de la Venta</t>
  </si>
  <si>
    <t>B0100000576</t>
  </si>
  <si>
    <t>B0100002666</t>
  </si>
  <si>
    <t>B0100005624</t>
  </si>
  <si>
    <t xml:space="preserve"> 2-3-2 Debida Diligencia/Desvinculacion-Fiduciaria</t>
  </si>
  <si>
    <t>E310000000126</t>
  </si>
  <si>
    <t>Total  2-3-2 Debida Diligencia/Desvinculacion-Fiduciaria</t>
  </si>
  <si>
    <t>Total  2-4-1 Apartamento Modelo (Equipamiento)/Show Room</t>
  </si>
  <si>
    <t xml:space="preserve"> 2-4-4 Community Management</t>
  </si>
  <si>
    <t>E310000000038</t>
  </si>
  <si>
    <t>B0100004508</t>
  </si>
  <si>
    <t>B0100000030</t>
  </si>
  <si>
    <t>Total  2-4-4 Community Management</t>
  </si>
  <si>
    <t>B0100002405</t>
  </si>
  <si>
    <t>E310000000384</t>
  </si>
  <si>
    <t xml:space="preserve"> 2-4-7 Feria y Eventos Publicitarios</t>
  </si>
  <si>
    <t>E310000000040</t>
  </si>
  <si>
    <t>B0100000703</t>
  </si>
  <si>
    <t>B0100000704</t>
  </si>
  <si>
    <t>Total  2-4-7 Feria y Eventos Publicitarios</t>
  </si>
  <si>
    <t>B0100000350</t>
  </si>
  <si>
    <t>B0100000106</t>
  </si>
  <si>
    <t>B0100000105</t>
  </si>
  <si>
    <t>CENTRO DE COSTO</t>
  </si>
  <si>
    <t>1-2 Diseno y Proyecto</t>
  </si>
  <si>
    <t>1-6 Gerencia de Construccion</t>
  </si>
  <si>
    <t>2-3 Administracion de Fiduciaria</t>
  </si>
  <si>
    <t>2-4 Promocion y Publicidad</t>
  </si>
  <si>
    <t>REDES SOCIALES OCT-26</t>
  </si>
  <si>
    <t>Prepayment: PUNTA CANA PARTY RENTAL SRL</t>
  </si>
  <si>
    <t>PO--253 COT 12780</t>
  </si>
  <si>
    <t>Feria y Eventos Publicitarios</t>
  </si>
  <si>
    <t xml:space="preserve">URBANISMO MOVIMIENTO DE TIERRA FASE I </t>
  </si>
  <si>
    <t>OTROS</t>
  </si>
  <si>
    <t>Total   2-4-2 Inversion Inicial Promocion y Mercadeo</t>
  </si>
  <si>
    <t>Redes Oct-25</t>
  </si>
  <si>
    <t>CARTEL</t>
  </si>
  <si>
    <t xml:space="preserve">AYUNTAMIENTO </t>
  </si>
  <si>
    <t>1-7-5 Poliza TRC</t>
  </si>
  <si>
    <t>2-4-4 Community Management</t>
  </si>
  <si>
    <t>Total Ejecutado
Noviembre 2025</t>
  </si>
  <si>
    <t>Ejecución Noviembre 2025</t>
  </si>
  <si>
    <t>Total Acumulado a Nov-25</t>
  </si>
  <si>
    <t>30 Nov 2025</t>
  </si>
  <si>
    <t>Depósitos de Clientes Pendientes por Identificar</t>
  </si>
  <si>
    <t>Por aplicar BANE USA</t>
  </si>
  <si>
    <t>0.0160152 USD (United States Dollar)</t>
  </si>
  <si>
    <t>Al 30 Noviembre 2025</t>
  </si>
  <si>
    <t>Acumulado Nov-25</t>
  </si>
  <si>
    <t>Saldo a Prestamo Fideicomitente Grupo Bak</t>
  </si>
  <si>
    <t>Acum a Dic-25</t>
  </si>
  <si>
    <t>A pagar</t>
  </si>
  <si>
    <t>Acumulado a mar-26</t>
  </si>
  <si>
    <t>Acumulado a may-26</t>
  </si>
  <si>
    <t>ANTICIPO 60% COT 2149 PO--280 Modelado y Renderizado 3D interiores Terraza Balcon Flex</t>
  </si>
  <si>
    <t>As at 31 December 2025</t>
  </si>
  <si>
    <t>E310000926905</t>
  </si>
  <si>
    <t>E310000926934</t>
  </si>
  <si>
    <t>FERRETERIA DETALLISTA SA</t>
  </si>
  <si>
    <t>E310000123072</t>
  </si>
  <si>
    <t>E310000928606</t>
  </si>
  <si>
    <t>E310000928955</t>
  </si>
  <si>
    <t>E310000928272</t>
  </si>
  <si>
    <t>E310000123102</t>
  </si>
  <si>
    <t>E310000928637</t>
  </si>
  <si>
    <t>E310000930155</t>
  </si>
  <si>
    <t>E310000931115</t>
  </si>
  <si>
    <t>E310000930989</t>
  </si>
  <si>
    <t>RODFOR TEAM S R L</t>
  </si>
  <si>
    <t>E310000010816</t>
  </si>
  <si>
    <t>E310000931700</t>
  </si>
  <si>
    <t>B0100005687</t>
  </si>
  <si>
    <t>B0100000232</t>
  </si>
  <si>
    <t>B0100001526</t>
  </si>
  <si>
    <t>B0100002720</t>
  </si>
  <si>
    <t>B0100005705</t>
  </si>
  <si>
    <t>CARTEL SRL</t>
  </si>
  <si>
    <t>E310000002769</t>
  </si>
  <si>
    <t>COLORIN S A</t>
  </si>
  <si>
    <t>E310000003953</t>
  </si>
  <si>
    <t>E310000001568</t>
  </si>
  <si>
    <t>B0100000188</t>
  </si>
  <si>
    <t>1-2-1 Diseno y Proyecto</t>
  </si>
  <si>
    <t>1-9-1 Inspeccion Tecnica</t>
  </si>
  <si>
    <t>REDES SOCIALES NOV-25</t>
  </si>
  <si>
    <t>MARLO</t>
  </si>
  <si>
    <t>Redes Nov-25</t>
  </si>
  <si>
    <t>PUNTA CANA PARTY RENTAL SRL</t>
  </si>
  <si>
    <t>B0100006264</t>
  </si>
  <si>
    <t>EVENTO CIMA</t>
  </si>
  <si>
    <t>PRIMER PICAZO</t>
  </si>
  <si>
    <t>FITUR ALETA</t>
  </si>
  <si>
    <t>MARY GRULLON</t>
  </si>
  <si>
    <t>31 Dec 2025</t>
  </si>
  <si>
    <t>Disponibilidad en Flujo</t>
  </si>
  <si>
    <t>Disponibilidad Bancaria</t>
  </si>
  <si>
    <t>Retención ISR Personas Físicas 2%</t>
  </si>
  <si>
    <t>0.0158507 USD (United States Dollar)</t>
  </si>
  <si>
    <t>Al 31 Diciembre 2025</t>
  </si>
  <si>
    <t>Pendiente la factura de Hidropozos, diferencia en contabilidad y ejecucion de obra RD$ 278,000</t>
  </si>
  <si>
    <t>Acumulado Dic-25</t>
  </si>
  <si>
    <t>PAGO CREDITO PUENTE BAK</t>
  </si>
  <si>
    <t>AVANCE PRESUPUESTO DE OBRA</t>
  </si>
  <si>
    <t>Ingresos menos costos financieros</t>
  </si>
  <si>
    <t>Fondo Rotatorio</t>
  </si>
  <si>
    <t>GERENCIA INMOBILIARIA PROACTIVA GERIPSA SRL</t>
  </si>
  <si>
    <t>anticipo 40% Cot. SO097 SC--079 Galpon Multiuso Centro de produccion</t>
  </si>
  <si>
    <t>TESORERIA NACIONAL</t>
  </si>
  <si>
    <t>Pago para deposito de expediente en MIVED Araya. Pendiente registro en Procore</t>
  </si>
  <si>
    <t>As at 31 January 2026</t>
  </si>
  <si>
    <t>Ageing by invoice date</t>
  </si>
  <si>
    <t>E310001100703</t>
  </si>
  <si>
    <t>E310001103095</t>
  </si>
  <si>
    <t>BLUE WAVE AGREGADOS SRL</t>
  </si>
  <si>
    <t>E310000000177</t>
  </si>
  <si>
    <t>GRUPO SANIDOM SRL</t>
  </si>
  <si>
    <t>B0100000187</t>
  </si>
  <si>
    <t>E310001098381</t>
  </si>
  <si>
    <t>E310001099298</t>
  </si>
  <si>
    <t>E310001100858</t>
  </si>
  <si>
    <t>B0100000536</t>
  </si>
  <si>
    <t>E310001102072</t>
  </si>
  <si>
    <t>E310001102083</t>
  </si>
  <si>
    <t>HORMIGON INDUSTRIAL DEL ESTE SRL</t>
  </si>
  <si>
    <t>B0100001694</t>
  </si>
  <si>
    <t>INGENIERÍA ELECTROMECÁNICA ESPINAL FORTUNA SRL</t>
  </si>
  <si>
    <t>B0100000077</t>
  </si>
  <si>
    <t>E310001142466</t>
  </si>
  <si>
    <t>FEW GROUP SRL</t>
  </si>
  <si>
    <t>B0100003885</t>
  </si>
  <si>
    <t>E310000012139</t>
  </si>
  <si>
    <t>E310001106169</t>
  </si>
  <si>
    <t>E310001106171</t>
  </si>
  <si>
    <t>E310001106177</t>
  </si>
  <si>
    <t>E310001105264</t>
  </si>
  <si>
    <t>E310000272113</t>
  </si>
  <si>
    <t xml:space="preserve"> 1-7-2 Gastos Operativos Generales</t>
  </si>
  <si>
    <t>GRUPO CUSTOM RD SRL</t>
  </si>
  <si>
    <t>B0100003267</t>
  </si>
  <si>
    <t>B0100005756</t>
  </si>
  <si>
    <t>B0100000250</t>
  </si>
  <si>
    <t>E310000000009</t>
  </si>
  <si>
    <t>E310000000954</t>
  </si>
  <si>
    <t>E310000001094</t>
  </si>
  <si>
    <t>B0100002763</t>
  </si>
  <si>
    <t>AIR CLEANER IMPORT PEDRO MARCHENA SRL</t>
  </si>
  <si>
    <t>B0100000423</t>
  </si>
  <si>
    <t>B0100005770</t>
  </si>
  <si>
    <t>E310000000392</t>
  </si>
  <si>
    <t>B0100004602</t>
  </si>
  <si>
    <t>B0100002489</t>
  </si>
  <si>
    <t>E310000003038</t>
  </si>
  <si>
    <t>B0100004619</t>
  </si>
  <si>
    <t>B0100000273</t>
  </si>
  <si>
    <t>B0100002328</t>
  </si>
  <si>
    <t>2-3-2 Debida Diligencia/Desvinculacion-Fiduciaria</t>
  </si>
  <si>
    <t>REDES SOCIALES DIC-25</t>
  </si>
  <si>
    <t>Prepayment: CANVAS DESIGN &amp; MEDIA GROUP SRL</t>
  </si>
  <si>
    <t>Anticipo Cot 5274 diseno arte para vallas PO--311</t>
  </si>
  <si>
    <t>Vallas Publicitarias</t>
  </si>
  <si>
    <t>Prepayment: TESORERIA NACIONAL</t>
  </si>
  <si>
    <t>Descripción</t>
  </si>
  <si>
    <t>1-1 TERRENO</t>
  </si>
  <si>
    <t>1-2 DISEÑO Y PROYECTO</t>
  </si>
  <si>
    <t>1-4 URBANISMO</t>
  </si>
  <si>
    <t>1-5 EDIFICACIONES</t>
  </si>
  <si>
    <t>1-6 GERENCIA DE CONSTRUCCION</t>
  </si>
  <si>
    <t>1-7 INDIRECTOS DE OBRA</t>
  </si>
  <si>
    <t>1-8 FONDO DE CONTINGENCIA</t>
  </si>
  <si>
    <t>1-9 INSPECCION TECNICA</t>
  </si>
  <si>
    <t>SUBTOTAL CONSTRUCCION</t>
  </si>
  <si>
    <t>2-1 GERENCIA DE LA PROMOTORA</t>
  </si>
  <si>
    <t>2-2 GERENCIA DE VENTAS</t>
  </si>
  <si>
    <t>2-3 ADMINISTRACION DE FIDUCIARIA</t>
  </si>
  <si>
    <t>2-4 PUBLICIDAD Y PROMOCION</t>
  </si>
  <si>
    <t>2-5 POST-VENTAS</t>
  </si>
  <si>
    <t>SUBTOTAL OPERATIVO</t>
  </si>
  <si>
    <t>3-1 PERMISOS LEGALES Y PRELIMINARES</t>
  </si>
  <si>
    <t>3-3 GASTOS FINANCIEROS</t>
  </si>
  <si>
    <t>3-4 IMPREVISTOS</t>
  </si>
  <si>
    <t>SUBTOTAL OTROS</t>
  </si>
  <si>
    <t>TOTAL GENERAL</t>
  </si>
  <si>
    <t>Total Ejecutado
Enero 2026</t>
  </si>
  <si>
    <t>Total Acumulado a Ene-26</t>
  </si>
  <si>
    <t>Trabajos por facturar</t>
  </si>
  <si>
    <t>Formula: Cubicaciones pendientes de facturar</t>
  </si>
  <si>
    <t>31 Jan 2026</t>
  </si>
  <si>
    <t>0.0158979 USD (United States Dollar)</t>
  </si>
  <si>
    <t>Acumulado a feb-26</t>
  </si>
  <si>
    <t>Banco Alaver</t>
  </si>
  <si>
    <t>Total Banco Alaver</t>
  </si>
  <si>
    <t>Al 31 de Enero 2026</t>
  </si>
  <si>
    <t>Grupo Bak SRL Admin</t>
  </si>
  <si>
    <t>Total CXP 31-1-26</t>
  </si>
  <si>
    <t>CONOGRAMA DE OBRA</t>
  </si>
  <si>
    <t>TECNICA MMHB</t>
  </si>
  <si>
    <t>Total   1-6-1 Gerencia de Construccion</t>
  </si>
  <si>
    <t>VARIOS GASTOS DE INDIRECTOS SEGÚN TABLA</t>
  </si>
  <si>
    <t>OTROS GASTOS OPERATIVOS</t>
  </si>
  <si>
    <t xml:space="preserve"> 2-3-2 Administracion Fiduciaria</t>
  </si>
  <si>
    <t>FIDUCIARIA</t>
  </si>
  <si>
    <t>Total   2-3-2 Administracion Fiduciaria</t>
  </si>
  <si>
    <t xml:space="preserve"> REDES SOCIALES -FB-GOOGLE-</t>
  </si>
  <si>
    <t>Total  2-4-8 Programa de Referidos</t>
  </si>
  <si>
    <t>% PAGO</t>
  </si>
  <si>
    <t xml:space="preserve">COMPROMISOS POR PAGAR </t>
  </si>
  <si>
    <t>Acumulado Ene-26</t>
  </si>
  <si>
    <t>PAGO CREDITO PUENTE AFI</t>
  </si>
  <si>
    <t>CREDITO ALAVER</t>
  </si>
  <si>
    <t>TALLER INDUSTRIAL J NIVAR SRL</t>
  </si>
  <si>
    <t>Anticipo SC--084 fabricacion portal de entrada</t>
  </si>
  <si>
    <t>Anticipo MIVED PO--366 inspeccion</t>
  </si>
  <si>
    <t xml:space="preserve">Anticipo PO--288 Mary Grullon Firma de planos </t>
  </si>
  <si>
    <t>As at 28 February 2026</t>
  </si>
  <si>
    <t>INT- 225 440</t>
  </si>
  <si>
    <t>E310000939550</t>
  </si>
  <si>
    <t>E310000272221</t>
  </si>
  <si>
    <t>E310000942729</t>
  </si>
  <si>
    <t>B0100000233</t>
  </si>
  <si>
    <t>B0100000636</t>
  </si>
  <si>
    <t>E310000939377</t>
  </si>
  <si>
    <t>E310000939386</t>
  </si>
  <si>
    <t>E310000939549</t>
  </si>
  <si>
    <t>E310000942759</t>
  </si>
  <si>
    <t>E310000272280</t>
  </si>
  <si>
    <t>B0100000625</t>
  </si>
  <si>
    <t>E310000272301</t>
  </si>
  <si>
    <t>E310000272307</t>
  </si>
  <si>
    <t>E310000946503</t>
  </si>
  <si>
    <t>B0100000744</t>
  </si>
  <si>
    <t>E310000272139</t>
  </si>
  <si>
    <t>E310000272168</t>
  </si>
  <si>
    <t>E310000272159</t>
  </si>
  <si>
    <t>E310000012440</t>
  </si>
  <si>
    <t>E310000012437</t>
  </si>
  <si>
    <t>E310000939281</t>
  </si>
  <si>
    <t>E310000939272</t>
  </si>
  <si>
    <t>E310000272203</t>
  </si>
  <si>
    <t>E310000272226</t>
  </si>
  <si>
    <t>E310000941244</t>
  </si>
  <si>
    <t>E310000940930</t>
  </si>
  <si>
    <t>E310000940775</t>
  </si>
  <si>
    <t>JHONNY PERALTA EQUIPOS Y CONSTRUCCION SRL</t>
  </si>
  <si>
    <t>B0100000520</t>
  </si>
  <si>
    <t>E310000942544</t>
  </si>
  <si>
    <t>E310000000227</t>
  </si>
  <si>
    <t>E310000942762</t>
  </si>
  <si>
    <t>E310000942911</t>
  </si>
  <si>
    <t>CONCREMAX SRL</t>
  </si>
  <si>
    <t>E310000000742</t>
  </si>
  <si>
    <t>E310000012907</t>
  </si>
  <si>
    <t>E310000012895</t>
  </si>
  <si>
    <t>E310000943226</t>
  </si>
  <si>
    <t>E310000000745</t>
  </si>
  <si>
    <t>ENCOFRADOS VERSATEC SRL</t>
  </si>
  <si>
    <t>BO100000300</t>
  </si>
  <si>
    <t>E310000944810</t>
  </si>
  <si>
    <t>E310000944786</t>
  </si>
  <si>
    <t>E310000944339</t>
  </si>
  <si>
    <t>E310000000747</t>
  </si>
  <si>
    <t>E310000000746</t>
  </si>
  <si>
    <t>E310000945333</t>
  </si>
  <si>
    <t>E310000945349</t>
  </si>
  <si>
    <t>E310000272316</t>
  </si>
  <si>
    <t>E310000946058</t>
  </si>
  <si>
    <t>B0100000205</t>
  </si>
  <si>
    <t>E310000013333</t>
  </si>
  <si>
    <t>E310000947438</t>
  </si>
  <si>
    <t>E310000946126</t>
  </si>
  <si>
    <t>B0100003304</t>
  </si>
  <si>
    <t>B0100005820</t>
  </si>
  <si>
    <t>B0100000255</t>
  </si>
  <si>
    <t>E310000001209</t>
  </si>
  <si>
    <t>B0100002811</t>
  </si>
  <si>
    <t>B0100005829</t>
  </si>
  <si>
    <t>B0100004648</t>
  </si>
  <si>
    <t>B0100002503</t>
  </si>
  <si>
    <t>E310000003253</t>
  </si>
  <si>
    <t xml:space="preserve"> 2-4-8 Programa de Referidos</t>
  </si>
  <si>
    <t>CAROLINA COROMOTO PINANGO MARTINEZ</t>
  </si>
  <si>
    <t>Referimiento Unidad 2-202</t>
  </si>
  <si>
    <t>PEDRO LUIS ANTONUCCIO GONZALEZ</t>
  </si>
  <si>
    <t>Referimiento Unidades 8-201. 70-202 y 70-201</t>
  </si>
  <si>
    <t>Porcentaje</t>
  </si>
  <si>
    <t>Anticipo MIVED PO--366</t>
  </si>
  <si>
    <t>Total Acumulado a Feb-26</t>
  </si>
  <si>
    <t>Acum a 
Dic-25</t>
  </si>
  <si>
    <t>Total Intereses Proyectados</t>
  </si>
  <si>
    <t>28 Feb 2026</t>
  </si>
  <si>
    <t>Retención de Derecho Laboral</t>
  </si>
  <si>
    <t>Retención de Fiel Cumplimiento</t>
  </si>
  <si>
    <t>Rounding</t>
  </si>
  <si>
    <t>Profit and Loss</t>
  </si>
  <si>
    <t>For the 121 months ended 28 February 2026</t>
  </si>
  <si>
    <t>Feb 2016-Feb 2026</t>
  </si>
  <si>
    <t>Other Income</t>
  </si>
  <si>
    <t>Intereses Generados por Cuentas de Ahorro</t>
  </si>
  <si>
    <t>Total Other Income</t>
  </si>
  <si>
    <t>Operating Expenses</t>
  </si>
  <si>
    <t>0.0167574 USD (United States Dollar)</t>
  </si>
  <si>
    <t>Egresos Financieros - Comisiones Bancarias</t>
  </si>
  <si>
    <t>Egresos Financieros - Ret Impuestos al Transf. Fondos Cks</t>
  </si>
  <si>
    <t>Egresos por multas</t>
  </si>
  <si>
    <t>Total Operating Expenses</t>
  </si>
  <si>
    <t>Net Profit</t>
  </si>
  <si>
    <t>Al 28 de Febrero 2026</t>
  </si>
  <si>
    <t>Total CXP 28-2-26</t>
  </si>
  <si>
    <t>Programado al corte de febrero</t>
  </si>
  <si>
    <t>Ejecutado de dic-25 a feb-26</t>
  </si>
  <si>
    <t>No ejecutado según programación</t>
  </si>
  <si>
    <t>Anticipos</t>
  </si>
  <si>
    <t>POLIZA TRC</t>
  </si>
  <si>
    <t>Acumulado Feb-26</t>
  </si>
  <si>
    <t>Costo de Obra acumulado</t>
  </si>
  <si>
    <t>Gerencia Construcción 10% Presupuestada</t>
  </si>
  <si>
    <t>Gerencia Construcción 10% Acumulada</t>
  </si>
  <si>
    <t>Retención 20%</t>
  </si>
  <si>
    <t>Diiferencia</t>
  </si>
  <si>
    <t>Diferencia Acumulada</t>
  </si>
  <si>
    <t>Gerencia Promotora 8% Presupuestada</t>
  </si>
  <si>
    <t>Gerencia Promotora 8% Acumulada</t>
  </si>
  <si>
    <t>Linea de Crédito ALAVER</t>
  </si>
  <si>
    <t>Alaver 15938</t>
  </si>
  <si>
    <t>Desembolso prestamo Alaver</t>
  </si>
  <si>
    <t xml:space="preserve">Desembolso </t>
  </si>
  <si>
    <t>Total Alaver 15938</t>
  </si>
  <si>
    <t>ANTICIPO PO--403. ALQUILER ANDAMIOS PARA RESANE EDIFICACIONES</t>
  </si>
  <si>
    <t>PREVENTIONART J&amp;C SRL</t>
  </si>
  <si>
    <t>ANTICIPO SC--089 Elaboracion y Diseno de Plan de Emergencia Seguridad Industrial del Proyecto</t>
  </si>
  <si>
    <t>As at 31 March 2026</t>
  </si>
  <si>
    <t>TECNICA ELECTROMECANICA NUÑEZ SRL</t>
  </si>
  <si>
    <t>B0100000072</t>
  </si>
  <si>
    <t>RAUL VILLANUEVA VASQUEZ</t>
  </si>
  <si>
    <t>CUBICACION # 3 SC--014</t>
  </si>
  <si>
    <t>E310000272392</t>
  </si>
  <si>
    <t>E310000000312</t>
  </si>
  <si>
    <t>E310000956264</t>
  </si>
  <si>
    <t>E310000000349</t>
  </si>
  <si>
    <t>E310000957983</t>
  </si>
  <si>
    <t>E310000960086</t>
  </si>
  <si>
    <t>E310000272391</t>
  </si>
  <si>
    <t>E310000000011</t>
  </si>
  <si>
    <t>B0100001731</t>
  </si>
  <si>
    <t>E310000000298</t>
  </si>
  <si>
    <t>ANTICIPO SC--087 ANDAMIOS</t>
  </si>
  <si>
    <t>E310000000308</t>
  </si>
  <si>
    <t>E310000272458</t>
  </si>
  <si>
    <t>E310000013732</t>
  </si>
  <si>
    <t>E310000000327</t>
  </si>
  <si>
    <t>E310000000324</t>
  </si>
  <si>
    <t>E310000013990</t>
  </si>
  <si>
    <t>E310000272518</t>
  </si>
  <si>
    <t>E310000000338</t>
  </si>
  <si>
    <t>B0100000210</t>
  </si>
  <si>
    <t>KINNOX S A</t>
  </si>
  <si>
    <t>E310000011549</t>
  </si>
  <si>
    <t>E310000011548</t>
  </si>
  <si>
    <t>E310000955271</t>
  </si>
  <si>
    <t>E310000014170</t>
  </si>
  <si>
    <t>E310000014171</t>
  </si>
  <si>
    <t>E310000956262</t>
  </si>
  <si>
    <t>E310000272586</t>
  </si>
  <si>
    <t>E310000014388</t>
  </si>
  <si>
    <t>B0100000204</t>
  </si>
  <si>
    <t>E310000958532</t>
  </si>
  <si>
    <t>FRANCISCO LEONEL DEL VALLE DOTEL</t>
  </si>
  <si>
    <t>CUBICACION #4 SC--009</t>
  </si>
  <si>
    <t>CUBICACION # 3 SC--015</t>
  </si>
  <si>
    <t>CUBICACION # 1 SC--099</t>
  </si>
  <si>
    <t>IVAN DARIO OSORIO GONZALEZ</t>
  </si>
  <si>
    <t>CUBICACION # 3 SC--017</t>
  </si>
  <si>
    <t>CUBICACION # 1 SC--098</t>
  </si>
  <si>
    <t>JEAN MARC DORLEON</t>
  </si>
  <si>
    <t>CUBICACION #4 SC--012</t>
  </si>
  <si>
    <t>CUBICACION # 1 SC--096</t>
  </si>
  <si>
    <t>CUBICACION # 2 SC--022</t>
  </si>
  <si>
    <t>OGLINE PIERRE</t>
  </si>
  <si>
    <t>CUBICACION # 2 SC--023</t>
  </si>
  <si>
    <t>CUBICACION # 4 SC--008</t>
  </si>
  <si>
    <t>CUBICACION # 2 SC--021</t>
  </si>
  <si>
    <t>CUBICACION # 1 SC--100</t>
  </si>
  <si>
    <t>CUBICACION # 1 SC -- 101</t>
  </si>
  <si>
    <t>TORRANCE DEVELOPMENT GROUP SRL</t>
  </si>
  <si>
    <t>B0100000581</t>
  </si>
  <si>
    <t>YSIDRO URENA CARMONA</t>
  </si>
  <si>
    <t>CUBICACION # 3  SC--018</t>
  </si>
  <si>
    <t>CUBICACION # 1 SC--097</t>
  </si>
  <si>
    <t>E310000959028</t>
  </si>
  <si>
    <t>E310000959034</t>
  </si>
  <si>
    <t>E3100000959812</t>
  </si>
  <si>
    <t>E310000000366</t>
  </si>
  <si>
    <t>E310000000380</t>
  </si>
  <si>
    <t>E310000272665</t>
  </si>
  <si>
    <t>E310000272666</t>
  </si>
  <si>
    <t>E310000012692</t>
  </si>
  <si>
    <t>E310000014648</t>
  </si>
  <si>
    <t>E310000014647</t>
  </si>
  <si>
    <t>E310000960867</t>
  </si>
  <si>
    <t>E310000000370</t>
  </si>
  <si>
    <t>E310000000386</t>
  </si>
  <si>
    <t>DIEUDONNE MARIE VARMELLE</t>
  </si>
  <si>
    <t>CUBICACION #1-SC--093</t>
  </si>
  <si>
    <t>MIGUEL AMADOR TEJEDA</t>
  </si>
  <si>
    <t>CUBICACION #1--SC--095</t>
  </si>
  <si>
    <t>CUBICACION #1-SC--092</t>
  </si>
  <si>
    <t xml:space="preserve"> 1-7-5 Poliza TRC</t>
  </si>
  <si>
    <t>SEGUROS UNIVERSAL SA</t>
  </si>
  <si>
    <t>E310000359556</t>
  </si>
  <si>
    <t>Total  1-7-5 Poliza TRC</t>
  </si>
  <si>
    <t>B0100000257</t>
  </si>
  <si>
    <t>E310000000068</t>
  </si>
  <si>
    <t>KISWER INVESTMENTS SRL</t>
  </si>
  <si>
    <t>B0100000990</t>
  </si>
  <si>
    <t>B0100002851</t>
  </si>
  <si>
    <t>E310000000019</t>
  </si>
  <si>
    <t>B0100000055</t>
  </si>
  <si>
    <t>E310000003517</t>
  </si>
  <si>
    <t>E310000000081</t>
  </si>
  <si>
    <t>OFICINA NACIONAL DE LA PROPIEDAD INDUSTRIAL ONAPI</t>
  </si>
  <si>
    <t>B0100315681</t>
  </si>
  <si>
    <t>OMG LEGAL SAS</t>
  </si>
  <si>
    <t>B0100001142</t>
  </si>
  <si>
    <t>SEGUROS PAGADOS POR ANTICIPADO</t>
  </si>
  <si>
    <t>TERRENOS</t>
  </si>
  <si>
    <t>COSTOS DE URBANISMO</t>
  </si>
  <si>
    <t>INTERESES SOBRE PRESTAMOS</t>
  </si>
  <si>
    <t>Ejecución Marzo 2026</t>
  </si>
  <si>
    <t>Total Acumulado a Mar-26</t>
  </si>
  <si>
    <t>Crédito Interino</t>
  </si>
  <si>
    <t>Total Crédito interino</t>
  </si>
  <si>
    <t>31 Mar 2026</t>
  </si>
  <si>
    <t>Banco Alaver Cta de Ahorro en DOP</t>
  </si>
  <si>
    <t>Otras Cuentas por Pagar Tecnica MMHB</t>
  </si>
  <si>
    <t>Otras Cuentas por Pagar Proveedores</t>
  </si>
  <si>
    <t>Al 31 de Marzo 2026</t>
  </si>
  <si>
    <t>For the 120 months ended 31 March 2026</t>
  </si>
  <si>
    <t>Apr 2016-Mar 2026</t>
  </si>
  <si>
    <t>Trading Income</t>
  </si>
  <si>
    <t>Penalidad por Desistimientos</t>
  </si>
  <si>
    <t>Total Trading Income</t>
  </si>
  <si>
    <t>Gross Profit</t>
  </si>
  <si>
    <t>Retención Cargos Bancarios por Desistimientos</t>
  </si>
  <si>
    <t>Ajuste a la Diferencia en Cambio</t>
  </si>
  <si>
    <t>Ventas de feb-26</t>
  </si>
  <si>
    <t>Ventas de mar-26</t>
  </si>
  <si>
    <t>Ventas de abr-27</t>
  </si>
  <si>
    <t>Ventas de may-27</t>
  </si>
  <si>
    <t>Ventas de jun-28</t>
  </si>
  <si>
    <t>CXP 31-3-26</t>
  </si>
  <si>
    <t>Ejecutado de dic-25 a mar-26</t>
  </si>
  <si>
    <t>Según Flujo</t>
  </si>
  <si>
    <t>Pendiente de Pagar a mar-26</t>
  </si>
  <si>
    <t>FIDUCIARIA ADM</t>
  </si>
  <si>
    <t>FIDUCIARIA DB</t>
  </si>
  <si>
    <t>Confirmar si aumentaron el presupuesto de Redes</t>
  </si>
  <si>
    <t>EQUIPAMIENTO APTO MODELO</t>
  </si>
  <si>
    <t>LICENCIA DE CONSTRUCCION MIVHED MAS CODIA</t>
  </si>
  <si>
    <t xml:space="preserve"> 3-3-1 Intereses Préstamo</t>
  </si>
  <si>
    <t>BANCO ALAVER</t>
  </si>
  <si>
    <t>Acumulado Mar-26</t>
  </si>
  <si>
    <t>INTERINO DE CONSTRUCCION</t>
  </si>
  <si>
    <t>TOTAL PAGOS</t>
  </si>
  <si>
    <t>Anticipo para Obra</t>
  </si>
  <si>
    <t>Empresa</t>
  </si>
  <si>
    <t>Base cálculo</t>
  </si>
  <si>
    <t>Presupuesto ADI</t>
  </si>
  <si>
    <t>Fase I</t>
  </si>
  <si>
    <t>Fase II</t>
  </si>
  <si>
    <t>Fase III</t>
  </si>
  <si>
    <t>Ejecutado Mar-26</t>
  </si>
  <si>
    <t>Pendiente por ejecutar Fase I</t>
  </si>
  <si>
    <t>Tecnica MMHB</t>
  </si>
  <si>
    <t>Inspección Tecnica</t>
  </si>
  <si>
    <t>Monto Fijo</t>
  </si>
  <si>
    <t>Acervo</t>
  </si>
  <si>
    <t>Monto Fijo a ago-27</t>
  </si>
  <si>
    <t>Equipo Ofic Venta</t>
  </si>
  <si>
    <t>Matasiete</t>
  </si>
  <si>
    <t>Equipo Ofic Obra</t>
  </si>
  <si>
    <t>Administración</t>
  </si>
  <si>
    <t>Fid Universal</t>
  </si>
  <si>
    <t>Fee Mercadeo</t>
  </si>
  <si>
    <t>Críterio</t>
  </si>
  <si>
    <t>Por Fase</t>
  </si>
  <si>
    <t>Fin. Fase I</t>
  </si>
  <si>
    <t>FASE 1</t>
  </si>
  <si>
    <t>FASE 2</t>
  </si>
  <si>
    <t>FASE 3</t>
  </si>
  <si>
    <t>ANTICIPO PO--191 SALDO PERMISO 77 EDIFICIOS</t>
  </si>
  <si>
    <t>CUOTA 27-04-26 PO--449</t>
  </si>
  <si>
    <t>ENCOFORMAS SRL</t>
  </si>
  <si>
    <t>ANTICIPO-PO--470 Purchase. Materiales Encofrado</t>
  </si>
  <si>
    <t>E310000003769</t>
  </si>
  <si>
    <t>B0100002536</t>
  </si>
  <si>
    <t>E310000004799</t>
  </si>
  <si>
    <t>B0100000061</t>
  </si>
  <si>
    <t>Total  2-4-3 Medios Digitales (Campana y Redes Sociales)</t>
  </si>
  <si>
    <t>B0100000381</t>
  </si>
  <si>
    <t xml:space="preserve"> 2-4-3 Medios Digitales (Campana y Redes Sociales)</t>
  </si>
  <si>
    <t>B0100005897</t>
  </si>
  <si>
    <t>B0100002891</t>
  </si>
  <si>
    <t>E310000000091</t>
  </si>
  <si>
    <t>B0100005889</t>
  </si>
  <si>
    <t>E310000273016</t>
  </si>
  <si>
    <t>E3100000972417</t>
  </si>
  <si>
    <t>E310000971428</t>
  </si>
  <si>
    <t>E310000971590</t>
  </si>
  <si>
    <t>E310000971807</t>
  </si>
  <si>
    <t>E310000971805</t>
  </si>
  <si>
    <t>E310000015632</t>
  </si>
  <si>
    <t>E310000015639</t>
  </si>
  <si>
    <t>E310000000464</t>
  </si>
  <si>
    <t>E310000970843</t>
  </si>
  <si>
    <t>E310000970855</t>
  </si>
  <si>
    <t>E310000971094</t>
  </si>
  <si>
    <t>E310000971041</t>
  </si>
  <si>
    <t>E310000971086</t>
  </si>
  <si>
    <t>E310000970591</t>
  </si>
  <si>
    <t>E310000970647</t>
  </si>
  <si>
    <t>B0100004017</t>
  </si>
  <si>
    <t>E310000970175</t>
  </si>
  <si>
    <t>E310000013774</t>
  </si>
  <si>
    <t>E310000000454</t>
  </si>
  <si>
    <t>E310000000453</t>
  </si>
  <si>
    <t>E310000969799</t>
  </si>
  <si>
    <t>E310000969639</t>
  </si>
  <si>
    <t>E310000969630</t>
  </si>
  <si>
    <t>E310000015392</t>
  </si>
  <si>
    <t>E310000000444</t>
  </si>
  <si>
    <t>E310000968420</t>
  </si>
  <si>
    <t>E310000968722</t>
  </si>
  <si>
    <t>B0100000584</t>
  </si>
  <si>
    <t>E310000177334</t>
  </si>
  <si>
    <t>GERDAU METALDOM SA</t>
  </si>
  <si>
    <t>E310000000431</t>
  </si>
  <si>
    <t>E310000015283</t>
  </si>
  <si>
    <t>E310000967182</t>
  </si>
  <si>
    <t>E310000177349</t>
  </si>
  <si>
    <t>E310000177351</t>
  </si>
  <si>
    <t>E310000177352</t>
  </si>
  <si>
    <t>E310000966654</t>
  </si>
  <si>
    <t>E310000000424</t>
  </si>
  <si>
    <t>E310000015017</t>
  </si>
  <si>
    <t>E310000015023</t>
  </si>
  <si>
    <t>E310000965292</t>
  </si>
  <si>
    <t>E310000000415</t>
  </si>
  <si>
    <t>ANTICIPO PO--472</t>
  </si>
  <si>
    <t>E310000000405</t>
  </si>
  <si>
    <t>E310000000402</t>
  </si>
  <si>
    <t>E310000963774</t>
  </si>
  <si>
    <t>E310000963856</t>
  </si>
  <si>
    <t>E310000963840</t>
  </si>
  <si>
    <t>E310000963802</t>
  </si>
  <si>
    <t>E310000014857</t>
  </si>
  <si>
    <t>E310000014856</t>
  </si>
  <si>
    <t>E310000014860</t>
  </si>
  <si>
    <t>E310000000393</t>
  </si>
  <si>
    <t>E310000963034</t>
  </si>
  <si>
    <t>E310000014744</t>
  </si>
  <si>
    <t>E310000969573</t>
  </si>
  <si>
    <t>E310000969323</t>
  </si>
  <si>
    <t>E310000968679</t>
  </si>
  <si>
    <t>E310000272863</t>
  </si>
  <si>
    <t>E310000272856</t>
  </si>
  <si>
    <t>E310000272835</t>
  </si>
  <si>
    <t>E310000272816</t>
  </si>
  <si>
    <t>E310000272822</t>
  </si>
  <si>
    <t>E310000971804</t>
  </si>
  <si>
    <t>B0100000768</t>
  </si>
  <si>
    <t>E310000015552</t>
  </si>
  <si>
    <t>ANTICIPO-SC--114</t>
  </si>
  <si>
    <t>ANTICIPO-SC--113</t>
  </si>
  <si>
    <t>E310000969032</t>
  </si>
  <si>
    <t>E310000968704</t>
  </si>
  <si>
    <t>E310000966584</t>
  </si>
  <si>
    <t>B0100000002</t>
  </si>
  <si>
    <t>B0100000109</t>
  </si>
  <si>
    <t>As at 30 April 2026</t>
  </si>
  <si>
    <t>2-4-3 Medios Digitales (Campana y Redes Sociales)</t>
  </si>
  <si>
    <t xml:space="preserve">Percentage </t>
  </si>
  <si>
    <t>Ejecución Abril 2026</t>
  </si>
  <si>
    <t>Total Ejecutado
Abril 2026</t>
  </si>
  <si>
    <t>Total Acumulado a Abr-26</t>
  </si>
  <si>
    <t>0.0168297 USD (United States Dollar)</t>
  </si>
  <si>
    <t>30 Apr 2026</t>
  </si>
  <si>
    <r>
      <rPr>
        <b/>
        <sz val="9"/>
        <color theme="1"/>
        <rFont val="Arial"/>
      </rPr>
      <t>[FX]</t>
    </r>
    <r>
      <rPr>
        <sz val="11"/>
        <color theme="1"/>
        <rFont val="Calibri"/>
        <family val="2"/>
        <scheme val="minor"/>
      </rPr>
      <t xml:space="preserve"> Exchange rates used to convert foreign currency into DOP are shown below. Rates are provided by XE.com unless otherwise stated.</t>
    </r>
  </si>
  <si>
    <t>Al 30 de Abril 2026</t>
  </si>
  <si>
    <t>For the 120 months ended 30 April 2026</t>
  </si>
  <si>
    <t>May 2016-Apr 2026</t>
  </si>
  <si>
    <t>Ganancia o perdida por diferencia en cambio no realizada</t>
  </si>
  <si>
    <t>Ganancia o perdida por diferencia en cambio realizada</t>
  </si>
  <si>
    <t>Ganancia o Prdida por Diferencia en Cambio Bancos</t>
  </si>
  <si>
    <t>CXP 30-4-26</t>
  </si>
  <si>
    <t xml:space="preserve"> 1-7 Indirectos</t>
  </si>
  <si>
    <t>Ejecutado de dic-25 a abr-26</t>
  </si>
  <si>
    <t>Pendiente de Pagar a abr-26</t>
  </si>
  <si>
    <t>PROGRAMA DE REFERIDOS VARIOS</t>
  </si>
  <si>
    <t>FERIA Y EVENTOS VARIOS</t>
  </si>
  <si>
    <t>ACERVO COMMUNITY</t>
  </si>
  <si>
    <t xml:space="preserve"> 2-4 Publicidad</t>
  </si>
  <si>
    <t>Total  2-4 Publicidad</t>
  </si>
  <si>
    <t>RIOS LEGAL</t>
  </si>
  <si>
    <t>Acumulado Abr-26</t>
  </si>
  <si>
    <t>Costos Totales Presupuestados</t>
  </si>
  <si>
    <t>Costos Totales Presupuestados Acum.</t>
  </si>
  <si>
    <t>70% del patrimonio</t>
  </si>
  <si>
    <t>Valor Garantizado para desembolsos de prestamos</t>
  </si>
  <si>
    <t>Certificado garantizado desembolsado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</si>
</sst>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8">
    <numFmt numFmtId="41" formatCode="_-* #,##0_-;\-* #,##0_-;_-* &quot;-&quot;_-;_-@_-"/>
    <numFmt numFmtId="43" formatCode="_-* #,##0.00_-;\-* #,##0.00_-;_-* &quot;-&quot;??_-;_-@_-"/>
    <numFmt numFmtId="164" formatCode="&quot;$&quot;#,##0_);[Red]\(&quot;$&quot;#,##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&quot;RD$&quot;* #,##0.00_);_(&quot;RD$&quot;* \(#,##0.00\);_(&quot;RD$&quot;* &quot;-&quot;??_);_(@_)"/>
    <numFmt numFmtId="169" formatCode="&quot;$&quot;#,##0"/>
    <numFmt numFmtId="170" formatCode="#,##0\ &quot;RD&quot;"/>
    <numFmt numFmtId="171" formatCode="&quot;$&quot;#,##0.00"/>
    <numFmt numFmtId="172" formatCode="#,##0.00\ &quot;RD&quot;"/>
    <numFmt numFmtId="173" formatCode="#,##0.00;\(#,##0.00\)"/>
    <numFmt numFmtId="174" formatCode="dd\ mmm\ yyyy"/>
    <numFmt numFmtId="175" formatCode="#,##0.0"/>
    <numFmt numFmtId="176" formatCode="\$#,##0.00;[Red]\-\$#,##0.00"/>
    <numFmt numFmtId="177" formatCode="_(* #,##0_);_(* \(#,##0\);_(* &quot;-&quot;??_);_(@_)"/>
    <numFmt numFmtId="178" formatCode="_(* #,##0.000000_);_(* \(#,##0.000000\);_(* &quot;-&quot;??_);_(@_)"/>
    <numFmt numFmtId="179" formatCode="#,##0.0_);\(#,##0.0\)"/>
    <numFmt numFmtId="180" formatCode="0.0%"/>
    <numFmt numFmtId="181" formatCode="#,##0.00\ &quot;m2&quot;"/>
    <numFmt numFmtId="182" formatCode="mmmm\-yy"/>
    <numFmt numFmtId="183" formatCode="dd/mmm/yyyy"/>
    <numFmt numFmtId="184" formatCode="%#,#00"/>
    <numFmt numFmtId="185" formatCode="0.0"/>
    <numFmt numFmtId="186" formatCode="0.000%"/>
    <numFmt numFmtId="187" formatCode="_-* #,##0.00\ _€_-;\-* #,##0.00\ _€_-;_-* &quot;-&quot;??\ _€_-;_-@_-"/>
    <numFmt numFmtId="188" formatCode="%#,#00.00"/>
    <numFmt numFmtId="189" formatCode="0.0000"/>
    <numFmt numFmtId="190" formatCode="_([$$-409]* #,##0.00_);_([$$-409]* \(#,##0.00\);_([$$-409]* &quot;-&quot;??_);_(@_)"/>
    <numFmt numFmtId="191" formatCode="_([$USD]\ * #,##0_);_([$USD]\ * \(#,##0\);_([$USD]\ * &quot;-&quot;_);_(@_)"/>
    <numFmt numFmtId="192" formatCode="[$DOP]\ #,##0"/>
    <numFmt numFmtId="193" formatCode="[$USD]\ #,##0"/>
    <numFmt numFmtId="194" formatCode="[$USD]\ #,##0.00"/>
    <numFmt numFmtId="195" formatCode="[$DOP]\ #,##0.00"/>
    <numFmt numFmtId="196" formatCode="#,##0;\(#,##0\)"/>
    <numFmt numFmtId="197" formatCode="#,##0.000000000"/>
    <numFmt numFmtId="198" formatCode="_(* #,##0.0000_);_(* \(#,##0.0000\);_(* &quot;-&quot;??_);_(@_)"/>
    <numFmt numFmtId="199" formatCode="_(* #,##0.0_);_(* \(#,##0.0\);_(* &quot;-&quot;??_);_(@_)"/>
  </numFmts>
  <fonts count="19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0"/>
      <color indexed="9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i/>
      <sz val="9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11"/>
      <name val="Calibri"/>
      <family val="2"/>
      <scheme val="minor"/>
    </font>
    <font>
      <b/>
      <i/>
      <sz val="9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theme="0"/>
      <name val="Calibri"/>
      <family val="2"/>
      <scheme val="minor"/>
    </font>
    <font>
      <sz val="12"/>
      <color rgb="FF000000"/>
      <name val="Aptos"/>
      <family val="2"/>
    </font>
    <font>
      <b/>
      <sz val="16"/>
      <color rgb="FF000000"/>
      <name val="Aptos"/>
      <family val="2"/>
    </font>
    <font>
      <sz val="16"/>
      <color rgb="FF000000"/>
      <name val="Aptos"/>
      <family val="2"/>
    </font>
    <font>
      <b/>
      <sz val="12"/>
      <color theme="1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sz val="7"/>
      <color rgb="FF000000"/>
      <name val="Arial"/>
      <family val="2"/>
    </font>
    <font>
      <sz val="8"/>
      <color theme="1"/>
      <name val="Calibri"/>
      <family val="2"/>
      <scheme val="minor"/>
    </font>
    <font>
      <b/>
      <sz val="8"/>
      <name val="Calibri"/>
      <family val="2"/>
    </font>
    <font>
      <sz val="9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rgb="FFFF0000"/>
      <name val="Calibri"/>
      <family val="2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rgb="FF232729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9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9"/>
      <name val="Calibri"/>
      <family val="2"/>
    </font>
    <font>
      <sz val="9"/>
      <color rgb="FFFF0000"/>
      <name val="Arial"/>
      <family val="2"/>
    </font>
    <font>
      <b/>
      <sz val="8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8"/>
      <name val="Tahoma"/>
      <family val="2"/>
    </font>
    <font>
      <sz val="10"/>
      <name val="Tahoma"/>
      <family val="2"/>
    </font>
    <font>
      <b/>
      <sz val="12"/>
      <name val="Tahoma"/>
      <family val="2"/>
    </font>
    <font>
      <sz val="10"/>
      <color rgb="FFFF0000"/>
      <name val="Tahoma"/>
      <family val="2"/>
    </font>
    <font>
      <b/>
      <sz val="10"/>
      <name val="Tahoma"/>
      <family val="2"/>
    </font>
    <font>
      <sz val="11"/>
      <name val="Tahoma"/>
      <family val="2"/>
    </font>
    <font>
      <b/>
      <i/>
      <sz val="10"/>
      <name val="Tahoma"/>
      <family val="2"/>
    </font>
    <font>
      <b/>
      <sz val="9"/>
      <name val="Tahoma"/>
      <family val="2"/>
    </font>
    <font>
      <b/>
      <sz val="10"/>
      <color rgb="FFFF0000"/>
      <name val="Tahoma"/>
      <family val="2"/>
    </font>
    <font>
      <b/>
      <i/>
      <sz val="10"/>
      <color rgb="FFFF0000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sz val="10"/>
      <color indexed="9"/>
      <name val="Tahoma"/>
      <family val="2"/>
    </font>
    <font>
      <sz val="11"/>
      <color indexed="10"/>
      <name val="Tahoma"/>
      <family val="2"/>
    </font>
    <font>
      <sz val="10"/>
      <color indexed="10"/>
      <name val="Tahoma"/>
      <family val="2"/>
    </font>
    <font>
      <sz val="1"/>
      <color indexed="8"/>
      <name val="Courier"/>
      <family val="3"/>
    </font>
    <font>
      <b/>
      <sz val="11"/>
      <color indexed="9"/>
      <name val="Tahoma"/>
      <family val="2"/>
    </font>
    <font>
      <b/>
      <i/>
      <sz val="10"/>
      <color indexed="9"/>
      <name val="Tahoma"/>
      <family val="2"/>
    </font>
    <font>
      <b/>
      <i/>
      <sz val="9"/>
      <name val="Tahoma"/>
      <family val="2"/>
    </font>
    <font>
      <sz val="9"/>
      <name val="Tahoma"/>
      <family val="2"/>
    </font>
    <font>
      <i/>
      <sz val="10"/>
      <name val="Tahoma"/>
      <family val="2"/>
    </font>
    <font>
      <i/>
      <sz val="9"/>
      <name val="Tahoma"/>
      <family val="2"/>
    </font>
    <font>
      <sz val="12"/>
      <color theme="1"/>
      <name val="ArialMT"/>
    </font>
    <font>
      <i/>
      <sz val="11"/>
      <name val="Tahoma"/>
      <family val="2"/>
    </font>
    <font>
      <b/>
      <i/>
      <sz val="11"/>
      <name val="Tahoma"/>
      <family val="2"/>
    </font>
    <font>
      <i/>
      <sz val="8"/>
      <color indexed="20"/>
      <name val="Tahoma"/>
      <family val="2"/>
    </font>
    <font>
      <sz val="8"/>
      <name val="Tahoma"/>
      <family val="2"/>
    </font>
    <font>
      <b/>
      <sz val="16"/>
      <color theme="1" tint="0.14999847407452621"/>
      <name val="Tahoma"/>
      <family val="2"/>
    </font>
    <font>
      <sz val="8"/>
      <color indexed="9"/>
      <name val="Tahoma"/>
      <family val="2"/>
    </font>
    <font>
      <sz val="8"/>
      <color indexed="10"/>
      <name val="Tahoma"/>
      <family val="2"/>
    </font>
    <font>
      <b/>
      <sz val="14"/>
      <color theme="1" tint="0.14999847407452621"/>
      <name val="Tahoma"/>
      <family val="2"/>
    </font>
    <font>
      <b/>
      <i/>
      <sz val="11"/>
      <color theme="1" tint="0.14999847407452621"/>
      <name val="Tahoma"/>
      <family val="2"/>
    </font>
    <font>
      <b/>
      <i/>
      <sz val="13"/>
      <name val="Calibri"/>
      <family val="2"/>
      <scheme val="minor"/>
    </font>
    <font>
      <b/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15"/>
      <name val="Calibri"/>
      <family val="2"/>
    </font>
    <font>
      <b/>
      <i/>
      <sz val="8"/>
      <name val="Tahoma"/>
      <family val="2"/>
    </font>
    <font>
      <b/>
      <sz val="8"/>
      <color rgb="FFFF0000"/>
      <name val="Calibri"/>
      <family val="2"/>
    </font>
    <font>
      <sz val="8"/>
      <color rgb="FFFF0000"/>
      <name val="Calibri"/>
      <family val="2"/>
      <scheme val="minor"/>
    </font>
    <font>
      <i/>
      <sz val="12"/>
      <color theme="0"/>
      <name val="Calibri"/>
      <family val="2"/>
      <scheme val="minor"/>
    </font>
    <font>
      <sz val="18"/>
      <name val="Aptos Narrow"/>
      <family val="2"/>
    </font>
    <font>
      <sz val="10"/>
      <name val="Aptos Narrow"/>
      <family val="2"/>
    </font>
    <font>
      <b/>
      <sz val="12"/>
      <name val="Aptos Narrow"/>
      <family val="2"/>
    </font>
    <font>
      <b/>
      <sz val="10"/>
      <name val="Aptos Narrow"/>
      <family val="2"/>
    </font>
    <font>
      <sz val="11"/>
      <name val="Aptos Narrow"/>
      <family val="2"/>
    </font>
    <font>
      <b/>
      <sz val="11"/>
      <name val="Aptos Narrow"/>
      <family val="2"/>
    </font>
    <font>
      <b/>
      <sz val="11"/>
      <color indexed="9"/>
      <name val="Aptos Narrow"/>
      <family val="2"/>
    </font>
    <font>
      <i/>
      <sz val="10"/>
      <name val="Aptos Narrow"/>
      <family val="2"/>
    </font>
    <font>
      <sz val="11"/>
      <color theme="1"/>
      <name val="Aptos Narrow"/>
      <family val="2"/>
    </font>
    <font>
      <b/>
      <i/>
      <sz val="11"/>
      <name val="Aptos Narrow"/>
      <family val="2"/>
    </font>
    <font>
      <b/>
      <i/>
      <sz val="10"/>
      <name val="Aptos Narrow"/>
      <family val="2"/>
    </font>
    <font>
      <sz val="9"/>
      <name val="Aptos Narrow"/>
      <family val="2"/>
    </font>
    <font>
      <b/>
      <sz val="9"/>
      <color indexed="9"/>
      <name val="Aptos Narrow"/>
      <family val="2"/>
    </font>
    <font>
      <b/>
      <sz val="9"/>
      <name val="Aptos Narrow"/>
      <family val="2"/>
    </font>
    <font>
      <b/>
      <i/>
      <sz val="9"/>
      <name val="Aptos Narrow"/>
      <family val="2"/>
    </font>
    <font>
      <sz val="9"/>
      <color theme="1"/>
      <name val="Aptos Narrow"/>
      <family val="2"/>
    </font>
    <font>
      <b/>
      <sz val="9"/>
      <color rgb="FF000A1E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8"/>
      <name val="Aptos Narrow"/>
      <family val="2"/>
    </font>
    <font>
      <b/>
      <sz val="1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9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0"/>
      <color indexed="9"/>
      <name val="Aptos Narrow"/>
      <family val="2"/>
    </font>
    <font>
      <b/>
      <sz val="16"/>
      <color theme="1" tint="0.14999847407452621"/>
      <name val="Aptos Narrow"/>
      <family val="2"/>
    </font>
    <font>
      <b/>
      <sz val="14"/>
      <color theme="1" tint="0.14999847407452621"/>
      <name val="Aptos Narrow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9"/>
      <color rgb="FFFF0000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Arial"/>
      <family val="2"/>
    </font>
    <font>
      <b/>
      <sz val="1"/>
      <color theme="2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0"/>
      <color theme="1"/>
      <name val="Arial Unicode MS"/>
    </font>
    <font>
      <b/>
      <sz val="10"/>
      <color theme="1"/>
      <name val="Arial Unicode MS"/>
    </font>
    <font>
      <b/>
      <sz val="12"/>
      <color theme="1"/>
      <name val="Arial Unicode MS"/>
    </font>
    <font>
      <b/>
      <sz val="9"/>
      <color rgb="FF0070C0"/>
      <name val="Arial"/>
      <family val="2"/>
    </font>
    <font>
      <u/>
      <sz val="11"/>
      <color theme="4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8"/>
      <color rgb="FF000A1E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theme="1"/>
      <name val="Arial"/>
    </font>
    <font>
      <b/>
      <sz val="9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sz val="12"/>
      <color theme="1"/>
      <name val="Arial"/>
    </font>
    <font>
      <sz val="14"/>
      <color theme="1"/>
      <name val="Arial"/>
    </font>
    <font>
      <b/>
      <sz val="14"/>
      <color theme="1"/>
      <name val="Arial"/>
    </font>
    <font>
      <sz val="8"/>
      <color rgb="FFFF0000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mediumGray">
        <fgColor indexed="9"/>
        <bgColor indexed="22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2F2F2"/>
      </patternFill>
    </fill>
    <fill>
      <patternFill patternType="solid">
        <fgColor rgb="FFF1F2F3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3"/>
        <bgColor indexed="64"/>
      </patternFill>
    </fill>
    <fill>
      <patternFill patternType="mediumGray">
        <fgColor rgb="FFFFFFFF"/>
        <bgColor rgb="FFC0C0C0"/>
      </patternFill>
    </fill>
    <fill>
      <patternFill patternType="mediumGray">
        <fgColor indexed="9"/>
        <bgColor rgb="FF002060"/>
      </patternFill>
    </fill>
    <fill>
      <patternFill patternType="solid">
        <fgColor rgb="FF00206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dotted">
        <color auto="1"/>
      </right>
      <top style="thin">
        <color auto="1"/>
      </top>
      <bottom/>
      <diagonal/>
    </border>
    <border>
      <left/>
      <right style="dotted">
        <color auto="1"/>
      </right>
      <top/>
      <bottom/>
      <diagonal/>
    </border>
    <border>
      <left/>
      <right style="dotted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tted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dotted">
        <color auto="1"/>
      </right>
      <top/>
      <bottom/>
      <diagonal/>
    </border>
    <border>
      <left style="medium">
        <color indexed="64"/>
      </left>
      <right style="dotted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 style="thin">
        <color theme="4" tint="0.39997558519241921"/>
      </top>
      <bottom/>
      <diagonal/>
    </border>
    <border>
      <left/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  <border>
      <left/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DashDot">
        <color auto="1"/>
      </left>
      <right style="mediumDashDot">
        <color auto="1"/>
      </right>
      <top style="mediumDashDot">
        <color auto="1"/>
      </top>
      <bottom style="mediumDashDot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hair">
        <color indexed="5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indexed="55"/>
      </bottom>
      <diagonal/>
    </border>
    <border>
      <left style="thin">
        <color auto="1"/>
      </left>
      <right/>
      <top style="hair">
        <color indexed="55"/>
      </top>
      <bottom style="hair">
        <color indexed="55"/>
      </bottom>
      <diagonal/>
    </border>
    <border>
      <left style="thin">
        <color auto="1"/>
      </left>
      <right style="thin">
        <color auto="1"/>
      </right>
      <top style="hair">
        <color indexed="55"/>
      </top>
      <bottom style="hair">
        <color indexed="55"/>
      </bottom>
      <diagonal/>
    </border>
    <border>
      <left style="thin">
        <color auto="1"/>
      </left>
      <right/>
      <top style="hair">
        <color indexed="55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indexed="55"/>
      </top>
      <bottom style="thin">
        <color auto="1"/>
      </bottom>
      <diagonal/>
    </border>
    <border>
      <left/>
      <right/>
      <top style="thin">
        <color auto="1"/>
      </top>
      <bottom style="hair">
        <color indexed="55"/>
      </bottom>
      <diagonal/>
    </border>
    <border>
      <left/>
      <right/>
      <top style="hair">
        <color indexed="55"/>
      </top>
      <bottom style="thin">
        <color auto="1"/>
      </bottom>
      <diagonal/>
    </border>
    <border>
      <left style="thin">
        <color theme="0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EBEBEB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EBEBEB"/>
      </top>
      <bottom/>
      <diagonal/>
    </border>
    <border>
      <left/>
      <right style="medium">
        <color indexed="64"/>
      </right>
      <top style="thin">
        <color rgb="FFEBEBEB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rgb="FFEBEBEB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36">
    <xf numFmtId="0" fontId="0" fillId="0" borderId="0"/>
    <xf numFmtId="9" fontId="1" fillId="0" borderId="0" applyFont="0" applyFill="0" applyBorder="0" applyAlignment="0" applyProtection="0"/>
    <xf numFmtId="0" fontId="2" fillId="0" borderId="0"/>
    <xf numFmtId="168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42" fillId="0" borderId="0"/>
    <xf numFmtId="0" fontId="42" fillId="0" borderId="0"/>
    <xf numFmtId="167" fontId="42" fillId="0" borderId="0" applyFont="0" applyFill="0" applyBorder="0" applyAlignment="0" applyProtection="0"/>
    <xf numFmtId="0" fontId="52" fillId="0" borderId="0"/>
    <xf numFmtId="0" fontId="63" fillId="0" borderId="0"/>
    <xf numFmtId="0" fontId="67" fillId="0" borderId="0"/>
    <xf numFmtId="0" fontId="42" fillId="0" borderId="0"/>
    <xf numFmtId="0" fontId="75" fillId="0" borderId="0"/>
    <xf numFmtId="167" fontId="75" fillId="0" borderId="0" applyFont="0" applyFill="0" applyBorder="0" applyAlignment="0" applyProtection="0"/>
    <xf numFmtId="184" fontId="92" fillId="0" borderId="0">
      <protection locked="0"/>
    </xf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2" fillId="0" borderId="0"/>
    <xf numFmtId="0" fontId="138" fillId="0" borderId="0"/>
    <xf numFmtId="0" fontId="147" fillId="0" borderId="0" applyNumberFormat="0" applyFill="0" applyBorder="0" applyAlignment="0" applyProtection="0"/>
    <xf numFmtId="167" fontId="138" fillId="0" borderId="0" applyFont="0" applyFill="0" applyBorder="0" applyAlignment="0" applyProtection="0"/>
    <xf numFmtId="0" fontId="153" fillId="0" borderId="0"/>
    <xf numFmtId="0" fontId="42" fillId="0" borderId="0"/>
    <xf numFmtId="0" fontId="42" fillId="0" borderId="0"/>
    <xf numFmtId="0" fontId="158" fillId="0" borderId="0"/>
    <xf numFmtId="0" fontId="168" fillId="0" borderId="0"/>
    <xf numFmtId="0" fontId="42" fillId="0" borderId="0"/>
    <xf numFmtId="9" fontId="42" fillId="0" borderId="0" applyFont="0" applyFill="0" applyBorder="0" applyAlignment="0" applyProtection="0"/>
    <xf numFmtId="0" fontId="177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84" fillId="0" borderId="0"/>
  </cellStyleXfs>
  <cellXfs count="2187">
    <xf numFmtId="0" fontId="0" fillId="0" borderId="0" xfId="0"/>
    <xf numFmtId="0" fontId="4" fillId="0" borderId="0" xfId="0" applyFont="1"/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vertical="center"/>
    </xf>
    <xf numFmtId="17" fontId="7" fillId="2" borderId="0" xfId="0" applyNumberFormat="1" applyFont="1" applyFill="1"/>
    <xf numFmtId="0" fontId="5" fillId="0" borderId="0" xfId="0" applyFont="1" applyAlignment="1">
      <alignment vertical="center"/>
    </xf>
    <xf numFmtId="0" fontId="4" fillId="0" borderId="7" xfId="0" applyFont="1" applyBorder="1" applyAlignment="1">
      <alignment horizontal="center"/>
    </xf>
    <xf numFmtId="0" fontId="4" fillId="2" borderId="0" xfId="0" applyFont="1" applyFill="1"/>
    <xf numFmtId="0" fontId="0" fillId="2" borderId="0" xfId="0" applyFill="1"/>
    <xf numFmtId="0" fontId="7" fillId="2" borderId="8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9" fontId="0" fillId="0" borderId="0" xfId="0" applyNumberFormat="1"/>
    <xf numFmtId="169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9" fontId="0" fillId="0" borderId="0" xfId="1" applyFont="1" applyFill="1" applyBorder="1" applyAlignment="1">
      <alignment horizontal="center"/>
    </xf>
    <xf numFmtId="9" fontId="0" fillId="3" borderId="0" xfId="1" applyFont="1" applyFill="1" applyAlignment="1">
      <alignment horizontal="center"/>
    </xf>
    <xf numFmtId="9" fontId="0" fillId="3" borderId="0" xfId="0" applyNumberFormat="1" applyFill="1" applyAlignment="1">
      <alignment horizontal="center"/>
    </xf>
    <xf numFmtId="169" fontId="0" fillId="3" borderId="0" xfId="0" applyNumberFormat="1" applyFill="1" applyAlignment="1">
      <alignment horizontal="center"/>
    </xf>
    <xf numFmtId="0" fontId="11" fillId="0" borderId="7" xfId="4" applyFont="1" applyBorder="1" applyAlignment="1">
      <alignment horizontal="center"/>
    </xf>
    <xf numFmtId="0" fontId="17" fillId="6" borderId="10" xfId="4" applyFont="1" applyFill="1" applyBorder="1"/>
    <xf numFmtId="0" fontId="13" fillId="0" borderId="0" xfId="4" applyFont="1"/>
    <xf numFmtId="0" fontId="17" fillId="2" borderId="7" xfId="4" applyFont="1" applyFill="1" applyBorder="1" applyAlignment="1">
      <alignment horizontal="center"/>
    </xf>
    <xf numFmtId="170" fontId="17" fillId="6" borderId="11" xfId="4" applyNumberFormat="1" applyFont="1" applyFill="1" applyBorder="1" applyAlignment="1">
      <alignment horizontal="right"/>
    </xf>
    <xf numFmtId="170" fontId="14" fillId="5" borderId="12" xfId="4" applyNumberFormat="1" applyFont="1" applyFill="1" applyBorder="1" applyAlignment="1">
      <alignment horizontal="right"/>
    </xf>
    <xf numFmtId="170" fontId="15" fillId="0" borderId="13" xfId="4" applyNumberFormat="1" applyFont="1" applyBorder="1" applyAlignment="1">
      <alignment horizontal="right"/>
    </xf>
    <xf numFmtId="170" fontId="14" fillId="5" borderId="13" xfId="4" applyNumberFormat="1" applyFont="1" applyFill="1" applyBorder="1" applyAlignment="1">
      <alignment horizontal="right"/>
    </xf>
    <xf numFmtId="170" fontId="14" fillId="0" borderId="13" xfId="0" applyNumberFormat="1" applyFont="1" applyBorder="1" applyAlignment="1">
      <alignment horizontal="right"/>
    </xf>
    <xf numFmtId="170" fontId="17" fillId="6" borderId="14" xfId="4" applyNumberFormat="1" applyFont="1" applyFill="1" applyBorder="1" applyAlignment="1">
      <alignment horizontal="right"/>
    </xf>
    <xf numFmtId="170" fontId="14" fillId="0" borderId="13" xfId="4" applyNumberFormat="1" applyFont="1" applyBorder="1" applyAlignment="1">
      <alignment horizontal="right"/>
    </xf>
    <xf numFmtId="9" fontId="14" fillId="5" borderId="12" xfId="1" applyFont="1" applyFill="1" applyBorder="1" applyAlignment="1">
      <alignment horizontal="center"/>
    </xf>
    <xf numFmtId="9" fontId="15" fillId="0" borderId="13" xfId="1" applyFont="1" applyBorder="1" applyAlignment="1">
      <alignment horizontal="center"/>
    </xf>
    <xf numFmtId="9" fontId="14" fillId="5" borderId="13" xfId="1" applyFont="1" applyFill="1" applyBorder="1" applyAlignment="1">
      <alignment horizontal="center"/>
    </xf>
    <xf numFmtId="9" fontId="14" fillId="0" borderId="13" xfId="1" applyFont="1" applyBorder="1" applyAlignment="1">
      <alignment horizontal="center"/>
    </xf>
    <xf numFmtId="17" fontId="18" fillId="2" borderId="3" xfId="0" applyNumberFormat="1" applyFont="1" applyFill="1" applyBorder="1" applyAlignment="1">
      <alignment horizontal="center"/>
    </xf>
    <xf numFmtId="17" fontId="18" fillId="2" borderId="0" xfId="0" applyNumberFormat="1" applyFont="1" applyFill="1" applyAlignment="1">
      <alignment horizontal="center"/>
    </xf>
    <xf numFmtId="17" fontId="18" fillId="2" borderId="4" xfId="0" applyNumberFormat="1" applyFont="1" applyFill="1" applyBorder="1" applyAlignment="1">
      <alignment horizontal="center"/>
    </xf>
    <xf numFmtId="0" fontId="22" fillId="6" borderId="3" xfId="0" applyFont="1" applyFill="1" applyBorder="1"/>
    <xf numFmtId="0" fontId="22" fillId="6" borderId="0" xfId="0" applyFont="1" applyFill="1"/>
    <xf numFmtId="0" fontId="17" fillId="6" borderId="4" xfId="0" applyFont="1" applyFill="1" applyBorder="1"/>
    <xf numFmtId="170" fontId="14" fillId="5" borderId="16" xfId="4" applyNumberFormat="1" applyFont="1" applyFill="1" applyBorder="1" applyAlignment="1">
      <alignment horizontal="right"/>
    </xf>
    <xf numFmtId="170" fontId="14" fillId="5" borderId="17" xfId="4" applyNumberFormat="1" applyFont="1" applyFill="1" applyBorder="1" applyAlignment="1">
      <alignment horizontal="right"/>
    </xf>
    <xf numFmtId="170" fontId="15" fillId="0" borderId="18" xfId="4" applyNumberFormat="1" applyFont="1" applyBorder="1" applyAlignment="1">
      <alignment horizontal="right"/>
    </xf>
    <xf numFmtId="170" fontId="15" fillId="0" borderId="4" xfId="4" applyNumberFormat="1" applyFont="1" applyBorder="1" applyAlignment="1">
      <alignment horizontal="right"/>
    </xf>
    <xf numFmtId="170" fontId="14" fillId="5" borderId="18" xfId="4" applyNumberFormat="1" applyFont="1" applyFill="1" applyBorder="1" applyAlignment="1">
      <alignment horizontal="right"/>
    </xf>
    <xf numFmtId="170" fontId="14" fillId="5" borderId="4" xfId="4" applyNumberFormat="1" applyFont="1" applyFill="1" applyBorder="1" applyAlignment="1">
      <alignment horizontal="right"/>
    </xf>
    <xf numFmtId="170" fontId="14" fillId="0" borderId="18" xfId="0" applyNumberFormat="1" applyFont="1" applyBorder="1" applyAlignment="1">
      <alignment horizontal="right"/>
    </xf>
    <xf numFmtId="170" fontId="14" fillId="0" borderId="4" xfId="0" applyNumberFormat="1" applyFont="1" applyBorder="1" applyAlignment="1">
      <alignment horizontal="right"/>
    </xf>
    <xf numFmtId="170" fontId="17" fillId="6" borderId="19" xfId="4" applyNumberFormat="1" applyFont="1" applyFill="1" applyBorder="1" applyAlignment="1">
      <alignment horizontal="right"/>
    </xf>
    <xf numFmtId="170" fontId="17" fillId="6" borderId="20" xfId="4" applyNumberFormat="1" applyFont="1" applyFill="1" applyBorder="1" applyAlignment="1">
      <alignment horizontal="right"/>
    </xf>
    <xf numFmtId="170" fontId="14" fillId="0" borderId="18" xfId="4" applyNumberFormat="1" applyFont="1" applyBorder="1" applyAlignment="1">
      <alignment horizontal="right"/>
    </xf>
    <xf numFmtId="170" fontId="14" fillId="0" borderId="4" xfId="4" applyNumberFormat="1" applyFont="1" applyBorder="1" applyAlignment="1">
      <alignment horizontal="right"/>
    </xf>
    <xf numFmtId="171" fontId="22" fillId="6" borderId="3" xfId="0" applyNumberFormat="1" applyFont="1" applyFill="1" applyBorder="1"/>
    <xf numFmtId="171" fontId="22" fillId="6" borderId="0" xfId="0" applyNumberFormat="1" applyFont="1" applyFill="1"/>
    <xf numFmtId="171" fontId="22" fillId="6" borderId="4" xfId="0" applyNumberFormat="1" applyFont="1" applyFill="1" applyBorder="1"/>
    <xf numFmtId="171" fontId="20" fillId="2" borderId="5" xfId="4" applyNumberFormat="1" applyFont="1" applyFill="1" applyBorder="1" applyAlignment="1">
      <alignment horizontal="right"/>
    </xf>
    <xf numFmtId="171" fontId="20" fillId="2" borderId="21" xfId="4" applyNumberFormat="1" applyFont="1" applyFill="1" applyBorder="1" applyAlignment="1">
      <alignment horizontal="right"/>
    </xf>
    <xf numFmtId="171" fontId="20" fillId="2" borderId="6" xfId="4" applyNumberFormat="1" applyFont="1" applyFill="1" applyBorder="1" applyAlignment="1">
      <alignment horizontal="right"/>
    </xf>
    <xf numFmtId="0" fontId="10" fillId="4" borderId="22" xfId="4" applyFont="1" applyFill="1" applyBorder="1"/>
    <xf numFmtId="0" fontId="10" fillId="4" borderId="23" xfId="4" applyFont="1" applyFill="1" applyBorder="1"/>
    <xf numFmtId="0" fontId="10" fillId="4" borderId="24" xfId="4" applyFont="1" applyFill="1" applyBorder="1"/>
    <xf numFmtId="0" fontId="11" fillId="0" borderId="25" xfId="4" applyFont="1" applyBorder="1" applyAlignment="1">
      <alignment horizontal="center"/>
    </xf>
    <xf numFmtId="0" fontId="12" fillId="7" borderId="26" xfId="4" applyFont="1" applyFill="1" applyBorder="1" applyAlignment="1">
      <alignment horizontal="center"/>
    </xf>
    <xf numFmtId="0" fontId="17" fillId="6" borderId="27" xfId="4" applyFont="1" applyFill="1" applyBorder="1"/>
    <xf numFmtId="169" fontId="17" fillId="6" borderId="20" xfId="4" applyNumberFormat="1" applyFont="1" applyFill="1" applyBorder="1" applyAlignment="1">
      <alignment horizontal="right"/>
    </xf>
    <xf numFmtId="0" fontId="13" fillId="5" borderId="3" xfId="4" applyFont="1" applyFill="1" applyBorder="1"/>
    <xf numFmtId="0" fontId="13" fillId="5" borderId="0" xfId="4" applyFont="1" applyFill="1"/>
    <xf numFmtId="169" fontId="14" fillId="5" borderId="4" xfId="4" applyNumberFormat="1" applyFont="1" applyFill="1" applyBorder="1" applyAlignment="1">
      <alignment horizontal="right"/>
    </xf>
    <xf numFmtId="0" fontId="16" fillId="0" borderId="3" xfId="4" applyFont="1" applyBorder="1"/>
    <xf numFmtId="0" fontId="16" fillId="0" borderId="0" xfId="4" applyFont="1"/>
    <xf numFmtId="169" fontId="15" fillId="0" borderId="4" xfId="4" applyNumberFormat="1" applyFont="1" applyBorder="1" applyAlignment="1">
      <alignment horizontal="right"/>
    </xf>
    <xf numFmtId="0" fontId="13" fillId="0" borderId="3" xfId="4" applyFont="1" applyBorder="1"/>
    <xf numFmtId="169" fontId="14" fillId="0" borderId="4" xfId="0" applyNumberFormat="1" applyFont="1" applyBorder="1" applyAlignment="1">
      <alignment horizontal="right"/>
    </xf>
    <xf numFmtId="0" fontId="13" fillId="0" borderId="28" xfId="4" applyFont="1" applyBorder="1"/>
    <xf numFmtId="169" fontId="14" fillId="0" borderId="4" xfId="4" applyNumberFormat="1" applyFont="1" applyBorder="1" applyAlignment="1">
      <alignment horizontal="right"/>
    </xf>
    <xf numFmtId="0" fontId="20" fillId="2" borderId="5" xfId="4" applyFont="1" applyFill="1" applyBorder="1"/>
    <xf numFmtId="0" fontId="20" fillId="2" borderId="21" xfId="4" applyFont="1" applyFill="1" applyBorder="1"/>
    <xf numFmtId="170" fontId="20" fillId="2" borderId="29" xfId="4" applyNumberFormat="1" applyFont="1" applyFill="1" applyBorder="1" applyAlignment="1">
      <alignment horizontal="right"/>
    </xf>
    <xf numFmtId="170" fontId="20" fillId="2" borderId="6" xfId="4" applyNumberFormat="1" applyFont="1" applyFill="1" applyBorder="1" applyAlignment="1">
      <alignment horizontal="right"/>
    </xf>
    <xf numFmtId="0" fontId="24" fillId="6" borderId="31" xfId="0" applyFont="1" applyFill="1" applyBorder="1"/>
    <xf numFmtId="170" fontId="14" fillId="5" borderId="32" xfId="4" applyNumberFormat="1" applyFont="1" applyFill="1" applyBorder="1" applyAlignment="1">
      <alignment horizontal="right"/>
    </xf>
    <xf numFmtId="170" fontId="15" fillId="0" borderId="31" xfId="4" applyNumberFormat="1" applyFont="1" applyBorder="1" applyAlignment="1">
      <alignment horizontal="right"/>
    </xf>
    <xf numFmtId="170" fontId="14" fillId="5" borderId="31" xfId="4" applyNumberFormat="1" applyFont="1" applyFill="1" applyBorder="1" applyAlignment="1">
      <alignment horizontal="right"/>
    </xf>
    <xf numFmtId="170" fontId="14" fillId="0" borderId="31" xfId="0" applyNumberFormat="1" applyFont="1" applyBorder="1" applyAlignment="1">
      <alignment horizontal="right"/>
    </xf>
    <xf numFmtId="170" fontId="17" fillId="6" borderId="33" xfId="4" applyNumberFormat="1" applyFont="1" applyFill="1" applyBorder="1" applyAlignment="1">
      <alignment horizontal="right"/>
    </xf>
    <xf numFmtId="170" fontId="14" fillId="0" borderId="31" xfId="4" applyNumberFormat="1" applyFont="1" applyBorder="1" applyAlignment="1">
      <alignment horizontal="right"/>
    </xf>
    <xf numFmtId="171" fontId="22" fillId="6" borderId="31" xfId="0" applyNumberFormat="1" applyFont="1" applyFill="1" applyBorder="1"/>
    <xf numFmtId="171" fontId="23" fillId="2" borderId="34" xfId="4" applyNumberFormat="1" applyFont="1" applyFill="1" applyBorder="1" applyAlignment="1">
      <alignment horizontal="right"/>
    </xf>
    <xf numFmtId="0" fontId="7" fillId="2" borderId="15" xfId="0" applyFont="1" applyFill="1" applyBorder="1"/>
    <xf numFmtId="0" fontId="7" fillId="2" borderId="0" xfId="0" applyFont="1" applyFill="1" applyAlignment="1">
      <alignment horizontal="center"/>
    </xf>
    <xf numFmtId="0" fontId="17" fillId="6" borderId="3" xfId="0" applyFont="1" applyFill="1" applyBorder="1"/>
    <xf numFmtId="0" fontId="18" fillId="6" borderId="0" xfId="0" applyFont="1" applyFill="1"/>
    <xf numFmtId="0" fontId="18" fillId="6" borderId="4" xfId="0" applyFont="1" applyFill="1" applyBorder="1"/>
    <xf numFmtId="10" fontId="0" fillId="5" borderId="4" xfId="1" applyNumberFormat="1" applyFont="1" applyFill="1" applyBorder="1" applyAlignment="1">
      <alignment horizontal="center"/>
    </xf>
    <xf numFmtId="10" fontId="0" fillId="0" borderId="4" xfId="1" applyNumberFormat="1" applyFont="1" applyBorder="1" applyAlignment="1">
      <alignment horizontal="center"/>
    </xf>
    <xf numFmtId="9" fontId="0" fillId="5" borderId="0" xfId="1" applyFont="1" applyFill="1" applyBorder="1" applyAlignment="1">
      <alignment horizontal="center"/>
    </xf>
    <xf numFmtId="9" fontId="18" fillId="6" borderId="0" xfId="1" applyFont="1" applyFill="1" applyBorder="1" applyAlignment="1">
      <alignment horizontal="center"/>
    </xf>
    <xf numFmtId="10" fontId="18" fillId="6" borderId="4" xfId="1" applyNumberFormat="1" applyFont="1" applyFill="1" applyBorder="1" applyAlignment="1">
      <alignment horizontal="center"/>
    </xf>
    <xf numFmtId="171" fontId="23" fillId="2" borderId="5" xfId="4" applyNumberFormat="1" applyFont="1" applyFill="1" applyBorder="1" applyAlignment="1">
      <alignment horizontal="right"/>
    </xf>
    <xf numFmtId="9" fontId="21" fillId="2" borderId="21" xfId="1" applyFont="1" applyFill="1" applyBorder="1" applyAlignment="1">
      <alignment horizontal="center"/>
    </xf>
    <xf numFmtId="10" fontId="21" fillId="2" borderId="6" xfId="1" applyNumberFormat="1" applyFont="1" applyFill="1" applyBorder="1" applyAlignment="1">
      <alignment horizontal="center"/>
    </xf>
    <xf numFmtId="0" fontId="18" fillId="6" borderId="31" xfId="0" applyFont="1" applyFill="1" applyBorder="1"/>
    <xf numFmtId="0" fontId="0" fillId="5" borderId="31" xfId="0" applyFill="1" applyBorder="1"/>
    <xf numFmtId="0" fontId="0" fillId="0" borderId="31" xfId="0" applyBorder="1"/>
    <xf numFmtId="0" fontId="21" fillId="2" borderId="34" xfId="0" applyFont="1" applyFill="1" applyBorder="1"/>
    <xf numFmtId="171" fontId="0" fillId="0" borderId="0" xfId="0" applyNumberFormat="1"/>
    <xf numFmtId="164" fontId="0" fillId="0" borderId="0" xfId="0" applyNumberFormat="1"/>
    <xf numFmtId="0" fontId="0" fillId="9" borderId="0" xfId="0" applyFill="1"/>
    <xf numFmtId="164" fontId="0" fillId="9" borderId="0" xfId="0" applyNumberFormat="1" applyFill="1"/>
    <xf numFmtId="0" fontId="13" fillId="8" borderId="3" xfId="4" applyFont="1" applyFill="1" applyBorder="1"/>
    <xf numFmtId="170" fontId="14" fillId="8" borderId="13" xfId="4" applyNumberFormat="1" applyFont="1" applyFill="1" applyBorder="1" applyAlignment="1">
      <alignment horizontal="right"/>
    </xf>
    <xf numFmtId="169" fontId="14" fillId="8" borderId="4" xfId="4" applyNumberFormat="1" applyFont="1" applyFill="1" applyBorder="1" applyAlignment="1">
      <alignment horizontal="right"/>
    </xf>
    <xf numFmtId="0" fontId="13" fillId="10" borderId="3" xfId="4" applyFont="1" applyFill="1" applyBorder="1"/>
    <xf numFmtId="170" fontId="14" fillId="10" borderId="12" xfId="4" applyNumberFormat="1" applyFont="1" applyFill="1" applyBorder="1" applyAlignment="1">
      <alignment horizontal="right"/>
    </xf>
    <xf numFmtId="169" fontId="14" fillId="10" borderId="4" xfId="4" applyNumberFormat="1" applyFont="1" applyFill="1" applyBorder="1" applyAlignment="1">
      <alignment horizontal="right"/>
    </xf>
    <xf numFmtId="170" fontId="14" fillId="10" borderId="13" xfId="0" applyNumberFormat="1" applyFont="1" applyFill="1" applyBorder="1" applyAlignment="1">
      <alignment horizontal="right"/>
    </xf>
    <xf numFmtId="170" fontId="14" fillId="10" borderId="13" xfId="4" applyNumberFormat="1" applyFont="1" applyFill="1" applyBorder="1" applyAlignment="1">
      <alignment horizontal="right"/>
    </xf>
    <xf numFmtId="0" fontId="13" fillId="10" borderId="0" xfId="4" applyFont="1" applyFill="1"/>
    <xf numFmtId="0" fontId="13" fillId="8" borderId="0" xfId="4" applyFont="1" applyFill="1"/>
    <xf numFmtId="171" fontId="23" fillId="2" borderId="6" xfId="4" applyNumberFormat="1" applyFont="1" applyFill="1" applyBorder="1" applyAlignment="1">
      <alignment horizontal="right"/>
    </xf>
    <xf numFmtId="170" fontId="17" fillId="6" borderId="36" xfId="4" applyNumberFormat="1" applyFont="1" applyFill="1" applyBorder="1" applyAlignment="1">
      <alignment horizontal="right"/>
    </xf>
    <xf numFmtId="170" fontId="14" fillId="10" borderId="16" xfId="4" applyNumberFormat="1" applyFont="1" applyFill="1" applyBorder="1" applyAlignment="1">
      <alignment horizontal="right"/>
    </xf>
    <xf numFmtId="170" fontId="14" fillId="10" borderId="17" xfId="4" applyNumberFormat="1" applyFont="1" applyFill="1" applyBorder="1" applyAlignment="1">
      <alignment horizontal="right"/>
    </xf>
    <xf numFmtId="170" fontId="14" fillId="8" borderId="18" xfId="4" applyNumberFormat="1" applyFont="1" applyFill="1" applyBorder="1" applyAlignment="1">
      <alignment horizontal="right"/>
    </xf>
    <xf numFmtId="170" fontId="14" fillId="8" borderId="4" xfId="4" applyNumberFormat="1" applyFont="1" applyFill="1" applyBorder="1" applyAlignment="1">
      <alignment horizontal="right"/>
    </xf>
    <xf numFmtId="170" fontId="14" fillId="10" borderId="18" xfId="0" applyNumberFormat="1" applyFont="1" applyFill="1" applyBorder="1" applyAlignment="1">
      <alignment horizontal="right"/>
    </xf>
    <xf numFmtId="170" fontId="14" fillId="10" borderId="4" xfId="0" applyNumberFormat="1" applyFont="1" applyFill="1" applyBorder="1" applyAlignment="1">
      <alignment horizontal="right"/>
    </xf>
    <xf numFmtId="170" fontId="14" fillId="10" borderId="18" xfId="4" applyNumberFormat="1" applyFont="1" applyFill="1" applyBorder="1" applyAlignment="1">
      <alignment horizontal="right"/>
    </xf>
    <xf numFmtId="170" fontId="14" fillId="10" borderId="4" xfId="4" applyNumberFormat="1" applyFont="1" applyFill="1" applyBorder="1" applyAlignment="1">
      <alignment horizontal="right"/>
    </xf>
    <xf numFmtId="170" fontId="14" fillId="10" borderId="32" xfId="4" applyNumberFormat="1" applyFont="1" applyFill="1" applyBorder="1" applyAlignment="1">
      <alignment horizontal="right"/>
    </xf>
    <xf numFmtId="170" fontId="14" fillId="8" borderId="31" xfId="4" applyNumberFormat="1" applyFont="1" applyFill="1" applyBorder="1" applyAlignment="1">
      <alignment horizontal="right"/>
    </xf>
    <xf numFmtId="170" fontId="14" fillId="10" borderId="31" xfId="0" applyNumberFormat="1" applyFont="1" applyFill="1" applyBorder="1" applyAlignment="1">
      <alignment horizontal="right"/>
    </xf>
    <xf numFmtId="170" fontId="14" fillId="10" borderId="31" xfId="4" applyNumberFormat="1" applyFont="1" applyFill="1" applyBorder="1" applyAlignment="1">
      <alignment horizontal="right"/>
    </xf>
    <xf numFmtId="0" fontId="0" fillId="0" borderId="7" xfId="0" applyBorder="1"/>
    <xf numFmtId="164" fontId="0" fillId="11" borderId="0" xfId="0" applyNumberFormat="1" applyFill="1"/>
    <xf numFmtId="0" fontId="0" fillId="12" borderId="0" xfId="0" applyFill="1"/>
    <xf numFmtId="164" fontId="0" fillId="12" borderId="0" xfId="0" applyNumberFormat="1" applyFill="1"/>
    <xf numFmtId="0" fontId="18" fillId="12" borderId="0" xfId="0" applyFont="1" applyFill="1"/>
    <xf numFmtId="172" fontId="26" fillId="5" borderId="2" xfId="4" applyNumberFormat="1" applyFont="1" applyFill="1" applyBorder="1" applyAlignment="1">
      <alignment horizontal="center"/>
    </xf>
    <xf numFmtId="166" fontId="0" fillId="0" borderId="0" xfId="6" applyFont="1"/>
    <xf numFmtId="3" fontId="0" fillId="0" borderId="0" xfId="0" applyNumberFormat="1" applyAlignment="1">
      <alignment horizontal="center"/>
    </xf>
    <xf numFmtId="166" fontId="0" fillId="0" borderId="7" xfId="6" applyFont="1" applyBorder="1"/>
    <xf numFmtId="166" fontId="0" fillId="0" borderId="7" xfId="6" applyFont="1" applyBorder="1" applyAlignment="1">
      <alignment horizontal="center"/>
    </xf>
    <xf numFmtId="166" fontId="0" fillId="0" borderId="7" xfId="0" applyNumberFormat="1" applyBorder="1"/>
    <xf numFmtId="0" fontId="25" fillId="0" borderId="7" xfId="0" applyFont="1" applyBorder="1"/>
    <xf numFmtId="166" fontId="25" fillId="0" borderId="7" xfId="0" applyNumberFormat="1" applyFont="1" applyBorder="1"/>
    <xf numFmtId="0" fontId="17" fillId="13" borderId="7" xfId="0" applyFont="1" applyFill="1" applyBorder="1"/>
    <xf numFmtId="0" fontId="18" fillId="13" borderId="7" xfId="0" applyFont="1" applyFill="1" applyBorder="1"/>
    <xf numFmtId="0" fontId="17" fillId="13" borderId="7" xfId="0" applyFont="1" applyFill="1" applyBorder="1" applyAlignment="1">
      <alignment horizontal="center"/>
    </xf>
    <xf numFmtId="0" fontId="27" fillId="0" borderId="0" xfId="0" applyFont="1"/>
    <xf numFmtId="0" fontId="23" fillId="2" borderId="5" xfId="4" applyFont="1" applyFill="1" applyBorder="1"/>
    <xf numFmtId="0" fontId="23" fillId="2" borderId="21" xfId="4" applyFont="1" applyFill="1" applyBorder="1"/>
    <xf numFmtId="170" fontId="23" fillId="2" borderId="29" xfId="4" applyNumberFormat="1" applyFont="1" applyFill="1" applyBorder="1" applyAlignment="1">
      <alignment horizontal="right"/>
    </xf>
    <xf numFmtId="170" fontId="23" fillId="2" borderId="6" xfId="4" applyNumberFormat="1" applyFont="1" applyFill="1" applyBorder="1" applyAlignment="1">
      <alignment horizontal="right"/>
    </xf>
    <xf numFmtId="171" fontId="23" fillId="2" borderId="21" xfId="4" applyNumberFormat="1" applyFont="1" applyFill="1" applyBorder="1" applyAlignment="1">
      <alignment horizontal="right"/>
    </xf>
    <xf numFmtId="170" fontId="14" fillId="9" borderId="31" xfId="4" applyNumberFormat="1" applyFont="1" applyFill="1" applyBorder="1" applyAlignment="1">
      <alignment horizontal="right"/>
    </xf>
    <xf numFmtId="10" fontId="0" fillId="0" borderId="0" xfId="1" applyNumberFormat="1" applyFont="1" applyAlignment="1">
      <alignment horizontal="left"/>
    </xf>
    <xf numFmtId="0" fontId="28" fillId="4" borderId="22" xfId="4" applyFont="1" applyFill="1" applyBorder="1"/>
    <xf numFmtId="165" fontId="0" fillId="0" borderId="0" xfId="0" applyNumberFormat="1"/>
    <xf numFmtId="166" fontId="0" fillId="0" borderId="0" xfId="0" applyNumberFormat="1"/>
    <xf numFmtId="170" fontId="30" fillId="8" borderId="13" xfId="4" applyNumberFormat="1" applyFont="1" applyFill="1" applyBorder="1" applyAlignment="1">
      <alignment horizontal="right"/>
    </xf>
    <xf numFmtId="170" fontId="29" fillId="6" borderId="14" xfId="4" applyNumberFormat="1" applyFont="1" applyFill="1" applyBorder="1" applyAlignment="1">
      <alignment horizontal="right"/>
    </xf>
    <xf numFmtId="170" fontId="30" fillId="10" borderId="13" xfId="4" applyNumberFormat="1" applyFont="1" applyFill="1" applyBorder="1" applyAlignment="1">
      <alignment horizontal="right"/>
    </xf>
    <xf numFmtId="165" fontId="0" fillId="9" borderId="0" xfId="0" applyNumberFormat="1" applyFill="1"/>
    <xf numFmtId="165" fontId="0" fillId="11" borderId="0" xfId="0" applyNumberFormat="1" applyFill="1"/>
    <xf numFmtId="165" fontId="0" fillId="14" borderId="0" xfId="0" applyNumberFormat="1" applyFill="1"/>
    <xf numFmtId="165" fontId="0" fillId="15" borderId="0" xfId="0" applyNumberFormat="1" applyFill="1"/>
    <xf numFmtId="170" fontId="14" fillId="8" borderId="0" xfId="4" applyNumberFormat="1" applyFont="1" applyFill="1" applyAlignment="1">
      <alignment horizontal="right"/>
    </xf>
    <xf numFmtId="170" fontId="14" fillId="10" borderId="0" xfId="0" applyNumberFormat="1" applyFont="1" applyFill="1" applyAlignment="1">
      <alignment horizontal="right"/>
    </xf>
    <xf numFmtId="170" fontId="17" fillId="6" borderId="37" xfId="4" applyNumberFormat="1" applyFont="1" applyFill="1" applyBorder="1" applyAlignment="1">
      <alignment horizontal="right"/>
    </xf>
    <xf numFmtId="170" fontId="14" fillId="10" borderId="30" xfId="4" applyNumberFormat="1" applyFont="1" applyFill="1" applyBorder="1" applyAlignment="1">
      <alignment horizontal="right"/>
    </xf>
    <xf numFmtId="170" fontId="17" fillId="6" borderId="34" xfId="4" applyNumberFormat="1" applyFont="1" applyFill="1" applyBorder="1" applyAlignment="1">
      <alignment horizontal="right"/>
    </xf>
    <xf numFmtId="170" fontId="30" fillId="8" borderId="0" xfId="4" applyNumberFormat="1" applyFont="1" applyFill="1" applyAlignment="1">
      <alignment horizontal="right"/>
    </xf>
    <xf numFmtId="170" fontId="30" fillId="10" borderId="0" xfId="4" applyNumberFormat="1" applyFont="1" applyFill="1" applyAlignment="1">
      <alignment horizontal="right"/>
    </xf>
    <xf numFmtId="170" fontId="30" fillId="8" borderId="30" xfId="4" applyNumberFormat="1" applyFont="1" applyFill="1" applyBorder="1" applyAlignment="1">
      <alignment horizontal="right"/>
    </xf>
    <xf numFmtId="170" fontId="30" fillId="10" borderId="31" xfId="4" applyNumberFormat="1" applyFont="1" applyFill="1" applyBorder="1" applyAlignment="1">
      <alignment horizontal="right"/>
    </xf>
    <xf numFmtId="170" fontId="30" fillId="8" borderId="31" xfId="4" applyNumberFormat="1" applyFont="1" applyFill="1" applyBorder="1" applyAlignment="1">
      <alignment horizontal="right"/>
    </xf>
    <xf numFmtId="165" fontId="25" fillId="12" borderId="0" xfId="0" applyNumberFormat="1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17" borderId="0" xfId="0" applyFill="1"/>
    <xf numFmtId="170" fontId="0" fillId="17" borderId="0" xfId="0" applyNumberFormat="1" applyFill="1"/>
    <xf numFmtId="166" fontId="0" fillId="17" borderId="0" xfId="6" applyFont="1" applyFill="1"/>
    <xf numFmtId="0" fontId="0" fillId="17" borderId="1" xfId="0" applyFill="1" applyBorder="1"/>
    <xf numFmtId="0" fontId="0" fillId="17" borderId="5" xfId="0" applyFill="1" applyBorder="1"/>
    <xf numFmtId="0" fontId="0" fillId="17" borderId="8" xfId="0" applyFill="1" applyBorder="1"/>
    <xf numFmtId="170" fontId="0" fillId="0" borderId="39" xfId="0" applyNumberFormat="1" applyBorder="1"/>
    <xf numFmtId="170" fontId="0" fillId="18" borderId="30" xfId="0" applyNumberFormat="1" applyFill="1" applyBorder="1"/>
    <xf numFmtId="170" fontId="0" fillId="18" borderId="34" xfId="0" applyNumberFormat="1" applyFill="1" applyBorder="1"/>
    <xf numFmtId="0" fontId="0" fillId="19" borderId="0" xfId="0" applyFill="1"/>
    <xf numFmtId="14" fontId="0" fillId="0" borderId="0" xfId="0" applyNumberFormat="1"/>
    <xf numFmtId="0" fontId="23" fillId="13" borderId="41" xfId="0" applyFont="1" applyFill="1" applyBorder="1" applyAlignment="1">
      <alignment horizontal="center"/>
    </xf>
    <xf numFmtId="0" fontId="23" fillId="13" borderId="38" xfId="0" applyFont="1" applyFill="1" applyBorder="1" applyAlignment="1">
      <alignment horizontal="center"/>
    </xf>
    <xf numFmtId="0" fontId="0" fillId="20" borderId="38" xfId="0" applyFill="1" applyBorder="1"/>
    <xf numFmtId="0" fontId="0" fillId="0" borderId="38" xfId="0" applyBorder="1"/>
    <xf numFmtId="0" fontId="0" fillId="20" borderId="38" xfId="0" applyFill="1" applyBorder="1" applyAlignment="1">
      <alignment horizontal="center" vertical="center"/>
    </xf>
    <xf numFmtId="14" fontId="0" fillId="20" borderId="38" xfId="0" applyNumberFormat="1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4" fontId="0" fillId="20" borderId="41" xfId="0" applyNumberFormat="1" applyFill="1" applyBorder="1" applyAlignment="1">
      <alignment horizontal="center"/>
    </xf>
    <xf numFmtId="14" fontId="0" fillId="0" borderId="41" xfId="0" applyNumberFormat="1" applyBorder="1" applyAlignment="1">
      <alignment horizontal="center"/>
    </xf>
    <xf numFmtId="165" fontId="0" fillId="21" borderId="0" xfId="0" applyNumberFormat="1" applyFill="1"/>
    <xf numFmtId="170" fontId="17" fillId="6" borderId="10" xfId="4" applyNumberFormat="1" applyFont="1" applyFill="1" applyBorder="1" applyAlignment="1">
      <alignment horizontal="right"/>
    </xf>
    <xf numFmtId="170" fontId="14" fillId="10" borderId="40" xfId="4" applyNumberFormat="1" applyFont="1" applyFill="1" applyBorder="1" applyAlignment="1">
      <alignment horizontal="right"/>
    </xf>
    <xf numFmtId="170" fontId="17" fillId="6" borderId="35" xfId="4" applyNumberFormat="1" applyFont="1" applyFill="1" applyBorder="1" applyAlignment="1">
      <alignment horizontal="right"/>
    </xf>
    <xf numFmtId="171" fontId="0" fillId="0" borderId="0" xfId="6" applyNumberFormat="1" applyFont="1"/>
    <xf numFmtId="165" fontId="0" fillId="0" borderId="0" xfId="6" applyNumberFormat="1" applyFont="1"/>
    <xf numFmtId="0" fontId="23" fillId="13" borderId="0" xfId="0" applyFont="1" applyFill="1" applyAlignment="1">
      <alignment wrapText="1"/>
    </xf>
    <xf numFmtId="165" fontId="0" fillId="9" borderId="0" xfId="6" applyNumberFormat="1" applyFont="1" applyFill="1"/>
    <xf numFmtId="0" fontId="21" fillId="2" borderId="4" xfId="0" applyFont="1" applyFill="1" applyBorder="1" applyAlignment="1">
      <alignment horizontal="center" vertical="center" wrapText="1"/>
    </xf>
    <xf numFmtId="0" fontId="17" fillId="6" borderId="0" xfId="4" applyFont="1" applyFill="1"/>
    <xf numFmtId="0" fontId="17" fillId="2" borderId="42" xfId="4" applyFont="1" applyFill="1" applyBorder="1" applyAlignment="1">
      <alignment horizontal="center"/>
    </xf>
    <xf numFmtId="17" fontId="21" fillId="2" borderId="3" xfId="0" applyNumberFormat="1" applyFont="1" applyFill="1" applyBorder="1" applyAlignment="1">
      <alignment horizontal="center" vertical="center" wrapText="1"/>
    </xf>
    <xf numFmtId="17" fontId="21" fillId="2" borderId="0" xfId="0" applyNumberFormat="1" applyFont="1" applyFill="1" applyAlignment="1">
      <alignment horizontal="center" vertical="center" wrapText="1"/>
    </xf>
    <xf numFmtId="40" fontId="17" fillId="6" borderId="4" xfId="4" applyNumberFormat="1" applyFont="1" applyFill="1" applyBorder="1" applyAlignment="1">
      <alignment horizontal="right"/>
    </xf>
    <xf numFmtId="40" fontId="14" fillId="8" borderId="4" xfId="4" applyNumberFormat="1" applyFont="1" applyFill="1" applyBorder="1" applyAlignment="1">
      <alignment horizontal="right"/>
    </xf>
    <xf numFmtId="40" fontId="14" fillId="10" borderId="4" xfId="0" applyNumberFormat="1" applyFont="1" applyFill="1" applyBorder="1" applyAlignment="1">
      <alignment horizontal="right"/>
    </xf>
    <xf numFmtId="40" fontId="30" fillId="8" borderId="4" xfId="4" applyNumberFormat="1" applyFont="1" applyFill="1" applyBorder="1" applyAlignment="1">
      <alignment horizontal="right"/>
    </xf>
    <xf numFmtId="40" fontId="30" fillId="10" borderId="4" xfId="4" applyNumberFormat="1" applyFont="1" applyFill="1" applyBorder="1" applyAlignment="1">
      <alignment horizontal="right"/>
    </xf>
    <xf numFmtId="17" fontId="21" fillId="2" borderId="44" xfId="0" applyNumberFormat="1" applyFont="1" applyFill="1" applyBorder="1" applyAlignment="1">
      <alignment horizontal="center" vertical="center" wrapText="1"/>
    </xf>
    <xf numFmtId="40" fontId="17" fillId="6" borderId="44" xfId="4" applyNumberFormat="1" applyFont="1" applyFill="1" applyBorder="1" applyAlignment="1">
      <alignment horizontal="right"/>
    </xf>
    <xf numFmtId="40" fontId="14" fillId="10" borderId="44" xfId="4" applyNumberFormat="1" applyFont="1" applyFill="1" applyBorder="1" applyAlignment="1">
      <alignment horizontal="right"/>
    </xf>
    <xf numFmtId="40" fontId="14" fillId="8" borderId="44" xfId="4" applyNumberFormat="1" applyFont="1" applyFill="1" applyBorder="1" applyAlignment="1">
      <alignment horizontal="right"/>
    </xf>
    <xf numFmtId="40" fontId="14" fillId="10" borderId="44" xfId="0" applyNumberFormat="1" applyFont="1" applyFill="1" applyBorder="1" applyAlignment="1">
      <alignment horizontal="right"/>
    </xf>
    <xf numFmtId="40" fontId="30" fillId="8" borderId="44" xfId="4" applyNumberFormat="1" applyFont="1" applyFill="1" applyBorder="1" applyAlignment="1">
      <alignment horizontal="right"/>
    </xf>
    <xf numFmtId="40" fontId="30" fillId="10" borderId="44" xfId="4" applyNumberFormat="1" applyFont="1" applyFill="1" applyBorder="1" applyAlignment="1">
      <alignment horizontal="right"/>
    </xf>
    <xf numFmtId="171" fontId="23" fillId="2" borderId="43" xfId="4" applyNumberFormat="1" applyFont="1" applyFill="1" applyBorder="1" applyAlignment="1">
      <alignment horizontal="right"/>
    </xf>
    <xf numFmtId="40" fontId="17" fillId="6" borderId="38" xfId="4" applyNumberFormat="1" applyFont="1" applyFill="1" applyBorder="1" applyAlignment="1">
      <alignment horizontal="right"/>
    </xf>
    <xf numFmtId="40" fontId="14" fillId="8" borderId="38" xfId="4" applyNumberFormat="1" applyFont="1" applyFill="1" applyBorder="1" applyAlignment="1">
      <alignment horizontal="right"/>
    </xf>
    <xf numFmtId="40" fontId="14" fillId="10" borderId="38" xfId="0" applyNumberFormat="1" applyFont="1" applyFill="1" applyBorder="1" applyAlignment="1">
      <alignment horizontal="right"/>
    </xf>
    <xf numFmtId="40" fontId="30" fillId="8" borderId="38" xfId="4" applyNumberFormat="1" applyFont="1" applyFill="1" applyBorder="1" applyAlignment="1">
      <alignment horizontal="right"/>
    </xf>
    <xf numFmtId="40" fontId="30" fillId="10" borderId="38" xfId="4" applyNumberFormat="1" applyFont="1" applyFill="1" applyBorder="1" applyAlignment="1">
      <alignment horizontal="right"/>
    </xf>
    <xf numFmtId="0" fontId="17" fillId="6" borderId="3" xfId="4" applyFont="1" applyFill="1" applyBorder="1"/>
    <xf numFmtId="0" fontId="13" fillId="10" borderId="28" xfId="4" applyFont="1" applyFill="1" applyBorder="1"/>
    <xf numFmtId="0" fontId="13" fillId="10" borderId="40" xfId="4" applyFont="1" applyFill="1" applyBorder="1"/>
    <xf numFmtId="40" fontId="14" fillId="10" borderId="45" xfId="4" applyNumberFormat="1" applyFont="1" applyFill="1" applyBorder="1" applyAlignment="1">
      <alignment horizontal="right"/>
    </xf>
    <xf numFmtId="40" fontId="14" fillId="10" borderId="37" xfId="4" applyNumberFormat="1" applyFont="1" applyFill="1" applyBorder="1" applyAlignment="1">
      <alignment horizontal="right"/>
    </xf>
    <xf numFmtId="40" fontId="14" fillId="10" borderId="17" xfId="4" applyNumberFormat="1" applyFont="1" applyFill="1" applyBorder="1" applyAlignment="1">
      <alignment horizontal="right"/>
    </xf>
    <xf numFmtId="40" fontId="17" fillId="6" borderId="36" xfId="4" applyNumberFormat="1" applyFont="1" applyFill="1" applyBorder="1" applyAlignment="1">
      <alignment horizontal="right"/>
    </xf>
    <xf numFmtId="40" fontId="17" fillId="6" borderId="46" xfId="4" applyNumberFormat="1" applyFont="1" applyFill="1" applyBorder="1" applyAlignment="1">
      <alignment horizontal="right"/>
    </xf>
    <xf numFmtId="40" fontId="17" fillId="6" borderId="20" xfId="4" applyNumberFormat="1" applyFont="1" applyFill="1" applyBorder="1" applyAlignment="1">
      <alignment horizontal="right"/>
    </xf>
    <xf numFmtId="0" fontId="13" fillId="8" borderId="28" xfId="4" applyFont="1" applyFill="1" applyBorder="1"/>
    <xf numFmtId="0" fontId="13" fillId="8" borderId="40" xfId="4" applyFont="1" applyFill="1" applyBorder="1"/>
    <xf numFmtId="40" fontId="30" fillId="8" borderId="45" xfId="4" applyNumberFormat="1" applyFont="1" applyFill="1" applyBorder="1" applyAlignment="1">
      <alignment horizontal="right"/>
    </xf>
    <xf numFmtId="40" fontId="30" fillId="8" borderId="37" xfId="4" applyNumberFormat="1" applyFont="1" applyFill="1" applyBorder="1" applyAlignment="1">
      <alignment horizontal="right"/>
    </xf>
    <xf numFmtId="40" fontId="30" fillId="8" borderId="17" xfId="4" applyNumberFormat="1" applyFont="1" applyFill="1" applyBorder="1" applyAlignment="1">
      <alignment horizontal="right"/>
    </xf>
    <xf numFmtId="40" fontId="14" fillId="8" borderId="45" xfId="4" applyNumberFormat="1" applyFont="1" applyFill="1" applyBorder="1" applyAlignment="1">
      <alignment horizontal="right"/>
    </xf>
    <xf numFmtId="0" fontId="0" fillId="9" borderId="0" xfId="0" applyFill="1" applyAlignment="1">
      <alignment horizontal="center"/>
    </xf>
    <xf numFmtId="0" fontId="0" fillId="22" borderId="0" xfId="0" applyFill="1"/>
    <xf numFmtId="165" fontId="0" fillId="22" borderId="0" xfId="6" applyNumberFormat="1" applyFont="1" applyFill="1"/>
    <xf numFmtId="165" fontId="25" fillId="22" borderId="0" xfId="6" applyNumberFormat="1" applyFont="1" applyFill="1"/>
    <xf numFmtId="165" fontId="0" fillId="23" borderId="0" xfId="6" applyNumberFormat="1" applyFont="1" applyFill="1"/>
    <xf numFmtId="0" fontId="17" fillId="15" borderId="27" xfId="4" applyFont="1" applyFill="1" applyBorder="1"/>
    <xf numFmtId="0" fontId="17" fillId="15" borderId="10" xfId="4" applyFont="1" applyFill="1" applyBorder="1"/>
    <xf numFmtId="170" fontId="17" fillId="15" borderId="11" xfId="4" applyNumberFormat="1" applyFont="1" applyFill="1" applyBorder="1" applyAlignment="1">
      <alignment horizontal="right"/>
    </xf>
    <xf numFmtId="169" fontId="17" fillId="15" borderId="20" xfId="4" applyNumberFormat="1" applyFont="1" applyFill="1" applyBorder="1" applyAlignment="1">
      <alignment horizontal="right"/>
    </xf>
    <xf numFmtId="170" fontId="17" fillId="15" borderId="35" xfId="4" applyNumberFormat="1" applyFont="1" applyFill="1" applyBorder="1" applyAlignment="1">
      <alignment horizontal="right"/>
    </xf>
    <xf numFmtId="170" fontId="17" fillId="15" borderId="20" xfId="4" applyNumberFormat="1" applyFont="1" applyFill="1" applyBorder="1" applyAlignment="1">
      <alignment horizontal="right"/>
    </xf>
    <xf numFmtId="170" fontId="17" fillId="15" borderId="37" xfId="4" applyNumberFormat="1" applyFont="1" applyFill="1" applyBorder="1" applyAlignment="1">
      <alignment horizontal="right"/>
    </xf>
    <xf numFmtId="170" fontId="29" fillId="15" borderId="14" xfId="4" applyNumberFormat="1" applyFont="1" applyFill="1" applyBorder="1" applyAlignment="1">
      <alignment horizontal="right"/>
    </xf>
    <xf numFmtId="170" fontId="17" fillId="15" borderId="33" xfId="4" applyNumberFormat="1" applyFont="1" applyFill="1" applyBorder="1" applyAlignment="1">
      <alignment horizontal="right"/>
    </xf>
    <xf numFmtId="170" fontId="17" fillId="15" borderId="34" xfId="4" applyNumberFormat="1" applyFont="1" applyFill="1" applyBorder="1" applyAlignment="1">
      <alignment horizontal="right"/>
    </xf>
    <xf numFmtId="165" fontId="17" fillId="15" borderId="37" xfId="4" applyNumberFormat="1" applyFont="1" applyFill="1" applyBorder="1" applyAlignment="1">
      <alignment horizontal="right"/>
    </xf>
    <xf numFmtId="165" fontId="14" fillId="10" borderId="30" xfId="4" applyNumberFormat="1" applyFont="1" applyFill="1" applyBorder="1" applyAlignment="1">
      <alignment horizontal="right"/>
    </xf>
    <xf numFmtId="165" fontId="14" fillId="8" borderId="31" xfId="4" applyNumberFormat="1" applyFont="1" applyFill="1" applyBorder="1" applyAlignment="1">
      <alignment horizontal="right"/>
    </xf>
    <xf numFmtId="165" fontId="14" fillId="10" borderId="31" xfId="0" applyNumberFormat="1" applyFont="1" applyFill="1" applyBorder="1" applyAlignment="1">
      <alignment horizontal="right"/>
    </xf>
    <xf numFmtId="165" fontId="17" fillId="15" borderId="34" xfId="4" applyNumberFormat="1" applyFont="1" applyFill="1" applyBorder="1" applyAlignment="1">
      <alignment horizontal="right"/>
    </xf>
    <xf numFmtId="165" fontId="30" fillId="8" borderId="30" xfId="4" applyNumberFormat="1" applyFont="1" applyFill="1" applyBorder="1" applyAlignment="1">
      <alignment horizontal="right"/>
    </xf>
    <xf numFmtId="165" fontId="30" fillId="10" borderId="31" xfId="4" applyNumberFormat="1" applyFont="1" applyFill="1" applyBorder="1" applyAlignment="1">
      <alignment horizontal="right"/>
    </xf>
    <xf numFmtId="165" fontId="30" fillId="8" borderId="31" xfId="4" applyNumberFormat="1" applyFont="1" applyFill="1" applyBorder="1" applyAlignment="1">
      <alignment horizontal="right"/>
    </xf>
    <xf numFmtId="165" fontId="23" fillId="2" borderId="34" xfId="4" applyNumberFormat="1" applyFont="1" applyFill="1" applyBorder="1" applyAlignment="1">
      <alignment horizontal="right"/>
    </xf>
    <xf numFmtId="0" fontId="0" fillId="15" borderId="0" xfId="0" applyFill="1"/>
    <xf numFmtId="165" fontId="25" fillId="0" borderId="0" xfId="0" applyNumberFormat="1" applyFont="1"/>
    <xf numFmtId="9" fontId="17" fillId="6" borderId="4" xfId="1" applyFont="1" applyFill="1" applyBorder="1" applyAlignment="1">
      <alignment horizontal="right"/>
    </xf>
    <xf numFmtId="9" fontId="14" fillId="8" borderId="4" xfId="1" applyFont="1" applyFill="1" applyBorder="1" applyAlignment="1">
      <alignment horizontal="right"/>
    </xf>
    <xf numFmtId="9" fontId="14" fillId="10" borderId="4" xfId="1" applyFont="1" applyFill="1" applyBorder="1" applyAlignment="1">
      <alignment horizontal="right"/>
    </xf>
    <xf numFmtId="9" fontId="17" fillId="6" borderId="20" xfId="1" applyFont="1" applyFill="1" applyBorder="1" applyAlignment="1">
      <alignment horizontal="right"/>
    </xf>
    <xf numFmtId="9" fontId="30" fillId="8" borderId="17" xfId="1" applyFont="1" applyFill="1" applyBorder="1" applyAlignment="1">
      <alignment horizontal="right"/>
    </xf>
    <xf numFmtId="9" fontId="30" fillId="10" borderId="4" xfId="1" applyFont="1" applyFill="1" applyBorder="1" applyAlignment="1">
      <alignment horizontal="right"/>
    </xf>
    <xf numFmtId="9" fontId="30" fillId="8" borderId="4" xfId="1" applyFont="1" applyFill="1" applyBorder="1" applyAlignment="1">
      <alignment horizontal="right"/>
    </xf>
    <xf numFmtId="9" fontId="23" fillId="2" borderId="6" xfId="1" applyFont="1" applyFill="1" applyBorder="1" applyAlignment="1">
      <alignment horizontal="right"/>
    </xf>
    <xf numFmtId="166" fontId="14" fillId="10" borderId="17" xfId="6" applyFont="1" applyFill="1" applyBorder="1" applyAlignment="1">
      <alignment horizontal="right"/>
    </xf>
    <xf numFmtId="0" fontId="25" fillId="0" borderId="51" xfId="0" applyFont="1" applyBorder="1"/>
    <xf numFmtId="0" fontId="25" fillId="0" borderId="52" xfId="0" applyFont="1" applyBorder="1"/>
    <xf numFmtId="0" fontId="25" fillId="25" borderId="0" xfId="0" applyFont="1" applyFill="1"/>
    <xf numFmtId="17" fontId="19" fillId="25" borderId="53" xfId="0" applyNumberFormat="1" applyFont="1" applyFill="1" applyBorder="1" applyAlignment="1">
      <alignment horizontal="center" vertical="center"/>
    </xf>
    <xf numFmtId="17" fontId="19" fillId="25" borderId="53" xfId="0" applyNumberFormat="1" applyFont="1" applyFill="1" applyBorder="1" applyAlignment="1">
      <alignment horizontal="center" vertical="center" wrapText="1"/>
    </xf>
    <xf numFmtId="0" fontId="17" fillId="25" borderId="0" xfId="0" applyFont="1" applyFill="1"/>
    <xf numFmtId="166" fontId="25" fillId="26" borderId="0" xfId="6" applyFont="1" applyFill="1"/>
    <xf numFmtId="0" fontId="0" fillId="26" borderId="0" xfId="0" applyFill="1"/>
    <xf numFmtId="166" fontId="25" fillId="0" borderId="0" xfId="6" applyFont="1"/>
    <xf numFmtId="166" fontId="0" fillId="26" borderId="0" xfId="6" applyFont="1" applyFill="1"/>
    <xf numFmtId="0" fontId="17" fillId="23" borderId="0" xfId="0" applyFont="1" applyFill="1"/>
    <xf numFmtId="166" fontId="0" fillId="23" borderId="0" xfId="6" applyFont="1" applyFill="1"/>
    <xf numFmtId="166" fontId="25" fillId="23" borderId="0" xfId="6" applyFont="1" applyFill="1"/>
    <xf numFmtId="0" fontId="31" fillId="27" borderId="0" xfId="0" applyFont="1" applyFill="1" applyAlignment="1">
      <alignment horizontal="right"/>
    </xf>
    <xf numFmtId="0" fontId="32" fillId="0" borderId="0" xfId="0" applyFont="1" applyAlignment="1">
      <alignment horizontal="right"/>
    </xf>
    <xf numFmtId="166" fontId="32" fillId="0" borderId="0" xfId="6" applyFont="1" applyAlignment="1">
      <alignment horizontal="right"/>
    </xf>
    <xf numFmtId="166" fontId="32" fillId="26" borderId="0" xfId="6" applyFont="1" applyFill="1"/>
    <xf numFmtId="0" fontId="31" fillId="23" borderId="0" xfId="0" applyFont="1" applyFill="1" applyAlignment="1">
      <alignment horizontal="right"/>
    </xf>
    <xf numFmtId="0" fontId="32" fillId="23" borderId="0" xfId="0" applyFont="1" applyFill="1" applyAlignment="1">
      <alignment horizontal="right"/>
    </xf>
    <xf numFmtId="166" fontId="32" fillId="23" borderId="0" xfId="6" applyFont="1" applyFill="1" applyAlignment="1">
      <alignment horizontal="right"/>
    </xf>
    <xf numFmtId="0" fontId="33" fillId="13" borderId="0" xfId="0" applyFont="1" applyFill="1" applyAlignment="1">
      <alignment horizontal="right"/>
    </xf>
    <xf numFmtId="166" fontId="25" fillId="8" borderId="0" xfId="6" applyFont="1" applyFill="1"/>
    <xf numFmtId="166" fontId="32" fillId="8" borderId="0" xfId="6" applyFont="1" applyFill="1" applyAlignment="1">
      <alignment horizontal="right"/>
    </xf>
    <xf numFmtId="0" fontId="35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36" fillId="0" borderId="0" xfId="0" applyFont="1"/>
    <xf numFmtId="0" fontId="35" fillId="0" borderId="47" xfId="0" applyFont="1" applyBorder="1" applyAlignment="1">
      <alignment vertical="center"/>
    </xf>
    <xf numFmtId="0" fontId="35" fillId="0" borderId="47" xfId="0" applyFont="1" applyBorder="1" applyAlignment="1">
      <alignment horizontal="left" vertical="center"/>
    </xf>
    <xf numFmtId="15" fontId="35" fillId="0" borderId="47" xfId="0" applyNumberFormat="1" applyFont="1" applyBorder="1" applyAlignment="1">
      <alignment horizontal="right" vertical="center"/>
    </xf>
    <xf numFmtId="0" fontId="36" fillId="0" borderId="48" xfId="0" applyFont="1" applyBorder="1" applyAlignment="1">
      <alignment vertical="center"/>
    </xf>
    <xf numFmtId="4" fontId="36" fillId="0" borderId="48" xfId="0" applyNumberFormat="1" applyFont="1" applyBorder="1" applyAlignment="1">
      <alignment horizontal="right" vertical="center"/>
    </xf>
    <xf numFmtId="0" fontId="35" fillId="0" borderId="48" xfId="0" applyFont="1" applyBorder="1" applyAlignment="1">
      <alignment vertical="center"/>
    </xf>
    <xf numFmtId="4" fontId="35" fillId="0" borderId="48" xfId="0" applyNumberFormat="1" applyFont="1" applyBorder="1" applyAlignment="1">
      <alignment horizontal="right" vertical="center"/>
    </xf>
    <xf numFmtId="0" fontId="35" fillId="24" borderId="49" xfId="0" applyFont="1" applyFill="1" applyBorder="1" applyAlignment="1">
      <alignment vertical="center"/>
    </xf>
    <xf numFmtId="4" fontId="35" fillId="24" borderId="49" xfId="0" applyNumberFormat="1" applyFont="1" applyFill="1" applyBorder="1" applyAlignment="1">
      <alignment horizontal="right" vertical="center"/>
    </xf>
    <xf numFmtId="4" fontId="36" fillId="0" borderId="0" xfId="0" applyNumberFormat="1" applyFont="1" applyAlignment="1">
      <alignment horizontal="right" vertical="center"/>
    </xf>
    <xf numFmtId="170" fontId="0" fillId="0" borderId="0" xfId="0" applyNumberFormat="1"/>
    <xf numFmtId="165" fontId="17" fillId="9" borderId="37" xfId="4" applyNumberFormat="1" applyFont="1" applyFill="1" applyBorder="1" applyAlignment="1">
      <alignment horizontal="right"/>
    </xf>
    <xf numFmtId="165" fontId="14" fillId="9" borderId="30" xfId="4" applyNumberFormat="1" applyFont="1" applyFill="1" applyBorder="1" applyAlignment="1">
      <alignment horizontal="right"/>
    </xf>
    <xf numFmtId="165" fontId="14" fillId="9" borderId="31" xfId="4" applyNumberFormat="1" applyFont="1" applyFill="1" applyBorder="1" applyAlignment="1">
      <alignment horizontal="right"/>
    </xf>
    <xf numFmtId="165" fontId="14" fillId="9" borderId="31" xfId="0" applyNumberFormat="1" applyFont="1" applyFill="1" applyBorder="1" applyAlignment="1">
      <alignment horizontal="right"/>
    </xf>
    <xf numFmtId="165" fontId="17" fillId="9" borderId="34" xfId="4" applyNumberFormat="1" applyFont="1" applyFill="1" applyBorder="1" applyAlignment="1">
      <alignment horizontal="right"/>
    </xf>
    <xf numFmtId="165" fontId="30" fillId="9" borderId="30" xfId="4" applyNumberFormat="1" applyFont="1" applyFill="1" applyBorder="1" applyAlignment="1">
      <alignment horizontal="right"/>
    </xf>
    <xf numFmtId="165" fontId="30" fillId="9" borderId="31" xfId="4" applyNumberFormat="1" applyFont="1" applyFill="1" applyBorder="1" applyAlignment="1">
      <alignment horizontal="right"/>
    </xf>
    <xf numFmtId="165" fontId="23" fillId="9" borderId="34" xfId="4" applyNumberFormat="1" applyFont="1" applyFill="1" applyBorder="1" applyAlignment="1">
      <alignment horizontal="right"/>
    </xf>
    <xf numFmtId="171" fontId="20" fillId="2" borderId="34" xfId="4" applyNumberFormat="1" applyFont="1" applyFill="1" applyBorder="1" applyAlignment="1">
      <alignment horizontal="right" vertical="center"/>
    </xf>
    <xf numFmtId="171" fontId="20" fillId="2" borderId="6" xfId="4" applyNumberFormat="1" applyFont="1" applyFill="1" applyBorder="1" applyAlignment="1">
      <alignment horizontal="right" vertical="center"/>
    </xf>
    <xf numFmtId="170" fontId="20" fillId="2" borderId="29" xfId="4" applyNumberFormat="1" applyFont="1" applyFill="1" applyBorder="1" applyAlignment="1">
      <alignment horizontal="right" vertical="center"/>
    </xf>
    <xf numFmtId="170" fontId="20" fillId="2" borderId="6" xfId="4" applyNumberFormat="1" applyFont="1" applyFill="1" applyBorder="1" applyAlignment="1">
      <alignment horizontal="right" vertical="center"/>
    </xf>
    <xf numFmtId="0" fontId="23" fillId="2" borderId="5" xfId="4" applyFont="1" applyFill="1" applyBorder="1" applyAlignment="1">
      <alignment horizontal="center" wrapText="1"/>
    </xf>
    <xf numFmtId="166" fontId="13" fillId="8" borderId="3" xfId="6" applyFont="1" applyFill="1" applyBorder="1"/>
    <xf numFmtId="0" fontId="17" fillId="15" borderId="22" xfId="4" applyFont="1" applyFill="1" applyBorder="1"/>
    <xf numFmtId="166" fontId="17" fillId="15" borderId="22" xfId="6" applyFont="1" applyFill="1" applyBorder="1"/>
    <xf numFmtId="0" fontId="17" fillId="15" borderId="35" xfId="4" applyFont="1" applyFill="1" applyBorder="1"/>
    <xf numFmtId="10" fontId="13" fillId="8" borderId="31" xfId="1" applyNumberFormat="1" applyFont="1" applyFill="1" applyBorder="1"/>
    <xf numFmtId="0" fontId="13" fillId="10" borderId="5" xfId="4" applyFont="1" applyFill="1" applyBorder="1"/>
    <xf numFmtId="166" fontId="13" fillId="10" borderId="5" xfId="6" applyFont="1" applyFill="1" applyBorder="1"/>
    <xf numFmtId="10" fontId="13" fillId="10" borderId="34" xfId="1" applyNumberFormat="1" applyFont="1" applyFill="1" applyBorder="1"/>
    <xf numFmtId="0" fontId="37" fillId="25" borderId="0" xfId="0" applyFont="1" applyFill="1"/>
    <xf numFmtId="17" fontId="20" fillId="25" borderId="53" xfId="0" applyNumberFormat="1" applyFont="1" applyFill="1" applyBorder="1" applyAlignment="1">
      <alignment horizontal="center" vertical="center"/>
    </xf>
    <xf numFmtId="17" fontId="20" fillId="25" borderId="53" xfId="0" applyNumberFormat="1" applyFont="1" applyFill="1" applyBorder="1" applyAlignment="1">
      <alignment horizontal="center" vertical="center" wrapText="1"/>
    </xf>
    <xf numFmtId="0" fontId="20" fillId="25" borderId="0" xfId="0" applyFont="1" applyFill="1"/>
    <xf numFmtId="166" fontId="37" fillId="26" borderId="0" xfId="6" applyFont="1" applyFill="1"/>
    <xf numFmtId="0" fontId="27" fillId="26" borderId="0" xfId="0" applyFont="1" applyFill="1"/>
    <xf numFmtId="166" fontId="37" fillId="0" borderId="0" xfId="6" applyFont="1"/>
    <xf numFmtId="166" fontId="27" fillId="26" borderId="0" xfId="6" applyFont="1" applyFill="1"/>
    <xf numFmtId="0" fontId="20" fillId="23" borderId="0" xfId="0" applyFont="1" applyFill="1"/>
    <xf numFmtId="166" fontId="27" fillId="23" borderId="0" xfId="6" applyFont="1" applyFill="1"/>
    <xf numFmtId="166" fontId="37" fillId="23" borderId="0" xfId="6" applyFont="1" applyFill="1"/>
    <xf numFmtId="0" fontId="28" fillId="27" borderId="0" xfId="0" applyFont="1" applyFill="1" applyAlignment="1">
      <alignment horizontal="left"/>
    </xf>
    <xf numFmtId="0" fontId="27" fillId="0" borderId="0" xfId="0" applyFont="1" applyAlignment="1">
      <alignment horizontal="right"/>
    </xf>
    <xf numFmtId="166" fontId="37" fillId="0" borderId="0" xfId="6" applyFont="1" applyAlignment="1">
      <alignment horizontal="right"/>
    </xf>
    <xf numFmtId="0" fontId="10" fillId="27" borderId="0" xfId="0" applyFont="1" applyFill="1" applyAlignment="1">
      <alignment horizontal="left"/>
    </xf>
    <xf numFmtId="166" fontId="37" fillId="26" borderId="0" xfId="6" applyFont="1" applyFill="1" applyAlignment="1">
      <alignment horizontal="right"/>
    </xf>
    <xf numFmtId="0" fontId="10" fillId="27" borderId="0" xfId="0" applyFont="1" applyFill="1" applyAlignment="1">
      <alignment horizontal="right"/>
    </xf>
    <xf numFmtId="0" fontId="28" fillId="23" borderId="0" xfId="0" applyFont="1" applyFill="1" applyAlignment="1">
      <alignment horizontal="right"/>
    </xf>
    <xf numFmtId="0" fontId="27" fillId="23" borderId="0" xfId="0" applyFont="1" applyFill="1" applyAlignment="1">
      <alignment horizontal="right"/>
    </xf>
    <xf numFmtId="166" fontId="37" fillId="23" borderId="0" xfId="6" applyFont="1" applyFill="1" applyAlignment="1">
      <alignment horizontal="right"/>
    </xf>
    <xf numFmtId="0" fontId="38" fillId="13" borderId="0" xfId="0" applyFont="1" applyFill="1" applyAlignment="1">
      <alignment horizontal="left"/>
    </xf>
    <xf numFmtId="166" fontId="37" fillId="8" borderId="0" xfId="6" applyFont="1" applyFill="1"/>
    <xf numFmtId="166" fontId="37" fillId="8" borderId="0" xfId="6" applyFont="1" applyFill="1" applyAlignment="1">
      <alignment horizontal="right"/>
    </xf>
    <xf numFmtId="166" fontId="27" fillId="0" borderId="0" xfId="6" applyFont="1" applyAlignment="1">
      <alignment horizontal="right"/>
    </xf>
    <xf numFmtId="166" fontId="37" fillId="0" borderId="0" xfId="6" applyFont="1" applyAlignment="1">
      <alignment horizontal="center"/>
    </xf>
    <xf numFmtId="9" fontId="0" fillId="0" borderId="0" xfId="1" applyFont="1"/>
    <xf numFmtId="4" fontId="0" fillId="0" borderId="0" xfId="0" applyNumberFormat="1"/>
    <xf numFmtId="4" fontId="39" fillId="0" borderId="0" xfId="0" applyNumberFormat="1" applyFont="1"/>
    <xf numFmtId="167" fontId="0" fillId="0" borderId="0" xfId="7" applyFont="1"/>
    <xf numFmtId="0" fontId="0" fillId="0" borderId="0" xfId="0" applyAlignment="1">
      <alignment horizontal="left"/>
    </xf>
    <xf numFmtId="0" fontId="0" fillId="0" borderId="0" xfId="0" pivotButton="1"/>
    <xf numFmtId="0" fontId="40" fillId="0" borderId="0" xfId="0" applyFont="1"/>
    <xf numFmtId="167" fontId="40" fillId="0" borderId="0" xfId="7" applyFont="1"/>
    <xf numFmtId="0" fontId="41" fillId="0" borderId="0" xfId="0" applyFont="1"/>
    <xf numFmtId="167" fontId="41" fillId="29" borderId="54" xfId="7" applyFont="1" applyFill="1" applyBorder="1"/>
    <xf numFmtId="0" fontId="41" fillId="29" borderId="54" xfId="0" applyFont="1" applyFill="1" applyBorder="1"/>
    <xf numFmtId="167" fontId="41" fillId="0" borderId="0" xfId="7" applyFont="1"/>
    <xf numFmtId="0" fontId="43" fillId="0" borderId="0" xfId="8" applyFont="1" applyAlignment="1">
      <alignment vertical="center"/>
    </xf>
    <xf numFmtId="0" fontId="44" fillId="0" borderId="0" xfId="8" applyFont="1"/>
    <xf numFmtId="0" fontId="45" fillId="0" borderId="0" xfId="8" applyFont="1" applyAlignment="1">
      <alignment vertical="center"/>
    </xf>
    <xf numFmtId="0" fontId="45" fillId="0" borderId="0" xfId="8" applyFont="1"/>
    <xf numFmtId="0" fontId="42" fillId="0" borderId="0" xfId="8"/>
    <xf numFmtId="0" fontId="46" fillId="0" borderId="47" xfId="8" applyFont="1" applyBorder="1" applyAlignment="1">
      <alignment vertical="center"/>
    </xf>
    <xf numFmtId="0" fontId="46" fillId="0" borderId="47" xfId="8" applyFont="1" applyBorder="1" applyAlignment="1">
      <alignment horizontal="left" vertical="center"/>
    </xf>
    <xf numFmtId="0" fontId="46" fillId="0" borderId="47" xfId="8" applyFont="1" applyBorder="1" applyAlignment="1">
      <alignment horizontal="right" vertical="center"/>
    </xf>
    <xf numFmtId="0" fontId="47" fillId="0" borderId="0" xfId="8" applyFont="1"/>
    <xf numFmtId="0" fontId="48" fillId="0" borderId="0" xfId="8" applyFont="1" applyAlignment="1">
      <alignment vertical="center"/>
    </xf>
    <xf numFmtId="0" fontId="42" fillId="0" borderId="48" xfId="8" applyBorder="1" applyAlignment="1">
      <alignment vertical="center"/>
    </xf>
    <xf numFmtId="173" fontId="42" fillId="0" borderId="48" xfId="8" applyNumberFormat="1" applyBorder="1" applyAlignment="1">
      <alignment horizontal="right" vertical="center"/>
    </xf>
    <xf numFmtId="0" fontId="48" fillId="0" borderId="48" xfId="8" applyFont="1" applyBorder="1" applyAlignment="1">
      <alignment vertical="center"/>
    </xf>
    <xf numFmtId="173" fontId="48" fillId="0" borderId="48" xfId="8" applyNumberFormat="1" applyFont="1" applyBorder="1" applyAlignment="1">
      <alignment horizontal="right" vertical="center"/>
    </xf>
    <xf numFmtId="0" fontId="48" fillId="28" borderId="49" xfId="8" applyFont="1" applyFill="1" applyBorder="1" applyAlignment="1">
      <alignment vertical="center"/>
    </xf>
    <xf numFmtId="173" fontId="48" fillId="28" borderId="49" xfId="8" applyNumberFormat="1" applyFont="1" applyFill="1" applyBorder="1" applyAlignment="1">
      <alignment horizontal="right" vertical="center"/>
    </xf>
    <xf numFmtId="0" fontId="42" fillId="0" borderId="0" xfId="8" applyAlignment="1">
      <alignment vertical="center"/>
    </xf>
    <xf numFmtId="173" fontId="42" fillId="0" borderId="0" xfId="8" applyNumberFormat="1" applyAlignment="1">
      <alignment horizontal="right" vertical="center"/>
    </xf>
    <xf numFmtId="0" fontId="42" fillId="0" borderId="0" xfId="8" applyAlignment="1">
      <alignment vertical="top"/>
    </xf>
    <xf numFmtId="0" fontId="48" fillId="0" borderId="0" xfId="8" applyFont="1" applyAlignment="1">
      <alignment vertical="top"/>
    </xf>
    <xf numFmtId="39" fontId="42" fillId="0" borderId="0" xfId="8" applyNumberFormat="1"/>
    <xf numFmtId="167" fontId="42" fillId="0" borderId="0" xfId="7" applyFont="1"/>
    <xf numFmtId="170" fontId="30" fillId="0" borderId="13" xfId="4" applyNumberFormat="1" applyFont="1" applyBorder="1" applyAlignment="1">
      <alignment horizontal="right"/>
    </xf>
    <xf numFmtId="170" fontId="30" fillId="0" borderId="31" xfId="4" applyNumberFormat="1" applyFont="1" applyBorder="1" applyAlignment="1">
      <alignment horizontal="right"/>
    </xf>
    <xf numFmtId="171" fontId="13" fillId="8" borderId="3" xfId="6" applyNumberFormat="1" applyFont="1" applyFill="1" applyBorder="1"/>
    <xf numFmtId="0" fontId="43" fillId="0" borderId="0" xfId="9" applyFont="1" applyAlignment="1">
      <alignment vertical="center"/>
    </xf>
    <xf numFmtId="0" fontId="44" fillId="0" borderId="0" xfId="9" applyFont="1"/>
    <xf numFmtId="0" fontId="45" fillId="0" borderId="0" xfId="9" applyFont="1" applyAlignment="1">
      <alignment vertical="center"/>
    </xf>
    <xf numFmtId="0" fontId="45" fillId="0" borderId="0" xfId="9" applyFont="1"/>
    <xf numFmtId="0" fontId="42" fillId="0" borderId="0" xfId="9"/>
    <xf numFmtId="0" fontId="46" fillId="0" borderId="47" xfId="9" applyFont="1" applyBorder="1" applyAlignment="1">
      <alignment vertical="center"/>
    </xf>
    <xf numFmtId="0" fontId="46" fillId="0" borderId="47" xfId="9" applyFont="1" applyBorder="1" applyAlignment="1">
      <alignment horizontal="left" vertical="center"/>
    </xf>
    <xf numFmtId="0" fontId="46" fillId="0" borderId="47" xfId="9" applyFont="1" applyBorder="1" applyAlignment="1">
      <alignment horizontal="right" vertical="center"/>
    </xf>
    <xf numFmtId="0" fontId="47" fillId="0" borderId="0" xfId="9" applyFont="1"/>
    <xf numFmtId="0" fontId="48" fillId="0" borderId="0" xfId="9" applyFont="1" applyAlignment="1">
      <alignment vertical="center"/>
    </xf>
    <xf numFmtId="0" fontId="42" fillId="0" borderId="48" xfId="9" applyBorder="1" applyAlignment="1">
      <alignment vertical="center"/>
    </xf>
    <xf numFmtId="173" fontId="42" fillId="0" borderId="48" xfId="9" applyNumberFormat="1" applyBorder="1" applyAlignment="1">
      <alignment horizontal="right" vertical="center"/>
    </xf>
    <xf numFmtId="0" fontId="48" fillId="0" borderId="48" xfId="9" applyFont="1" applyBorder="1" applyAlignment="1">
      <alignment vertical="center"/>
    </xf>
    <xf numFmtId="173" fontId="48" fillId="0" borderId="48" xfId="9" applyNumberFormat="1" applyFont="1" applyBorder="1" applyAlignment="1">
      <alignment horizontal="right" vertical="center"/>
    </xf>
    <xf numFmtId="167" fontId="48" fillId="0" borderId="0" xfId="10" applyFont="1"/>
    <xf numFmtId="0" fontId="48" fillId="28" borderId="49" xfId="9" applyFont="1" applyFill="1" applyBorder="1" applyAlignment="1">
      <alignment vertical="center"/>
    </xf>
    <xf numFmtId="173" fontId="48" fillId="28" borderId="49" xfId="9" applyNumberFormat="1" applyFont="1" applyFill="1" applyBorder="1" applyAlignment="1">
      <alignment horizontal="right" vertical="center"/>
    </xf>
    <xf numFmtId="0" fontId="42" fillId="0" borderId="0" xfId="9" applyAlignment="1">
      <alignment vertical="center"/>
    </xf>
    <xf numFmtId="173" fontId="42" fillId="0" borderId="0" xfId="9" applyNumberFormat="1" applyAlignment="1">
      <alignment horizontal="right" vertical="center"/>
    </xf>
    <xf numFmtId="0" fontId="42" fillId="0" borderId="0" xfId="9" applyAlignment="1">
      <alignment vertical="top"/>
    </xf>
    <xf numFmtId="0" fontId="48" fillId="0" borderId="0" xfId="9" applyFont="1" applyAlignment="1">
      <alignment vertical="top"/>
    </xf>
    <xf numFmtId="39" fontId="42" fillId="0" borderId="0" xfId="9" applyNumberFormat="1"/>
    <xf numFmtId="0" fontId="46" fillId="0" borderId="0" xfId="9" applyFont="1" applyAlignment="1">
      <alignment horizontal="left" vertical="center"/>
    </xf>
    <xf numFmtId="0" fontId="46" fillId="0" borderId="0" xfId="9" applyFont="1" applyAlignment="1">
      <alignment horizontal="right" vertical="center"/>
    </xf>
    <xf numFmtId="173" fontId="48" fillId="0" borderId="0" xfId="9" applyNumberFormat="1" applyFont="1" applyAlignment="1">
      <alignment horizontal="right" vertical="center"/>
    </xf>
    <xf numFmtId="174" fontId="42" fillId="0" borderId="0" xfId="9" applyNumberFormat="1" applyAlignment="1">
      <alignment horizontal="left" vertical="center"/>
    </xf>
    <xf numFmtId="174" fontId="42" fillId="0" borderId="48" xfId="9" applyNumberFormat="1" applyBorder="1" applyAlignment="1">
      <alignment horizontal="left" vertical="center"/>
    </xf>
    <xf numFmtId="173" fontId="48" fillId="0" borderId="0" xfId="9" applyNumberFormat="1" applyFont="1"/>
    <xf numFmtId="167" fontId="25" fillId="0" borderId="0" xfId="7" applyFont="1"/>
    <xf numFmtId="0" fontId="25" fillId="0" borderId="0" xfId="0" applyFont="1"/>
    <xf numFmtId="4" fontId="0" fillId="0" borderId="55" xfId="0" applyNumberFormat="1" applyBorder="1"/>
    <xf numFmtId="4" fontId="0" fillId="0" borderId="56" xfId="0" applyNumberFormat="1" applyBorder="1"/>
    <xf numFmtId="0" fontId="0" fillId="0" borderId="25" xfId="0" applyBorder="1"/>
    <xf numFmtId="167" fontId="0" fillId="0" borderId="57" xfId="7" applyFont="1" applyBorder="1"/>
    <xf numFmtId="0" fontId="25" fillId="0" borderId="58" xfId="0" applyFont="1" applyBorder="1"/>
    <xf numFmtId="167" fontId="25" fillId="0" borderId="59" xfId="0" applyNumberFormat="1" applyFont="1" applyBorder="1"/>
    <xf numFmtId="0" fontId="0" fillId="0" borderId="0" xfId="7" applyNumberFormat="1" applyFont="1"/>
    <xf numFmtId="0" fontId="0" fillId="0" borderId="45" xfId="0" applyBorder="1"/>
    <xf numFmtId="167" fontId="0" fillId="0" borderId="60" xfId="7" applyFont="1" applyBorder="1"/>
    <xf numFmtId="167" fontId="25" fillId="11" borderId="0" xfId="7" applyFont="1" applyFill="1"/>
    <xf numFmtId="167" fontId="0" fillId="11" borderId="0" xfId="0" applyNumberFormat="1" applyFill="1"/>
    <xf numFmtId="171" fontId="0" fillId="0" borderId="0" xfId="7" applyNumberFormat="1" applyFont="1"/>
    <xf numFmtId="167" fontId="25" fillId="0" borderId="0" xfId="7" applyFont="1" applyAlignment="1">
      <alignment horizontal="center" vertical="center" wrapText="1"/>
    </xf>
    <xf numFmtId="0" fontId="43" fillId="0" borderId="0" xfId="0" applyFont="1" applyAlignment="1">
      <alignment vertical="center"/>
    </xf>
    <xf numFmtId="0" fontId="44" fillId="0" borderId="0" xfId="0" applyFont="1"/>
    <xf numFmtId="0" fontId="45" fillId="0" borderId="0" xfId="0" applyFont="1" applyAlignment="1">
      <alignment vertical="center"/>
    </xf>
    <xf numFmtId="0" fontId="45" fillId="0" borderId="0" xfId="0" applyFont="1"/>
    <xf numFmtId="0" fontId="46" fillId="0" borderId="47" xfId="0" applyFont="1" applyBorder="1" applyAlignment="1">
      <alignment horizontal="left" vertical="center"/>
    </xf>
    <xf numFmtId="0" fontId="46" fillId="0" borderId="47" xfId="0" applyFont="1" applyBorder="1" applyAlignment="1">
      <alignment horizontal="right" vertical="center"/>
    </xf>
    <xf numFmtId="0" fontId="47" fillId="0" borderId="0" xfId="0" applyFont="1"/>
    <xf numFmtId="0" fontId="46" fillId="0" borderId="47" xfId="0" applyFont="1" applyBorder="1" applyAlignment="1">
      <alignment vertical="center"/>
    </xf>
    <xf numFmtId="0" fontId="0" fillId="0" borderId="0" xfId="0" applyAlignment="1">
      <alignment vertical="center"/>
    </xf>
    <xf numFmtId="173" fontId="0" fillId="0" borderId="0" xfId="0" applyNumberFormat="1" applyAlignment="1">
      <alignment horizontal="right" vertical="center"/>
    </xf>
    <xf numFmtId="0" fontId="48" fillId="0" borderId="48" xfId="0" applyFont="1" applyBorder="1" applyAlignment="1">
      <alignment vertical="center"/>
    </xf>
    <xf numFmtId="173" fontId="48" fillId="0" borderId="48" xfId="0" applyNumberFormat="1" applyFont="1" applyBorder="1" applyAlignment="1">
      <alignment horizontal="right" vertical="center"/>
    </xf>
    <xf numFmtId="0" fontId="0" fillId="0" borderId="48" xfId="0" applyBorder="1" applyAlignment="1">
      <alignment vertical="center"/>
    </xf>
    <xf numFmtId="173" fontId="0" fillId="0" borderId="48" xfId="0" applyNumberFormat="1" applyBorder="1" applyAlignment="1">
      <alignment horizontal="right" vertical="center"/>
    </xf>
    <xf numFmtId="0" fontId="48" fillId="28" borderId="49" xfId="0" applyFont="1" applyFill="1" applyBorder="1" applyAlignment="1">
      <alignment vertical="center"/>
    </xf>
    <xf numFmtId="173" fontId="48" fillId="28" borderId="49" xfId="0" applyNumberFormat="1" applyFont="1" applyFill="1" applyBorder="1" applyAlignment="1">
      <alignment horizontal="right" vertical="center"/>
    </xf>
    <xf numFmtId="10" fontId="48" fillId="28" borderId="49" xfId="0" applyNumberFormat="1" applyFont="1" applyFill="1" applyBorder="1" applyAlignment="1">
      <alignment horizontal="right" vertical="center"/>
    </xf>
    <xf numFmtId="0" fontId="25" fillId="17" borderId="0" xfId="0" applyFont="1" applyFill="1"/>
    <xf numFmtId="14" fontId="25" fillId="17" borderId="0" xfId="0" applyNumberFormat="1" applyFont="1" applyFill="1"/>
    <xf numFmtId="167" fontId="25" fillId="17" borderId="0" xfId="7" applyFont="1" applyFill="1"/>
    <xf numFmtId="167" fontId="51" fillId="31" borderId="0" xfId="7" applyFont="1" applyFill="1"/>
    <xf numFmtId="0" fontId="25" fillId="31" borderId="0" xfId="0" applyFont="1" applyFill="1" applyAlignment="1">
      <alignment horizontal="center"/>
    </xf>
    <xf numFmtId="167" fontId="25" fillId="31" borderId="0" xfId="7" applyFont="1" applyFill="1" applyAlignment="1">
      <alignment horizontal="center"/>
    </xf>
    <xf numFmtId="0" fontId="14" fillId="0" borderId="48" xfId="0" applyFont="1" applyBorder="1" applyAlignment="1">
      <alignment vertical="center"/>
    </xf>
    <xf numFmtId="173" fontId="14" fillId="0" borderId="48" xfId="0" applyNumberFormat="1" applyFont="1" applyBorder="1" applyAlignment="1">
      <alignment horizontal="right" vertical="center"/>
    </xf>
    <xf numFmtId="0" fontId="14" fillId="0" borderId="0" xfId="0" applyFont="1" applyAlignment="1">
      <alignment vertical="center"/>
    </xf>
    <xf numFmtId="173" fontId="14" fillId="0" borderId="0" xfId="0" applyNumberFormat="1" applyFont="1" applyAlignment="1">
      <alignment horizontal="right" vertical="center"/>
    </xf>
    <xf numFmtId="175" fontId="0" fillId="0" borderId="0" xfId="0" applyNumberFormat="1"/>
    <xf numFmtId="10" fontId="48" fillId="28" borderId="49" xfId="9" applyNumberFormat="1" applyFont="1" applyFill="1" applyBorder="1" applyAlignment="1">
      <alignment horizontal="right" vertical="center"/>
    </xf>
    <xf numFmtId="174" fontId="48" fillId="0" borderId="48" xfId="9" applyNumberFormat="1" applyFont="1" applyBorder="1" applyAlignment="1">
      <alignment horizontal="left" vertical="center"/>
    </xf>
    <xf numFmtId="39" fontId="48" fillId="0" borderId="48" xfId="9" applyNumberFormat="1" applyFont="1" applyBorder="1" applyAlignment="1">
      <alignment vertical="center"/>
    </xf>
    <xf numFmtId="0" fontId="10" fillId="4" borderId="15" xfId="4" applyFont="1" applyFill="1" applyBorder="1"/>
    <xf numFmtId="0" fontId="17" fillId="2" borderId="54" xfId="4" applyFont="1" applyFill="1" applyBorder="1" applyAlignment="1">
      <alignment horizontal="center"/>
    </xf>
    <xf numFmtId="170" fontId="17" fillId="15" borderId="10" xfId="4" applyNumberFormat="1" applyFont="1" applyFill="1" applyBorder="1" applyAlignment="1">
      <alignment horizontal="right"/>
    </xf>
    <xf numFmtId="170" fontId="14" fillId="10" borderId="0" xfId="4" applyNumberFormat="1" applyFont="1" applyFill="1" applyAlignment="1">
      <alignment horizontal="right"/>
    </xf>
    <xf numFmtId="170" fontId="30" fillId="0" borderId="0" xfId="4" applyNumberFormat="1" applyFont="1" applyAlignment="1">
      <alignment horizontal="right"/>
    </xf>
    <xf numFmtId="167" fontId="10" fillId="4" borderId="15" xfId="7" applyFont="1" applyFill="1" applyBorder="1"/>
    <xf numFmtId="166" fontId="37" fillId="8" borderId="0" xfId="6" applyFont="1" applyFill="1" applyBorder="1"/>
    <xf numFmtId="166" fontId="37" fillId="8" borderId="0" xfId="6" applyFont="1" applyFill="1" applyBorder="1" applyAlignment="1">
      <alignment horizontal="right"/>
    </xf>
    <xf numFmtId="0" fontId="38" fillId="13" borderId="10" xfId="0" applyFont="1" applyFill="1" applyBorder="1" applyAlignment="1">
      <alignment horizontal="left"/>
    </xf>
    <xf numFmtId="166" fontId="37" fillId="8" borderId="10" xfId="6" applyFont="1" applyFill="1" applyBorder="1"/>
    <xf numFmtId="166" fontId="37" fillId="8" borderId="10" xfId="6" applyFont="1" applyFill="1" applyBorder="1" applyAlignment="1">
      <alignment horizontal="right"/>
    </xf>
    <xf numFmtId="165" fontId="39" fillId="0" borderId="0" xfId="0" applyNumberFormat="1" applyFont="1"/>
    <xf numFmtId="0" fontId="52" fillId="0" borderId="0" xfId="11"/>
    <xf numFmtId="173" fontId="52" fillId="0" borderId="48" xfId="11" applyNumberFormat="1" applyBorder="1" applyAlignment="1">
      <alignment horizontal="right" vertical="center"/>
    </xf>
    <xf numFmtId="0" fontId="52" fillId="0" borderId="48" xfId="11" applyBorder="1" applyAlignment="1">
      <alignment vertical="center"/>
    </xf>
    <xf numFmtId="173" fontId="52" fillId="0" borderId="0" xfId="11" applyNumberFormat="1" applyAlignment="1">
      <alignment horizontal="right" vertical="center"/>
    </xf>
    <xf numFmtId="0" fontId="52" fillId="0" borderId="0" xfId="11" applyAlignment="1">
      <alignment vertical="center"/>
    </xf>
    <xf numFmtId="0" fontId="53" fillId="0" borderId="0" xfId="11" applyFont="1"/>
    <xf numFmtId="0" fontId="54" fillId="0" borderId="0" xfId="11" applyFont="1"/>
    <xf numFmtId="0" fontId="55" fillId="0" borderId="0" xfId="11" applyFont="1"/>
    <xf numFmtId="174" fontId="52" fillId="0" borderId="48" xfId="11" applyNumberFormat="1" applyBorder="1" applyAlignment="1">
      <alignment horizontal="left" vertical="center"/>
    </xf>
    <xf numFmtId="174" fontId="52" fillId="0" borderId="0" xfId="11" applyNumberFormat="1" applyAlignment="1">
      <alignment horizontal="left" vertical="center"/>
    </xf>
    <xf numFmtId="176" fontId="4" fillId="0" borderId="0" xfId="0" applyNumberFormat="1" applyFont="1"/>
    <xf numFmtId="0" fontId="56" fillId="0" borderId="0" xfId="0" applyFont="1"/>
    <xf numFmtId="167" fontId="56" fillId="29" borderId="54" xfId="7" applyFont="1" applyFill="1" applyBorder="1"/>
    <xf numFmtId="0" fontId="56" fillId="29" borderId="54" xfId="0" applyFont="1" applyFill="1" applyBorder="1"/>
    <xf numFmtId="0" fontId="57" fillId="0" borderId="0" xfId="0" applyFont="1"/>
    <xf numFmtId="167" fontId="57" fillId="0" borderId="0" xfId="7" applyFont="1"/>
    <xf numFmtId="167" fontId="58" fillId="0" borderId="0" xfId="7" applyFont="1"/>
    <xf numFmtId="0" fontId="58" fillId="0" borderId="0" xfId="0" applyFont="1"/>
    <xf numFmtId="170" fontId="0" fillId="18" borderId="0" xfId="0" applyNumberFormat="1" applyFill="1"/>
    <xf numFmtId="167" fontId="0" fillId="0" borderId="0" xfId="0" applyNumberFormat="1"/>
    <xf numFmtId="0" fontId="60" fillId="0" borderId="7" xfId="0" applyFont="1" applyBorder="1" applyAlignment="1">
      <alignment horizontal="center" vertical="center" wrapText="1"/>
    </xf>
    <xf numFmtId="167" fontId="60" fillId="0" borderId="7" xfId="7" applyFont="1" applyBorder="1" applyAlignment="1">
      <alignment horizontal="center" vertical="center" wrapText="1"/>
    </xf>
    <xf numFmtId="0" fontId="60" fillId="0" borderId="0" xfId="0" applyFont="1" applyAlignment="1">
      <alignment horizontal="center" vertical="center" wrapText="1"/>
    </xf>
    <xf numFmtId="0" fontId="61" fillId="0" borderId="7" xfId="0" applyFont="1" applyBorder="1" applyAlignment="1">
      <alignment vertical="center" wrapText="1"/>
    </xf>
    <xf numFmtId="14" fontId="61" fillId="0" borderId="7" xfId="0" applyNumberFormat="1" applyFont="1" applyBorder="1" applyAlignment="1">
      <alignment vertical="center" wrapText="1"/>
    </xf>
    <xf numFmtId="167" fontId="61" fillId="0" borderId="7" xfId="7" applyFont="1" applyBorder="1" applyAlignment="1">
      <alignment vertical="center" wrapText="1"/>
    </xf>
    <xf numFmtId="0" fontId="61" fillId="0" borderId="0" xfId="0" applyFont="1" applyAlignment="1">
      <alignment vertical="center" wrapText="1"/>
    </xf>
    <xf numFmtId="167" fontId="60" fillId="0" borderId="7" xfId="7" applyFont="1" applyBorder="1" applyAlignment="1">
      <alignment vertical="center" wrapText="1"/>
    </xf>
    <xf numFmtId="167" fontId="61" fillId="0" borderId="0" xfId="7" applyFont="1" applyAlignment="1">
      <alignment vertical="center" wrapText="1"/>
    </xf>
    <xf numFmtId="0" fontId="52" fillId="0" borderId="0" xfId="11" applyAlignment="1">
      <alignment vertical="top"/>
    </xf>
    <xf numFmtId="0" fontId="42" fillId="0" borderId="0" xfId="11" applyFont="1"/>
    <xf numFmtId="167" fontId="52" fillId="0" borderId="0" xfId="7" applyFont="1"/>
    <xf numFmtId="0" fontId="62" fillId="0" borderId="0" xfId="0" applyFont="1"/>
    <xf numFmtId="0" fontId="25" fillId="0" borderId="0" xfId="0" applyFont="1" applyAlignment="1">
      <alignment wrapText="1"/>
    </xf>
    <xf numFmtId="167" fontId="25" fillId="0" borderId="0" xfId="7" applyFont="1" applyAlignment="1">
      <alignment wrapText="1"/>
    </xf>
    <xf numFmtId="167" fontId="1" fillId="0" borderId="0" xfId="7" applyFont="1"/>
    <xf numFmtId="0" fontId="43" fillId="0" borderId="0" xfId="9" applyFont="1" applyAlignment="1">
      <alignment vertical="center" wrapText="1"/>
    </xf>
    <xf numFmtId="0" fontId="45" fillId="0" borderId="0" xfId="9" applyFont="1" applyAlignment="1">
      <alignment vertical="center" wrapText="1"/>
    </xf>
    <xf numFmtId="0" fontId="42" fillId="0" borderId="0" xfId="9" applyAlignment="1">
      <alignment wrapText="1"/>
    </xf>
    <xf numFmtId="0" fontId="46" fillId="0" borderId="47" xfId="9" applyFont="1" applyBorder="1" applyAlignment="1">
      <alignment horizontal="left" vertical="center" wrapText="1"/>
    </xf>
    <xf numFmtId="0" fontId="46" fillId="0" borderId="47" xfId="9" applyFont="1" applyBorder="1" applyAlignment="1">
      <alignment vertical="center" wrapText="1"/>
    </xf>
    <xf numFmtId="0" fontId="42" fillId="0" borderId="0" xfId="9" applyAlignment="1">
      <alignment vertical="center" wrapText="1"/>
    </xf>
    <xf numFmtId="0" fontId="48" fillId="0" borderId="48" xfId="9" applyFont="1" applyBorder="1" applyAlignment="1">
      <alignment vertical="center" wrapText="1"/>
    </xf>
    <xf numFmtId="0" fontId="42" fillId="0" borderId="48" xfId="9" applyBorder="1" applyAlignment="1">
      <alignment vertical="center" wrapText="1"/>
    </xf>
    <xf numFmtId="0" fontId="48" fillId="28" borderId="49" xfId="9" applyFont="1" applyFill="1" applyBorder="1" applyAlignment="1">
      <alignment vertical="center" wrapText="1"/>
    </xf>
    <xf numFmtId="0" fontId="25" fillId="0" borderId="0" xfId="0" applyFont="1" applyAlignment="1">
      <alignment vertical="center" wrapText="1"/>
    </xf>
    <xf numFmtId="167" fontId="25" fillId="0" borderId="0" xfId="7" applyFont="1" applyAlignment="1">
      <alignment vertical="center" wrapText="1"/>
    </xf>
    <xf numFmtId="0" fontId="63" fillId="0" borderId="0" xfId="12"/>
    <xf numFmtId="0" fontId="63" fillId="0" borderId="0" xfId="12" applyAlignment="1">
      <alignment vertical="top"/>
    </xf>
    <xf numFmtId="0" fontId="63" fillId="0" borderId="48" xfId="12" applyBorder="1" applyAlignment="1">
      <alignment vertical="center"/>
    </xf>
    <xf numFmtId="173" fontId="63" fillId="0" borderId="48" xfId="12" applyNumberFormat="1" applyBorder="1" applyAlignment="1">
      <alignment horizontal="right" vertical="center"/>
    </xf>
    <xf numFmtId="0" fontId="63" fillId="0" borderId="0" xfId="12" applyAlignment="1">
      <alignment vertical="center"/>
    </xf>
    <xf numFmtId="173" fontId="63" fillId="0" borderId="0" xfId="12" applyNumberFormat="1" applyAlignment="1">
      <alignment horizontal="right" vertical="center"/>
    </xf>
    <xf numFmtId="0" fontId="64" fillId="0" borderId="0" xfId="12" applyFont="1"/>
    <xf numFmtId="0" fontId="65" fillId="0" borderId="0" xfId="12" applyFont="1"/>
    <xf numFmtId="0" fontId="66" fillId="0" borderId="0" xfId="12" applyFont="1"/>
    <xf numFmtId="0" fontId="0" fillId="0" borderId="0" xfId="0" applyAlignment="1">
      <alignment wrapText="1"/>
    </xf>
    <xf numFmtId="167" fontId="0" fillId="0" borderId="0" xfId="7" applyFont="1" applyAlignment="1">
      <alignment wrapText="1"/>
    </xf>
    <xf numFmtId="167" fontId="25" fillId="0" borderId="0" xfId="7" applyFont="1" applyFill="1" applyAlignment="1">
      <alignment wrapText="1"/>
    </xf>
    <xf numFmtId="167" fontId="0" fillId="0" borderId="0" xfId="7" applyFont="1" applyFill="1"/>
    <xf numFmtId="167" fontId="25" fillId="0" borderId="0" xfId="7" applyFont="1" applyFill="1"/>
    <xf numFmtId="0" fontId="0" fillId="0" borderId="48" xfId="0" applyBorder="1"/>
    <xf numFmtId="166" fontId="37" fillId="11" borderId="0" xfId="6" applyFont="1" applyFill="1" applyAlignment="1">
      <alignment horizontal="right"/>
    </xf>
    <xf numFmtId="0" fontId="68" fillId="0" borderId="0" xfId="13" applyFont="1"/>
    <xf numFmtId="0" fontId="69" fillId="0" borderId="0" xfId="13" applyFont="1"/>
    <xf numFmtId="0" fontId="67" fillId="0" borderId="0" xfId="13"/>
    <xf numFmtId="0" fontId="70" fillId="0" borderId="0" xfId="13" applyFont="1"/>
    <xf numFmtId="0" fontId="67" fillId="0" borderId="48" xfId="13" applyBorder="1" applyAlignment="1">
      <alignment vertical="center"/>
    </xf>
    <xf numFmtId="173" fontId="67" fillId="0" borderId="48" xfId="13" applyNumberFormat="1" applyBorder="1" applyAlignment="1">
      <alignment horizontal="right" vertical="center"/>
    </xf>
    <xf numFmtId="0" fontId="67" fillId="0" borderId="0" xfId="13" applyAlignment="1">
      <alignment vertical="center"/>
    </xf>
    <xf numFmtId="173" fontId="67" fillId="0" borderId="0" xfId="13" applyNumberFormat="1" applyAlignment="1">
      <alignment horizontal="right" vertical="center"/>
    </xf>
    <xf numFmtId="0" fontId="67" fillId="0" borderId="0" xfId="13" applyAlignment="1">
      <alignment vertical="top"/>
    </xf>
    <xf numFmtId="167" fontId="1" fillId="0" borderId="0" xfId="7" applyFont="1" applyFill="1"/>
    <xf numFmtId="0" fontId="25" fillId="17" borderId="0" xfId="0" applyFont="1" applyFill="1" applyAlignment="1">
      <alignment horizontal="center" wrapText="1"/>
    </xf>
    <xf numFmtId="167" fontId="25" fillId="17" borderId="0" xfId="7" applyFont="1" applyFill="1" applyAlignment="1">
      <alignment horizontal="center" wrapText="1"/>
    </xf>
    <xf numFmtId="17" fontId="25" fillId="17" borderId="0" xfId="7" applyNumberFormat="1" applyFont="1" applyFill="1" applyAlignment="1">
      <alignment horizontal="center" wrapText="1"/>
    </xf>
    <xf numFmtId="0" fontId="42" fillId="9" borderId="0" xfId="9" applyFill="1" applyAlignment="1">
      <alignment vertical="center"/>
    </xf>
    <xf numFmtId="167" fontId="0" fillId="9" borderId="0" xfId="7" applyFont="1" applyFill="1"/>
    <xf numFmtId="167" fontId="0" fillId="9" borderId="0" xfId="0" applyNumberFormat="1" applyFill="1"/>
    <xf numFmtId="0" fontId="0" fillId="21" borderId="0" xfId="0" applyFill="1"/>
    <xf numFmtId="0" fontId="42" fillId="21" borderId="0" xfId="9" applyFill="1" applyAlignment="1">
      <alignment vertical="center"/>
    </xf>
    <xf numFmtId="167" fontId="0" fillId="21" borderId="0" xfId="7" applyFont="1" applyFill="1"/>
    <xf numFmtId="167" fontId="0" fillId="21" borderId="0" xfId="0" applyNumberFormat="1" applyFill="1"/>
    <xf numFmtId="171" fontId="17" fillId="15" borderId="10" xfId="4" applyNumberFormat="1" applyFont="1" applyFill="1" applyBorder="1" applyAlignment="1">
      <alignment horizontal="right"/>
    </xf>
    <xf numFmtId="171" fontId="14" fillId="10" borderId="0" xfId="4" applyNumberFormat="1" applyFont="1" applyFill="1" applyAlignment="1">
      <alignment horizontal="right"/>
    </xf>
    <xf numFmtId="171" fontId="14" fillId="8" borderId="0" xfId="4" applyNumberFormat="1" applyFont="1" applyFill="1" applyAlignment="1">
      <alignment horizontal="right"/>
    </xf>
    <xf numFmtId="171" fontId="14" fillId="10" borderId="0" xfId="0" applyNumberFormat="1" applyFont="1" applyFill="1" applyAlignment="1">
      <alignment horizontal="right"/>
    </xf>
    <xf numFmtId="171" fontId="29" fillId="15" borderId="14" xfId="4" applyNumberFormat="1" applyFont="1" applyFill="1" applyBorder="1" applyAlignment="1">
      <alignment horizontal="right"/>
    </xf>
    <xf numFmtId="171" fontId="30" fillId="8" borderId="0" xfId="4" applyNumberFormat="1" applyFont="1" applyFill="1" applyAlignment="1">
      <alignment horizontal="right"/>
    </xf>
    <xf numFmtId="171" fontId="30" fillId="10" borderId="0" xfId="4" applyNumberFormat="1" applyFont="1" applyFill="1" applyAlignment="1">
      <alignment horizontal="right"/>
    </xf>
    <xf numFmtId="171" fontId="30" fillId="0" borderId="0" xfId="4" applyNumberFormat="1" applyFont="1" applyAlignment="1">
      <alignment horizontal="right"/>
    </xf>
    <xf numFmtId="171" fontId="20" fillId="2" borderId="29" xfId="4" applyNumberFormat="1" applyFont="1" applyFill="1" applyBorder="1" applyAlignment="1">
      <alignment horizontal="right" vertical="center"/>
    </xf>
    <xf numFmtId="167" fontId="67" fillId="0" borderId="0" xfId="7" applyFont="1"/>
    <xf numFmtId="167" fontId="14" fillId="0" borderId="0" xfId="7" applyFont="1"/>
    <xf numFmtId="174" fontId="67" fillId="0" borderId="0" xfId="13" applyNumberFormat="1" applyAlignment="1">
      <alignment horizontal="left" vertical="center"/>
    </xf>
    <xf numFmtId="174" fontId="67" fillId="0" borderId="48" xfId="13" applyNumberFormat="1" applyBorder="1" applyAlignment="1">
      <alignment horizontal="left" vertical="center"/>
    </xf>
    <xf numFmtId="4" fontId="0" fillId="0" borderId="36" xfId="0" applyNumberFormat="1" applyBorder="1"/>
    <xf numFmtId="4" fontId="0" fillId="0" borderId="61" xfId="0" applyNumberFormat="1" applyBorder="1"/>
    <xf numFmtId="0" fontId="17" fillId="15" borderId="3" xfId="4" applyFont="1" applyFill="1" applyBorder="1"/>
    <xf numFmtId="166" fontId="17" fillId="15" borderId="3" xfId="6" applyFont="1" applyFill="1" applyBorder="1"/>
    <xf numFmtId="0" fontId="61" fillId="0" borderId="0" xfId="0" applyFont="1"/>
    <xf numFmtId="167" fontId="61" fillId="0" borderId="0" xfId="7" applyFont="1"/>
    <xf numFmtId="176" fontId="61" fillId="0" borderId="0" xfId="0" applyNumberFormat="1" applyFont="1"/>
    <xf numFmtId="0" fontId="71" fillId="0" borderId="0" xfId="0" applyFont="1"/>
    <xf numFmtId="167" fontId="71" fillId="32" borderId="54" xfId="7" applyFont="1" applyFill="1" applyBorder="1"/>
    <xf numFmtId="176" fontId="71" fillId="32" borderId="54" xfId="0" applyNumberFormat="1" applyFont="1" applyFill="1" applyBorder="1"/>
    <xf numFmtId="0" fontId="71" fillId="32" borderId="54" xfId="0" applyFont="1" applyFill="1" applyBorder="1"/>
    <xf numFmtId="0" fontId="71" fillId="29" borderId="54" xfId="0" applyFont="1" applyFill="1" applyBorder="1"/>
    <xf numFmtId="167" fontId="60" fillId="33" borderId="0" xfId="7" applyFont="1" applyFill="1"/>
    <xf numFmtId="176" fontId="60" fillId="33" borderId="0" xfId="0" applyNumberFormat="1" applyFont="1" applyFill="1"/>
    <xf numFmtId="0" fontId="61" fillId="33" borderId="0" xfId="0" applyFont="1" applyFill="1"/>
    <xf numFmtId="167" fontId="60" fillId="0" borderId="0" xfId="7" applyFont="1"/>
    <xf numFmtId="176" fontId="60" fillId="0" borderId="0" xfId="0" applyNumberFormat="1" applyFont="1"/>
    <xf numFmtId="167" fontId="61" fillId="0" borderId="0" xfId="7" applyFont="1" applyFill="1"/>
    <xf numFmtId="0" fontId="61" fillId="0" borderId="0" xfId="0" applyFont="1" applyAlignment="1">
      <alignment horizontal="center" vertical="center" wrapText="1"/>
    </xf>
    <xf numFmtId="14" fontId="25" fillId="17" borderId="0" xfId="7" applyNumberFormat="1" applyFont="1" applyFill="1" applyAlignment="1">
      <alignment horizontal="center" wrapText="1"/>
    </xf>
    <xf numFmtId="167" fontId="71" fillId="29" borderId="54" xfId="7" applyFont="1" applyFill="1" applyBorder="1" applyAlignment="1">
      <alignment horizontal="center" vertical="center" wrapText="1"/>
    </xf>
    <xf numFmtId="0" fontId="71" fillId="29" borderId="54" xfId="0" applyFont="1" applyFill="1" applyBorder="1" applyAlignment="1">
      <alignment horizontal="center" vertical="center" wrapText="1"/>
    </xf>
    <xf numFmtId="167" fontId="61" fillId="0" borderId="0" xfId="7" quotePrefix="1" applyFont="1"/>
    <xf numFmtId="0" fontId="61" fillId="34" borderId="0" xfId="0" applyFont="1" applyFill="1"/>
    <xf numFmtId="0" fontId="60" fillId="34" borderId="0" xfId="0" applyFont="1" applyFill="1"/>
    <xf numFmtId="167" fontId="61" fillId="34" borderId="0" xfId="7" applyFont="1" applyFill="1"/>
    <xf numFmtId="0" fontId="67" fillId="9" borderId="48" xfId="13" applyFill="1" applyBorder="1" applyAlignment="1">
      <alignment vertical="center"/>
    </xf>
    <xf numFmtId="173" fontId="67" fillId="9" borderId="48" xfId="13" applyNumberFormat="1" applyFill="1" applyBorder="1" applyAlignment="1">
      <alignment horizontal="right" vertical="center"/>
    </xf>
    <xf numFmtId="173" fontId="0" fillId="0" borderId="0" xfId="0" applyNumberFormat="1"/>
    <xf numFmtId="0" fontId="68" fillId="0" borderId="0" xfId="13" applyFont="1" applyAlignment="1">
      <alignment wrapText="1"/>
    </xf>
    <xf numFmtId="0" fontId="0" fillId="0" borderId="0" xfId="0" pivotButton="1" applyAlignment="1">
      <alignment wrapText="1"/>
    </xf>
    <xf numFmtId="167" fontId="72" fillId="0" borderId="0" xfId="7" applyFont="1"/>
    <xf numFmtId="0" fontId="25" fillId="35" borderId="62" xfId="0" applyFont="1" applyFill="1" applyBorder="1" applyAlignment="1">
      <alignment horizontal="left"/>
    </xf>
    <xf numFmtId="173" fontId="25" fillId="35" borderId="62" xfId="0" applyNumberFormat="1" applyFont="1" applyFill="1" applyBorder="1"/>
    <xf numFmtId="0" fontId="46" fillId="0" borderId="47" xfId="13" applyFont="1" applyBorder="1" applyAlignment="1">
      <alignment horizontal="right" vertical="center"/>
    </xf>
    <xf numFmtId="167" fontId="25" fillId="35" borderId="62" xfId="0" applyNumberFormat="1" applyFont="1" applyFill="1" applyBorder="1"/>
    <xf numFmtId="177" fontId="0" fillId="0" borderId="0" xfId="0" applyNumberFormat="1" applyAlignment="1">
      <alignment horizontal="center"/>
    </xf>
    <xf numFmtId="177" fontId="67" fillId="0" borderId="0" xfId="13" applyNumberFormat="1" applyAlignment="1">
      <alignment horizontal="center"/>
    </xf>
    <xf numFmtId="0" fontId="42" fillId="9" borderId="48" xfId="13" applyFont="1" applyFill="1" applyBorder="1" applyAlignment="1">
      <alignment vertical="center"/>
    </xf>
    <xf numFmtId="0" fontId="25" fillId="35" borderId="1" xfId="0" applyFont="1" applyFill="1" applyBorder="1" applyAlignment="1">
      <alignment horizontal="center" vertical="center"/>
    </xf>
    <xf numFmtId="173" fontId="25" fillId="35" borderId="15" xfId="0" applyNumberFormat="1" applyFont="1" applyFill="1" applyBorder="1" applyAlignment="1">
      <alignment horizontal="center" vertical="center"/>
    </xf>
    <xf numFmtId="177" fontId="25" fillId="35" borderId="15" xfId="0" applyNumberFormat="1" applyFont="1" applyFill="1" applyBorder="1" applyAlignment="1">
      <alignment horizontal="center" vertical="center"/>
    </xf>
    <xf numFmtId="173" fontId="25" fillId="35" borderId="2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77" fontId="0" fillId="0" borderId="0" xfId="7" applyNumberFormat="1" applyFont="1" applyBorder="1" applyAlignment="1">
      <alignment vertical="center"/>
    </xf>
    <xf numFmtId="177" fontId="0" fillId="0" borderId="0" xfId="7" applyNumberFormat="1" applyFont="1" applyBorder="1" applyAlignment="1">
      <alignment horizontal="center" vertical="center"/>
    </xf>
    <xf numFmtId="177" fontId="0" fillId="0" borderId="4" xfId="7" applyNumberFormat="1" applyFont="1" applyBorder="1" applyAlignment="1">
      <alignment vertical="center"/>
    </xf>
    <xf numFmtId="0" fontId="25" fillId="35" borderId="63" xfId="0" applyFont="1" applyFill="1" applyBorder="1" applyAlignment="1">
      <alignment horizontal="left" vertical="center"/>
    </xf>
    <xf numFmtId="177" fontId="25" fillId="35" borderId="62" xfId="7" applyNumberFormat="1" applyFont="1" applyFill="1" applyBorder="1" applyAlignment="1">
      <alignment vertical="center"/>
    </xf>
    <xf numFmtId="177" fontId="25" fillId="35" borderId="62" xfId="7" applyNumberFormat="1" applyFont="1" applyFill="1" applyBorder="1" applyAlignment="1">
      <alignment horizontal="center" vertical="center"/>
    </xf>
    <xf numFmtId="177" fontId="25" fillId="35" borderId="64" xfId="7" applyNumberFormat="1" applyFont="1" applyFill="1" applyBorder="1" applyAlignment="1">
      <alignment vertical="center"/>
    </xf>
    <xf numFmtId="0" fontId="67" fillId="0" borderId="3" xfId="13" applyBorder="1" applyAlignment="1">
      <alignment vertical="center"/>
    </xf>
    <xf numFmtId="177" fontId="72" fillId="0" borderId="0" xfId="7" applyNumberFormat="1" applyFont="1" applyBorder="1" applyAlignment="1">
      <alignment vertical="center"/>
    </xf>
    <xf numFmtId="177" fontId="72" fillId="0" borderId="0" xfId="7" applyNumberFormat="1" applyFont="1" applyBorder="1" applyAlignment="1">
      <alignment horizontal="center" vertical="center"/>
    </xf>
    <xf numFmtId="177" fontId="72" fillId="0" borderId="4" xfId="7" applyNumberFormat="1" applyFont="1" applyBorder="1" applyAlignment="1">
      <alignment vertical="center"/>
    </xf>
    <xf numFmtId="0" fontId="25" fillId="35" borderId="65" xfId="0" applyFont="1" applyFill="1" applyBorder="1" applyAlignment="1">
      <alignment horizontal="left" vertical="center"/>
    </xf>
    <xf numFmtId="177" fontId="25" fillId="35" borderId="66" xfId="7" applyNumberFormat="1" applyFont="1" applyFill="1" applyBorder="1" applyAlignment="1">
      <alignment vertical="center"/>
    </xf>
    <xf numFmtId="177" fontId="25" fillId="35" borderId="66" xfId="7" applyNumberFormat="1" applyFont="1" applyFill="1" applyBorder="1" applyAlignment="1">
      <alignment horizontal="center" vertical="center"/>
    </xf>
    <xf numFmtId="177" fontId="25" fillId="35" borderId="67" xfId="7" applyNumberFormat="1" applyFont="1" applyFill="1" applyBorder="1" applyAlignment="1">
      <alignment vertical="center"/>
    </xf>
    <xf numFmtId="167" fontId="30" fillId="8" borderId="31" xfId="7" applyFont="1" applyFill="1" applyBorder="1" applyAlignment="1">
      <alignment horizontal="right"/>
    </xf>
    <xf numFmtId="167" fontId="30" fillId="10" borderId="31" xfId="7" applyFont="1" applyFill="1" applyBorder="1" applyAlignment="1">
      <alignment horizontal="right"/>
    </xf>
    <xf numFmtId="167" fontId="14" fillId="8" borderId="31" xfId="7" applyFont="1" applyFill="1" applyBorder="1" applyAlignment="1">
      <alignment horizontal="right"/>
    </xf>
    <xf numFmtId="167" fontId="14" fillId="8" borderId="4" xfId="7" applyFont="1" applyFill="1" applyBorder="1" applyAlignment="1">
      <alignment horizontal="right"/>
    </xf>
    <xf numFmtId="167" fontId="14" fillId="10" borderId="31" xfId="7" applyFont="1" applyFill="1" applyBorder="1" applyAlignment="1">
      <alignment horizontal="right"/>
    </xf>
    <xf numFmtId="167" fontId="14" fillId="10" borderId="4" xfId="7" applyFont="1" applyFill="1" applyBorder="1" applyAlignment="1">
      <alignment horizontal="right"/>
    </xf>
    <xf numFmtId="167" fontId="17" fillId="15" borderId="35" xfId="7" applyFont="1" applyFill="1" applyBorder="1" applyAlignment="1">
      <alignment horizontal="right"/>
    </xf>
    <xf numFmtId="167" fontId="17" fillId="15" borderId="20" xfId="7" applyFont="1" applyFill="1" applyBorder="1" applyAlignment="1">
      <alignment horizontal="right"/>
    </xf>
    <xf numFmtId="167" fontId="14" fillId="10" borderId="32" xfId="7" applyFont="1" applyFill="1" applyBorder="1" applyAlignment="1">
      <alignment horizontal="right"/>
    </xf>
    <xf numFmtId="167" fontId="14" fillId="10" borderId="17" xfId="7" applyFont="1" applyFill="1" applyBorder="1" applyAlignment="1">
      <alignment horizontal="right"/>
    </xf>
    <xf numFmtId="167" fontId="17" fillId="15" borderId="33" xfId="7" applyFont="1" applyFill="1" applyBorder="1" applyAlignment="1">
      <alignment horizontal="right"/>
    </xf>
    <xf numFmtId="167" fontId="30" fillId="0" borderId="31" xfId="7" applyFont="1" applyBorder="1" applyAlignment="1">
      <alignment horizontal="right"/>
    </xf>
    <xf numFmtId="167" fontId="20" fillId="2" borderId="34" xfId="7" applyFont="1" applyFill="1" applyBorder="1" applyAlignment="1">
      <alignment horizontal="right" vertical="center"/>
    </xf>
    <xf numFmtId="167" fontId="17" fillId="15" borderId="11" xfId="7" applyFont="1" applyFill="1" applyBorder="1" applyAlignment="1">
      <alignment horizontal="right"/>
    </xf>
    <xf numFmtId="167" fontId="17" fillId="15" borderId="10" xfId="7" applyFont="1" applyFill="1" applyBorder="1" applyAlignment="1">
      <alignment horizontal="right"/>
    </xf>
    <xf numFmtId="167" fontId="14" fillId="10" borderId="12" xfId="7" applyFont="1" applyFill="1" applyBorder="1" applyAlignment="1">
      <alignment horizontal="right"/>
    </xf>
    <xf numFmtId="167" fontId="14" fillId="10" borderId="0" xfId="7" applyFont="1" applyFill="1" applyAlignment="1">
      <alignment horizontal="right"/>
    </xf>
    <xf numFmtId="167" fontId="14" fillId="8" borderId="13" xfId="7" applyFont="1" applyFill="1" applyBorder="1" applyAlignment="1">
      <alignment horizontal="right"/>
    </xf>
    <xf numFmtId="167" fontId="14" fillId="8" borderId="0" xfId="7" applyFont="1" applyFill="1" applyAlignment="1">
      <alignment horizontal="right"/>
    </xf>
    <xf numFmtId="167" fontId="14" fillId="10" borderId="13" xfId="7" applyFont="1" applyFill="1" applyBorder="1" applyAlignment="1">
      <alignment horizontal="right"/>
    </xf>
    <xf numFmtId="167" fontId="29" fillId="15" borderId="14" xfId="7" applyFont="1" applyFill="1" applyBorder="1" applyAlignment="1">
      <alignment horizontal="right"/>
    </xf>
    <xf numFmtId="167" fontId="30" fillId="8" borderId="13" xfId="7" applyFont="1" applyFill="1" applyBorder="1" applyAlignment="1">
      <alignment horizontal="right"/>
    </xf>
    <xf numFmtId="167" fontId="30" fillId="8" borderId="0" xfId="7" applyFont="1" applyFill="1" applyAlignment="1">
      <alignment horizontal="right"/>
    </xf>
    <xf numFmtId="167" fontId="30" fillId="10" borderId="13" xfId="7" applyFont="1" applyFill="1" applyBorder="1" applyAlignment="1">
      <alignment horizontal="right"/>
    </xf>
    <xf numFmtId="167" fontId="30" fillId="10" borderId="0" xfId="7" applyFont="1" applyFill="1" applyAlignment="1">
      <alignment horizontal="right"/>
    </xf>
    <xf numFmtId="167" fontId="30" fillId="0" borderId="13" xfId="7" applyFont="1" applyBorder="1" applyAlignment="1">
      <alignment horizontal="right"/>
    </xf>
    <xf numFmtId="167" fontId="30" fillId="0" borderId="0" xfId="7" applyFont="1" applyAlignment="1">
      <alignment horizontal="right"/>
    </xf>
    <xf numFmtId="167" fontId="20" fillId="2" borderId="29" xfId="7" applyFont="1" applyFill="1" applyBorder="1" applyAlignment="1">
      <alignment horizontal="right" vertical="center"/>
    </xf>
    <xf numFmtId="166" fontId="27" fillId="26" borderId="68" xfId="6" applyFont="1" applyFill="1" applyBorder="1"/>
    <xf numFmtId="166" fontId="37" fillId="26" borderId="10" xfId="6" applyFont="1" applyFill="1" applyBorder="1" applyAlignment="1">
      <alignment horizontal="right"/>
    </xf>
    <xf numFmtId="166" fontId="37" fillId="26" borderId="10" xfId="6" applyFont="1" applyFill="1" applyBorder="1"/>
    <xf numFmtId="0" fontId="37" fillId="25" borderId="69" xfId="0" applyFont="1" applyFill="1" applyBorder="1"/>
    <xf numFmtId="17" fontId="20" fillId="25" borderId="70" xfId="0" applyNumberFormat="1" applyFont="1" applyFill="1" applyBorder="1" applyAlignment="1">
      <alignment horizontal="center" vertical="center"/>
    </xf>
    <xf numFmtId="17" fontId="20" fillId="25" borderId="71" xfId="0" applyNumberFormat="1" applyFont="1" applyFill="1" applyBorder="1" applyAlignment="1">
      <alignment horizontal="center" vertical="center" wrapText="1"/>
    </xf>
    <xf numFmtId="17" fontId="20" fillId="25" borderId="71" xfId="0" applyNumberFormat="1" applyFont="1" applyFill="1" applyBorder="1" applyAlignment="1">
      <alignment horizontal="center" vertical="center"/>
    </xf>
    <xf numFmtId="17" fontId="20" fillId="25" borderId="72" xfId="0" applyNumberFormat="1" applyFont="1" applyFill="1" applyBorder="1" applyAlignment="1">
      <alignment horizontal="center" vertical="center"/>
    </xf>
    <xf numFmtId="0" fontId="20" fillId="25" borderId="44" xfId="0" applyFont="1" applyFill="1" applyBorder="1"/>
    <xf numFmtId="0" fontId="27" fillId="8" borderId="0" xfId="0" applyFont="1" applyFill="1"/>
    <xf numFmtId="0" fontId="27" fillId="8" borderId="4" xfId="0" applyFont="1" applyFill="1" applyBorder="1"/>
    <xf numFmtId="166" fontId="37" fillId="26" borderId="0" xfId="6" applyFont="1" applyFill="1" applyBorder="1"/>
    <xf numFmtId="0" fontId="27" fillId="26" borderId="4" xfId="0" applyFont="1" applyFill="1" applyBorder="1"/>
    <xf numFmtId="166" fontId="37" fillId="0" borderId="0" xfId="6" applyFont="1" applyBorder="1"/>
    <xf numFmtId="166" fontId="37" fillId="0" borderId="4" xfId="6" applyFont="1" applyBorder="1"/>
    <xf numFmtId="166" fontId="27" fillId="26" borderId="0" xfId="6" applyFont="1" applyFill="1" applyBorder="1"/>
    <xf numFmtId="166" fontId="37" fillId="26" borderId="4" xfId="6" applyFont="1" applyFill="1" applyBorder="1"/>
    <xf numFmtId="0" fontId="20" fillId="23" borderId="44" xfId="0" applyFont="1" applyFill="1" applyBorder="1"/>
    <xf numFmtId="166" fontId="27" fillId="23" borderId="0" xfId="6" applyFont="1" applyFill="1" applyBorder="1"/>
    <xf numFmtId="166" fontId="37" fillId="23" borderId="0" xfId="6" applyFont="1" applyFill="1" applyBorder="1"/>
    <xf numFmtId="166" fontId="37" fillId="23" borderId="4" xfId="6" applyFont="1" applyFill="1" applyBorder="1"/>
    <xf numFmtId="0" fontId="28" fillId="27" borderId="44" xfId="0" applyFont="1" applyFill="1" applyBorder="1" applyAlignment="1">
      <alignment horizontal="left"/>
    </xf>
    <xf numFmtId="166" fontId="37" fillId="0" borderId="0" xfId="6" applyFont="1" applyBorder="1" applyAlignment="1">
      <alignment horizontal="right"/>
    </xf>
    <xf numFmtId="166" fontId="37" fillId="0" borderId="4" xfId="6" applyFont="1" applyBorder="1" applyAlignment="1">
      <alignment horizontal="right"/>
    </xf>
    <xf numFmtId="0" fontId="10" fillId="27" borderId="44" xfId="0" applyFont="1" applyFill="1" applyBorder="1" applyAlignment="1">
      <alignment horizontal="left"/>
    </xf>
    <xf numFmtId="166" fontId="37" fillId="0" borderId="0" xfId="6" applyFont="1" applyFill="1" applyBorder="1" applyAlignment="1">
      <alignment horizontal="right"/>
    </xf>
    <xf numFmtId="166" fontId="37" fillId="26" borderId="0" xfId="6" applyFont="1" applyFill="1" applyBorder="1" applyAlignment="1">
      <alignment horizontal="right"/>
    </xf>
    <xf numFmtId="0" fontId="28" fillId="23" borderId="44" xfId="0" applyFont="1" applyFill="1" applyBorder="1" applyAlignment="1">
      <alignment horizontal="right"/>
    </xf>
    <xf numFmtId="166" fontId="37" fillId="23" borderId="0" xfId="6" applyFont="1" applyFill="1" applyBorder="1" applyAlignment="1">
      <alignment horizontal="right"/>
    </xf>
    <xf numFmtId="166" fontId="37" fillId="23" borderId="4" xfId="6" applyFont="1" applyFill="1" applyBorder="1" applyAlignment="1">
      <alignment horizontal="right"/>
    </xf>
    <xf numFmtId="0" fontId="38" fillId="13" borderId="44" xfId="0" applyFont="1" applyFill="1" applyBorder="1" applyAlignment="1">
      <alignment horizontal="left"/>
    </xf>
    <xf numFmtId="166" fontId="37" fillId="8" borderId="4" xfId="6" applyFont="1" applyFill="1" applyBorder="1" applyAlignment="1">
      <alignment horizontal="right"/>
    </xf>
    <xf numFmtId="0" fontId="38" fillId="13" borderId="36" xfId="0" applyFont="1" applyFill="1" applyBorder="1" applyAlignment="1">
      <alignment horizontal="left"/>
    </xf>
    <xf numFmtId="166" fontId="37" fillId="26" borderId="20" xfId="6" applyFont="1" applyFill="1" applyBorder="1"/>
    <xf numFmtId="0" fontId="38" fillId="13" borderId="43" xfId="0" applyFont="1" applyFill="1" applyBorder="1" applyAlignment="1">
      <alignment horizontal="left"/>
    </xf>
    <xf numFmtId="166" fontId="27" fillId="0" borderId="21" xfId="6" applyFont="1" applyBorder="1" applyAlignment="1">
      <alignment horizontal="right"/>
    </xf>
    <xf numFmtId="166" fontId="37" fillId="0" borderId="21" xfId="6" applyFont="1" applyBorder="1" applyAlignment="1">
      <alignment horizontal="right"/>
    </xf>
    <xf numFmtId="0" fontId="0" fillId="0" borderId="21" xfId="0" applyBorder="1"/>
    <xf numFmtId="166" fontId="37" fillId="0" borderId="21" xfId="6" applyFont="1" applyFill="1" applyBorder="1" applyAlignment="1">
      <alignment horizontal="right"/>
    </xf>
    <xf numFmtId="166" fontId="37" fillId="0" borderId="6" xfId="6" applyFont="1" applyBorder="1" applyAlignment="1">
      <alignment horizontal="right"/>
    </xf>
    <xf numFmtId="167" fontId="0" fillId="0" borderId="0" xfId="10" applyFont="1"/>
    <xf numFmtId="177" fontId="0" fillId="0" borderId="0" xfId="10" applyNumberFormat="1" applyFont="1" applyAlignment="1"/>
    <xf numFmtId="39" fontId="42" fillId="0" borderId="0" xfId="9" applyNumberFormat="1" applyAlignment="1">
      <alignment vertical="center"/>
    </xf>
    <xf numFmtId="0" fontId="42" fillId="0" borderId="48" xfId="14" applyBorder="1" applyAlignment="1">
      <alignment vertical="center"/>
    </xf>
    <xf numFmtId="0" fontId="42" fillId="0" borderId="0" xfId="9" applyAlignment="1">
      <alignment horizontal="left"/>
    </xf>
    <xf numFmtId="167" fontId="72" fillId="0" borderId="0" xfId="10" applyFont="1"/>
    <xf numFmtId="177" fontId="72" fillId="0" borderId="0" xfId="10" applyNumberFormat="1" applyFont="1" applyAlignment="1"/>
    <xf numFmtId="0" fontId="72" fillId="0" borderId="0" xfId="9" applyFont="1" applyAlignment="1">
      <alignment horizontal="left"/>
    </xf>
    <xf numFmtId="0" fontId="47" fillId="0" borderId="0" xfId="9" applyFont="1" applyAlignment="1">
      <alignment wrapText="1"/>
    </xf>
    <xf numFmtId="167" fontId="0" fillId="0" borderId="0" xfId="10" applyFont="1" applyAlignment="1">
      <alignment wrapText="1"/>
    </xf>
    <xf numFmtId="177" fontId="0" fillId="0" borderId="0" xfId="10" applyNumberFormat="1" applyFont="1" applyAlignment="1">
      <alignment wrapText="1"/>
    </xf>
    <xf numFmtId="0" fontId="42" fillId="0" borderId="0" xfId="9" pivotButton="1" applyAlignment="1">
      <alignment wrapText="1"/>
    </xf>
    <xf numFmtId="0" fontId="46" fillId="0" borderId="47" xfId="9" applyFont="1" applyBorder="1" applyAlignment="1">
      <alignment horizontal="right" vertical="center" wrapText="1"/>
    </xf>
    <xf numFmtId="167" fontId="45" fillId="0" borderId="0" xfId="10" applyFont="1"/>
    <xf numFmtId="177" fontId="45" fillId="0" borderId="0" xfId="10" applyNumberFormat="1" applyFont="1" applyAlignment="1"/>
    <xf numFmtId="167" fontId="44" fillId="0" borderId="0" xfId="10" applyFont="1"/>
    <xf numFmtId="177" fontId="44" fillId="0" borderId="0" xfId="10" applyNumberFormat="1" applyFont="1" applyAlignment="1"/>
    <xf numFmtId="177" fontId="0" fillId="0" borderId="0" xfId="7" applyNumberFormat="1" applyFont="1"/>
    <xf numFmtId="177" fontId="25" fillId="0" borderId="0" xfId="7" applyNumberFormat="1" applyFont="1"/>
    <xf numFmtId="177" fontId="0" fillId="0" borderId="0" xfId="0" applyNumberFormat="1"/>
    <xf numFmtId="177" fontId="73" fillId="0" borderId="0" xfId="7" applyNumberFormat="1" applyFont="1" applyAlignment="1">
      <alignment horizontal="center"/>
    </xf>
    <xf numFmtId="177" fontId="20" fillId="25" borderId="71" xfId="7" applyNumberFormat="1" applyFont="1" applyFill="1" applyBorder="1" applyAlignment="1">
      <alignment horizontal="center" vertical="center" wrapText="1"/>
    </xf>
    <xf numFmtId="17" fontId="20" fillId="25" borderId="71" xfId="7" applyNumberFormat="1" applyFont="1" applyFill="1" applyBorder="1" applyAlignment="1">
      <alignment horizontal="center" vertical="center"/>
    </xf>
    <xf numFmtId="0" fontId="20" fillId="25" borderId="73" xfId="0" applyFont="1" applyFill="1" applyBorder="1"/>
    <xf numFmtId="177" fontId="37" fillId="0" borderId="74" xfId="7" applyNumberFormat="1" applyFont="1" applyFill="1" applyBorder="1"/>
    <xf numFmtId="177" fontId="37" fillId="0" borderId="0" xfId="7" applyNumberFormat="1" applyFont="1" applyFill="1" applyBorder="1"/>
    <xf numFmtId="177" fontId="27" fillId="0" borderId="0" xfId="7" applyNumberFormat="1" applyFont="1" applyFill="1" applyBorder="1"/>
    <xf numFmtId="0" fontId="20" fillId="25" borderId="36" xfId="0" applyFont="1" applyFill="1" applyBorder="1"/>
    <xf numFmtId="177" fontId="37" fillId="0" borderId="10" xfId="7" applyNumberFormat="1" applyFont="1" applyFill="1" applyBorder="1"/>
    <xf numFmtId="177" fontId="27" fillId="0" borderId="0" xfId="7" applyNumberFormat="1" applyFont="1" applyFill="1" applyBorder="1" applyAlignment="1">
      <alignment horizontal="right"/>
    </xf>
    <xf numFmtId="177" fontId="37" fillId="0" borderId="0" xfId="7" applyNumberFormat="1" applyFont="1" applyFill="1" applyBorder="1" applyAlignment="1">
      <alignment horizontal="right"/>
    </xf>
    <xf numFmtId="0" fontId="10" fillId="27" borderId="36" xfId="0" applyFont="1" applyFill="1" applyBorder="1" applyAlignment="1">
      <alignment horizontal="left"/>
    </xf>
    <xf numFmtId="177" fontId="74" fillId="0" borderId="10" xfId="7" applyNumberFormat="1" applyFont="1" applyFill="1" applyBorder="1"/>
    <xf numFmtId="177" fontId="10" fillId="0" borderId="10" xfId="7" applyNumberFormat="1" applyFont="1" applyFill="1" applyBorder="1"/>
    <xf numFmtId="0" fontId="14" fillId="0" borderId="0" xfId="0" applyFont="1"/>
    <xf numFmtId="177" fontId="10" fillId="0" borderId="0" xfId="7" applyNumberFormat="1" applyFont="1" applyFill="1" applyBorder="1"/>
    <xf numFmtId="177" fontId="10" fillId="0" borderId="0" xfId="7" applyNumberFormat="1" applyFont="1" applyFill="1" applyBorder="1" applyAlignment="1">
      <alignment horizontal="right"/>
    </xf>
    <xf numFmtId="177" fontId="74" fillId="0" borderId="0" xfId="7" applyNumberFormat="1" applyFont="1" applyFill="1" applyBorder="1" applyAlignment="1">
      <alignment horizontal="right"/>
    </xf>
    <xf numFmtId="177" fontId="74" fillId="0" borderId="0" xfId="7" applyNumberFormat="1" applyFont="1" applyFill="1" applyBorder="1"/>
    <xf numFmtId="0" fontId="38" fillId="13" borderId="3" xfId="0" applyFont="1" applyFill="1" applyBorder="1" applyAlignment="1">
      <alignment horizontal="left"/>
    </xf>
    <xf numFmtId="0" fontId="0" fillId="0" borderId="3" xfId="0" applyBorder="1"/>
    <xf numFmtId="177" fontId="0" fillId="0" borderId="0" xfId="7" applyNumberFormat="1" applyFont="1" applyFill="1" applyBorder="1"/>
    <xf numFmtId="177" fontId="25" fillId="0" borderId="0" xfId="7" applyNumberFormat="1" applyFont="1" applyFill="1" applyBorder="1"/>
    <xf numFmtId="0" fontId="38" fillId="13" borderId="5" xfId="0" applyFont="1" applyFill="1" applyBorder="1" applyAlignment="1">
      <alignment horizontal="left"/>
    </xf>
    <xf numFmtId="177" fontId="0" fillId="0" borderId="21" xfId="7" applyNumberFormat="1" applyFont="1" applyFill="1" applyBorder="1"/>
    <xf numFmtId="177" fontId="25" fillId="0" borderId="21" xfId="7" applyNumberFormat="1" applyFont="1" applyFill="1" applyBorder="1"/>
    <xf numFmtId="0" fontId="38" fillId="0" borderId="0" xfId="0" applyFont="1" applyAlignment="1">
      <alignment horizontal="left"/>
    </xf>
    <xf numFmtId="177" fontId="0" fillId="0" borderId="1" xfId="7" applyNumberFormat="1" applyFont="1" applyBorder="1" applyAlignment="1">
      <alignment horizontal="right"/>
    </xf>
    <xf numFmtId="177" fontId="0" fillId="0" borderId="2" xfId="7" applyNumberFormat="1" applyFont="1" applyBorder="1"/>
    <xf numFmtId="177" fontId="0" fillId="0" borderId="3" xfId="7" applyNumberFormat="1" applyFont="1" applyBorder="1" applyAlignment="1">
      <alignment horizontal="right"/>
    </xf>
    <xf numFmtId="177" fontId="0" fillId="0" borderId="4" xfId="7" applyNumberFormat="1" applyFont="1" applyBorder="1"/>
    <xf numFmtId="177" fontId="1" fillId="0" borderId="3" xfId="7" applyNumberFormat="1" applyFont="1" applyBorder="1" applyAlignment="1">
      <alignment horizontal="right"/>
    </xf>
    <xf numFmtId="177" fontId="1" fillId="0" borderId="4" xfId="7" applyNumberFormat="1" applyFont="1" applyBorder="1"/>
    <xf numFmtId="177" fontId="25" fillId="0" borderId="5" xfId="7" applyNumberFormat="1" applyFont="1" applyBorder="1" applyAlignment="1">
      <alignment horizontal="right"/>
    </xf>
    <xf numFmtId="177" fontId="25" fillId="0" borderId="6" xfId="7" applyNumberFormat="1" applyFont="1" applyBorder="1"/>
    <xf numFmtId="177" fontId="0" fillId="0" borderId="0" xfId="7" applyNumberFormat="1" applyFont="1" applyBorder="1"/>
    <xf numFmtId="177" fontId="40" fillId="0" borderId="0" xfId="7" applyNumberFormat="1" applyFont="1" applyFill="1"/>
    <xf numFmtId="0" fontId="41" fillId="0" borderId="54" xfId="0" applyFont="1" applyBorder="1"/>
    <xf numFmtId="177" fontId="60" fillId="20" borderId="0" xfId="7" applyNumberFormat="1" applyFont="1" applyFill="1"/>
    <xf numFmtId="167" fontId="60" fillId="20" borderId="0" xfId="7" applyFont="1" applyFill="1"/>
    <xf numFmtId="0" fontId="61" fillId="20" borderId="0" xfId="0" applyFont="1" applyFill="1"/>
    <xf numFmtId="0" fontId="60" fillId="20" borderId="0" xfId="0" applyFont="1" applyFill="1"/>
    <xf numFmtId="177" fontId="40" fillId="36" borderId="0" xfId="7" applyNumberFormat="1" applyFont="1" applyFill="1"/>
    <xf numFmtId="167" fontId="40" fillId="36" borderId="0" xfId="7" applyFont="1" applyFill="1"/>
    <xf numFmtId="0" fontId="40" fillId="36" borderId="0" xfId="0" applyFont="1" applyFill="1"/>
    <xf numFmtId="177" fontId="40" fillId="0" borderId="0" xfId="7" applyNumberFormat="1" applyFont="1"/>
    <xf numFmtId="177" fontId="60" fillId="0" borderId="0" xfId="7" applyNumberFormat="1" applyFont="1" applyFill="1"/>
    <xf numFmtId="167" fontId="60" fillId="0" borderId="0" xfId="7" applyFont="1" applyFill="1"/>
    <xf numFmtId="0" fontId="60" fillId="0" borderId="0" xfId="0" applyFont="1"/>
    <xf numFmtId="177" fontId="60" fillId="0" borderId="0" xfId="7" applyNumberFormat="1" applyFont="1" applyFill="1" applyBorder="1"/>
    <xf numFmtId="167" fontId="60" fillId="0" borderId="0" xfId="7" applyFont="1" applyFill="1" applyBorder="1"/>
    <xf numFmtId="0" fontId="40" fillId="20" borderId="0" xfId="0" applyFont="1" applyFill="1"/>
    <xf numFmtId="0" fontId="40" fillId="0" borderId="0" xfId="0" applyFont="1" applyAlignment="1">
      <alignment vertical="center" wrapText="1"/>
    </xf>
    <xf numFmtId="14" fontId="41" fillId="18" borderId="54" xfId="7" applyNumberFormat="1" applyFont="1" applyFill="1" applyBorder="1" applyAlignment="1">
      <alignment horizontal="center" vertical="center" wrapText="1"/>
    </xf>
    <xf numFmtId="177" fontId="41" fillId="18" borderId="54" xfId="7" applyNumberFormat="1" applyFont="1" applyFill="1" applyBorder="1" applyAlignment="1">
      <alignment vertical="center" wrapText="1"/>
    </xf>
    <xf numFmtId="167" fontId="41" fillId="18" borderId="54" xfId="7" applyFont="1" applyFill="1" applyBorder="1" applyAlignment="1">
      <alignment vertical="center" wrapText="1"/>
    </xf>
    <xf numFmtId="0" fontId="41" fillId="18" borderId="54" xfId="0" applyFont="1" applyFill="1" applyBorder="1" applyAlignment="1">
      <alignment vertical="center" wrapText="1"/>
    </xf>
    <xf numFmtId="0" fontId="41" fillId="29" borderId="54" xfId="0" applyFont="1" applyFill="1" applyBorder="1" applyAlignment="1">
      <alignment vertical="center"/>
    </xf>
    <xf numFmtId="0" fontId="41" fillId="29" borderId="54" xfId="0" applyFont="1" applyFill="1" applyBorder="1" applyAlignment="1">
      <alignment vertical="center" wrapText="1"/>
    </xf>
    <xf numFmtId="0" fontId="41" fillId="29" borderId="0" xfId="0" applyFont="1" applyFill="1" applyAlignment="1">
      <alignment vertical="center" wrapText="1"/>
    </xf>
    <xf numFmtId="0" fontId="41" fillId="29" borderId="0" xfId="0" applyFont="1" applyFill="1" applyAlignment="1">
      <alignment vertical="center"/>
    </xf>
    <xf numFmtId="0" fontId="41" fillId="18" borderId="0" xfId="0" applyFont="1" applyFill="1" applyAlignment="1">
      <alignment vertical="center" wrapText="1"/>
    </xf>
    <xf numFmtId="167" fontId="41" fillId="18" borderId="0" xfId="7" applyFont="1" applyFill="1" applyBorder="1" applyAlignment="1">
      <alignment vertical="center" wrapText="1"/>
    </xf>
    <xf numFmtId="177" fontId="41" fillId="18" borderId="0" xfId="7" applyNumberFormat="1" applyFont="1" applyFill="1" applyBorder="1" applyAlignment="1">
      <alignment vertical="center" wrapText="1"/>
    </xf>
    <xf numFmtId="14" fontId="41" fillId="18" borderId="0" xfId="7" applyNumberFormat="1" applyFont="1" applyFill="1" applyBorder="1" applyAlignment="1">
      <alignment horizontal="center" vertical="center" wrapText="1"/>
    </xf>
    <xf numFmtId="177" fontId="73" fillId="0" borderId="54" xfId="7" applyNumberFormat="1" applyFont="1" applyFill="1" applyBorder="1"/>
    <xf numFmtId="167" fontId="40" fillId="0" borderId="0" xfId="7" applyFont="1" applyFill="1"/>
    <xf numFmtId="177" fontId="40" fillId="11" borderId="0" xfId="7" applyNumberFormat="1" applyFont="1" applyFill="1"/>
    <xf numFmtId="39" fontId="67" fillId="0" borderId="0" xfId="13" applyNumberFormat="1"/>
    <xf numFmtId="39" fontId="0" fillId="0" borderId="0" xfId="0" applyNumberFormat="1" applyAlignment="1">
      <alignment vertical="center"/>
    </xf>
    <xf numFmtId="0" fontId="0" fillId="9" borderId="48" xfId="0" applyFill="1" applyBorder="1" applyAlignment="1">
      <alignment vertical="center"/>
    </xf>
    <xf numFmtId="173" fontId="0" fillId="9" borderId="48" xfId="0" applyNumberFormat="1" applyFill="1" applyBorder="1" applyAlignment="1">
      <alignment horizontal="right" vertical="center"/>
    </xf>
    <xf numFmtId="39" fontId="0" fillId="9" borderId="0" xfId="0" applyNumberFormat="1" applyFill="1" applyAlignment="1">
      <alignment vertical="center"/>
    </xf>
    <xf numFmtId="177" fontId="40" fillId="12" borderId="0" xfId="7" applyNumberFormat="1" applyFont="1" applyFill="1"/>
    <xf numFmtId="17" fontId="20" fillId="25" borderId="72" xfId="7" applyNumberFormat="1" applyFont="1" applyFill="1" applyBorder="1" applyAlignment="1">
      <alignment horizontal="center" vertical="center"/>
    </xf>
    <xf numFmtId="177" fontId="37" fillId="0" borderId="9" xfId="7" applyNumberFormat="1" applyFont="1" applyFill="1" applyBorder="1"/>
    <xf numFmtId="177" fontId="37" fillId="0" borderId="4" xfId="7" applyNumberFormat="1" applyFont="1" applyFill="1" applyBorder="1"/>
    <xf numFmtId="177" fontId="37" fillId="0" borderId="20" xfId="7" applyNumberFormat="1" applyFont="1" applyFill="1" applyBorder="1"/>
    <xf numFmtId="177" fontId="37" fillId="0" borderId="4" xfId="7" applyNumberFormat="1" applyFont="1" applyFill="1" applyBorder="1" applyAlignment="1">
      <alignment horizontal="right"/>
    </xf>
    <xf numFmtId="177" fontId="10" fillId="0" borderId="20" xfId="7" applyNumberFormat="1" applyFont="1" applyFill="1" applyBorder="1"/>
    <xf numFmtId="177" fontId="10" fillId="0" borderId="4" xfId="7" applyNumberFormat="1" applyFont="1" applyFill="1" applyBorder="1" applyAlignment="1">
      <alignment horizontal="right"/>
    </xf>
    <xf numFmtId="177" fontId="10" fillId="0" borderId="4" xfId="7" applyNumberFormat="1" applyFont="1" applyFill="1" applyBorder="1"/>
    <xf numFmtId="177" fontId="25" fillId="0" borderId="4" xfId="7" applyNumberFormat="1" applyFont="1" applyFill="1" applyBorder="1"/>
    <xf numFmtId="177" fontId="25" fillId="0" borderId="6" xfId="7" applyNumberFormat="1" applyFont="1" applyFill="1" applyBorder="1"/>
    <xf numFmtId="178" fontId="0" fillId="0" borderId="0" xfId="7" applyNumberFormat="1" applyFont="1"/>
    <xf numFmtId="179" fontId="67" fillId="0" borderId="48" xfId="13" applyNumberFormat="1" applyBorder="1" applyAlignment="1">
      <alignment vertical="center"/>
    </xf>
    <xf numFmtId="39" fontId="67" fillId="0" borderId="0" xfId="13" applyNumberFormat="1" applyAlignment="1">
      <alignment vertical="center"/>
    </xf>
    <xf numFmtId="173" fontId="42" fillId="0" borderId="0" xfId="9" applyNumberFormat="1"/>
    <xf numFmtId="177" fontId="76" fillId="29" borderId="0" xfId="7" applyNumberFormat="1" applyFont="1" applyFill="1" applyBorder="1"/>
    <xf numFmtId="167" fontId="76" fillId="29" borderId="0" xfId="7" applyFont="1" applyFill="1" applyBorder="1"/>
    <xf numFmtId="0" fontId="76" fillId="29" borderId="0" xfId="0" applyFont="1" applyFill="1"/>
    <xf numFmtId="177" fontId="0" fillId="0" borderId="0" xfId="7" applyNumberFormat="1" applyFont="1" applyFill="1"/>
    <xf numFmtId="177" fontId="1" fillId="22" borderId="0" xfId="7" applyNumberFormat="1" applyFont="1" applyFill="1"/>
    <xf numFmtId="177" fontId="0" fillId="22" borderId="0" xfId="7" applyNumberFormat="1" applyFont="1" applyFill="1"/>
    <xf numFmtId="167" fontId="0" fillId="22" borderId="0" xfId="7" applyFont="1" applyFill="1"/>
    <xf numFmtId="177" fontId="0" fillId="22" borderId="0" xfId="0" applyNumberFormat="1" applyFill="1"/>
    <xf numFmtId="177" fontId="40" fillId="22" borderId="0" xfId="7" applyNumberFormat="1" applyFont="1" applyFill="1"/>
    <xf numFmtId="167" fontId="40" fillId="22" borderId="0" xfId="7" applyFont="1" applyFill="1"/>
    <xf numFmtId="0" fontId="40" fillId="22" borderId="0" xfId="0" applyFont="1" applyFill="1"/>
    <xf numFmtId="0" fontId="61" fillId="0" borderId="0" xfId="0" applyFont="1" applyAlignment="1">
      <alignment wrapText="1"/>
    </xf>
    <xf numFmtId="167" fontId="71" fillId="29" borderId="0" xfId="7" applyFont="1" applyFill="1" applyBorder="1" applyAlignment="1">
      <alignment wrapText="1"/>
    </xf>
    <xf numFmtId="0" fontId="71" fillId="29" borderId="0" xfId="0" applyFont="1" applyFill="1" applyAlignment="1">
      <alignment wrapText="1"/>
    </xf>
    <xf numFmtId="17" fontId="60" fillId="0" borderId="0" xfId="0" applyNumberFormat="1" applyFont="1" applyAlignment="1">
      <alignment horizontal="center" vertical="center" wrapText="1"/>
    </xf>
    <xf numFmtId="0" fontId="48" fillId="17" borderId="48" xfId="0" applyFont="1" applyFill="1" applyBorder="1" applyAlignment="1">
      <alignment horizontal="center" vertical="center"/>
    </xf>
    <xf numFmtId="39" fontId="48" fillId="17" borderId="0" xfId="0" applyNumberFormat="1" applyFont="1" applyFill="1" applyAlignment="1">
      <alignment vertical="center"/>
    </xf>
    <xf numFmtId="173" fontId="48" fillId="17" borderId="48" xfId="0" applyNumberFormat="1" applyFont="1" applyFill="1" applyBorder="1" applyAlignment="1">
      <alignment horizontal="right" vertical="center"/>
    </xf>
    <xf numFmtId="173" fontId="48" fillId="17" borderId="0" xfId="0" applyNumberFormat="1" applyFont="1" applyFill="1"/>
    <xf numFmtId="167" fontId="0" fillId="0" borderId="0" xfId="7" applyFont="1" applyAlignment="1">
      <alignment horizontal="center"/>
    </xf>
    <xf numFmtId="10" fontId="0" fillId="0" borderId="0" xfId="1" applyNumberFormat="1" applyFont="1" applyAlignment="1">
      <alignment horizontal="center"/>
    </xf>
    <xf numFmtId="10" fontId="29" fillId="15" borderId="14" xfId="1" applyNumberFormat="1" applyFont="1" applyFill="1" applyBorder="1" applyAlignment="1">
      <alignment horizontal="center"/>
    </xf>
    <xf numFmtId="10" fontId="0" fillId="19" borderId="0" xfId="1" applyNumberFormat="1" applyFont="1" applyFill="1" applyAlignment="1">
      <alignment horizontal="center"/>
    </xf>
    <xf numFmtId="10" fontId="17" fillId="15" borderId="22" xfId="1" applyNumberFormat="1" applyFont="1" applyFill="1" applyBorder="1" applyAlignment="1">
      <alignment horizontal="center"/>
    </xf>
    <xf numFmtId="10" fontId="17" fillId="15" borderId="3" xfId="1" applyNumberFormat="1" applyFont="1" applyFill="1" applyBorder="1" applyAlignment="1">
      <alignment horizontal="center"/>
    </xf>
    <xf numFmtId="10" fontId="13" fillId="8" borderId="3" xfId="1" applyNumberFormat="1" applyFont="1" applyFill="1" applyBorder="1" applyAlignment="1">
      <alignment horizontal="center"/>
    </xf>
    <xf numFmtId="10" fontId="13" fillId="10" borderId="5" xfId="1" applyNumberFormat="1" applyFont="1" applyFill="1" applyBorder="1" applyAlignment="1">
      <alignment horizontal="center"/>
    </xf>
    <xf numFmtId="0" fontId="77" fillId="37" borderId="42" xfId="4" applyFont="1" applyFill="1" applyBorder="1"/>
    <xf numFmtId="0" fontId="77" fillId="37" borderId="54" xfId="4" applyFont="1" applyFill="1" applyBorder="1"/>
    <xf numFmtId="0" fontId="77" fillId="37" borderId="75" xfId="4" applyFont="1" applyFill="1" applyBorder="1"/>
    <xf numFmtId="0" fontId="78" fillId="0" borderId="0" xfId="4" applyFont="1"/>
    <xf numFmtId="0" fontId="80" fillId="0" borderId="0" xfId="4" applyFont="1"/>
    <xf numFmtId="0" fontId="81" fillId="0" borderId="0" xfId="4" applyFont="1" applyAlignment="1">
      <alignment horizontal="left"/>
    </xf>
    <xf numFmtId="0" fontId="81" fillId="0" borderId="0" xfId="4" applyFont="1"/>
    <xf numFmtId="40" fontId="82" fillId="0" borderId="0" xfId="4" applyNumberFormat="1" applyFont="1" applyAlignment="1">
      <alignment horizontal="left"/>
    </xf>
    <xf numFmtId="181" fontId="83" fillId="0" borderId="76" xfId="4" applyNumberFormat="1" applyFont="1" applyBorder="1"/>
    <xf numFmtId="181" fontId="83" fillId="0" borderId="0" xfId="4" applyNumberFormat="1" applyFont="1"/>
    <xf numFmtId="0" fontId="84" fillId="0" borderId="0" xfId="4" applyFont="1" applyAlignment="1">
      <alignment horizontal="right"/>
    </xf>
    <xf numFmtId="182" fontId="78" fillId="0" borderId="77" xfId="4" applyNumberFormat="1" applyFont="1" applyBorder="1" applyAlignment="1">
      <alignment horizontal="center"/>
    </xf>
    <xf numFmtId="171" fontId="82" fillId="0" borderId="0" xfId="4" applyNumberFormat="1" applyFont="1" applyAlignment="1">
      <alignment horizontal="right"/>
    </xf>
    <xf numFmtId="183" fontId="80" fillId="0" borderId="0" xfId="4" applyNumberFormat="1" applyFont="1"/>
    <xf numFmtId="0" fontId="85" fillId="0" borderId="0" xfId="4" applyFont="1"/>
    <xf numFmtId="40" fontId="78" fillId="0" borderId="0" xfId="4" applyNumberFormat="1" applyFont="1"/>
    <xf numFmtId="0" fontId="82" fillId="0" borderId="0" xfId="4" applyFont="1" applyAlignment="1">
      <alignment horizontal="left"/>
    </xf>
    <xf numFmtId="40" fontId="84" fillId="0" borderId="0" xfId="4" applyNumberFormat="1" applyFont="1" applyAlignment="1">
      <alignment horizontal="right"/>
    </xf>
    <xf numFmtId="183" fontId="78" fillId="0" borderId="78" xfId="4" applyNumberFormat="1" applyFont="1" applyBorder="1" applyAlignment="1">
      <alignment horizontal="center"/>
    </xf>
    <xf numFmtId="169" fontId="82" fillId="0" borderId="0" xfId="4" applyNumberFormat="1" applyFont="1" applyAlignment="1">
      <alignment horizontal="right"/>
    </xf>
    <xf numFmtId="0" fontId="86" fillId="0" borderId="0" xfId="4" applyFont="1" applyAlignment="1">
      <alignment horizontal="right"/>
    </xf>
    <xf numFmtId="3" fontId="80" fillId="0" borderId="0" xfId="4" applyNumberFormat="1" applyFont="1"/>
    <xf numFmtId="3" fontId="83" fillId="0" borderId="76" xfId="4" applyNumberFormat="1" applyFont="1" applyBorder="1"/>
    <xf numFmtId="3" fontId="83" fillId="0" borderId="0" xfId="4" applyNumberFormat="1" applyFont="1"/>
    <xf numFmtId="183" fontId="78" fillId="0" borderId="78" xfId="4" applyNumberFormat="1" applyFont="1" applyBorder="1" applyAlignment="1">
      <alignment horizontal="left"/>
    </xf>
    <xf numFmtId="3" fontId="80" fillId="0" borderId="0" xfId="4" applyNumberFormat="1" applyFont="1" applyAlignment="1">
      <alignment horizontal="right"/>
    </xf>
    <xf numFmtId="3" fontId="78" fillId="0" borderId="0" xfId="4" applyNumberFormat="1" applyFont="1"/>
    <xf numFmtId="183" fontId="78" fillId="0" borderId="79" xfId="4" applyNumberFormat="1" applyFont="1" applyBorder="1" applyAlignment="1">
      <alignment horizontal="center"/>
    </xf>
    <xf numFmtId="0" fontId="87" fillId="0" borderId="7" xfId="4" applyFont="1" applyBorder="1" applyAlignment="1">
      <alignment horizontal="center"/>
    </xf>
    <xf numFmtId="0" fontId="88" fillId="0" borderId="39" xfId="4" applyFont="1" applyBorder="1" applyAlignment="1">
      <alignment horizontal="center"/>
    </xf>
    <xf numFmtId="172" fontId="86" fillId="0" borderId="7" xfId="4" applyNumberFormat="1" applyFont="1" applyBorder="1" applyAlignment="1">
      <alignment horizontal="center"/>
    </xf>
    <xf numFmtId="10" fontId="78" fillId="0" borderId="0" xfId="4" applyNumberFormat="1" applyFont="1" applyAlignment="1">
      <alignment horizontal="center"/>
    </xf>
    <xf numFmtId="9" fontId="89" fillId="38" borderId="38" xfId="5" applyFont="1" applyFill="1" applyBorder="1" applyAlignment="1">
      <alignment horizontal="center"/>
    </xf>
    <xf numFmtId="3" fontId="90" fillId="0" borderId="0" xfId="4" applyNumberFormat="1" applyFont="1" applyAlignment="1">
      <alignment horizontal="right"/>
    </xf>
    <xf numFmtId="0" fontId="91" fillId="0" borderId="0" xfId="4" applyFont="1"/>
    <xf numFmtId="169" fontId="78" fillId="0" borderId="0" xfId="4" applyNumberFormat="1" applyFont="1"/>
    <xf numFmtId="9" fontId="89" fillId="38" borderId="46" xfId="5" applyFont="1" applyFill="1" applyBorder="1" applyAlignment="1">
      <alignment horizontal="center"/>
    </xf>
    <xf numFmtId="9" fontId="83" fillId="0" borderId="76" xfId="17" applyNumberFormat="1" applyFont="1" applyBorder="1" applyProtection="1"/>
    <xf numFmtId="1" fontId="91" fillId="0" borderId="0" xfId="4" applyNumberFormat="1" applyFont="1"/>
    <xf numFmtId="10" fontId="91" fillId="0" borderId="0" xfId="5" applyNumberFormat="1" applyFont="1"/>
    <xf numFmtId="3" fontId="91" fillId="0" borderId="0" xfId="4" applyNumberFormat="1" applyFont="1"/>
    <xf numFmtId="9" fontId="78" fillId="0" borderId="0" xfId="4" applyNumberFormat="1" applyFont="1"/>
    <xf numFmtId="0" fontId="85" fillId="0" borderId="0" xfId="4" applyFont="1" applyAlignment="1">
      <alignment horizontal="right"/>
    </xf>
    <xf numFmtId="3" fontId="91" fillId="0" borderId="0" xfId="4" applyNumberFormat="1" applyFont="1" applyAlignment="1">
      <alignment horizontal="right"/>
    </xf>
    <xf numFmtId="0" fontId="81" fillId="0" borderId="0" xfId="4" applyFont="1" applyAlignment="1">
      <alignment horizontal="right"/>
    </xf>
    <xf numFmtId="0" fontId="78" fillId="0" borderId="0" xfId="4" applyFont="1" applyAlignment="1">
      <alignment horizontal="center"/>
    </xf>
    <xf numFmtId="0" fontId="79" fillId="4" borderId="42" xfId="4" applyFont="1" applyFill="1" applyBorder="1"/>
    <xf numFmtId="0" fontId="79" fillId="4" borderId="54" xfId="4" applyFont="1" applyFill="1" applyBorder="1"/>
    <xf numFmtId="0" fontId="79" fillId="4" borderId="75" xfId="4" applyFont="1" applyFill="1" applyBorder="1"/>
    <xf numFmtId="0" fontId="78" fillId="0" borderId="69" xfId="4" applyFont="1" applyBorder="1" applyAlignment="1">
      <alignment horizontal="center"/>
    </xf>
    <xf numFmtId="0" fontId="78" fillId="0" borderId="80" xfId="4" applyFont="1" applyBorder="1" applyAlignment="1">
      <alignment horizontal="center"/>
    </xf>
    <xf numFmtId="0" fontId="78" fillId="0" borderId="81" xfId="4" applyFont="1" applyBorder="1" applyAlignment="1">
      <alignment horizontal="center"/>
    </xf>
    <xf numFmtId="0" fontId="78" fillId="0" borderId="30" xfId="4" applyFont="1" applyBorder="1" applyAlignment="1">
      <alignment horizontal="center"/>
    </xf>
    <xf numFmtId="0" fontId="87" fillId="39" borderId="7" xfId="4" applyFont="1" applyFill="1" applyBorder="1" applyAlignment="1">
      <alignment horizontal="center"/>
    </xf>
    <xf numFmtId="0" fontId="88" fillId="0" borderId="7" xfId="4" applyFont="1" applyBorder="1" applyAlignment="1">
      <alignment horizontal="center"/>
    </xf>
    <xf numFmtId="0" fontId="93" fillId="40" borderId="7" xfId="4" applyFont="1" applyFill="1" applyBorder="1" applyAlignment="1">
      <alignment horizontal="center"/>
    </xf>
    <xf numFmtId="0" fontId="94" fillId="41" borderId="7" xfId="4" applyFont="1" applyFill="1" applyBorder="1" applyAlignment="1">
      <alignment horizontal="center"/>
    </xf>
    <xf numFmtId="0" fontId="87" fillId="37" borderId="7" xfId="4" applyFont="1" applyFill="1" applyBorder="1" applyAlignment="1">
      <alignment horizontal="center" vertical="center"/>
    </xf>
    <xf numFmtId="4" fontId="78" fillId="0" borderId="55" xfId="4" applyNumberFormat="1" applyFont="1" applyBorder="1" applyAlignment="1">
      <alignment horizontal="center"/>
    </xf>
    <xf numFmtId="3" fontId="78" fillId="0" borderId="82" xfId="4" applyNumberFormat="1" applyFont="1" applyBorder="1" applyAlignment="1">
      <alignment horizontal="center"/>
    </xf>
    <xf numFmtId="0" fontId="78" fillId="0" borderId="82" xfId="4" applyFont="1" applyBorder="1" applyAlignment="1">
      <alignment horizontal="center"/>
    </xf>
    <xf numFmtId="3" fontId="78" fillId="0" borderId="56" xfId="4" applyNumberFormat="1" applyFont="1" applyBorder="1" applyAlignment="1">
      <alignment horizontal="center"/>
    </xf>
    <xf numFmtId="185" fontId="78" fillId="0" borderId="0" xfId="4" applyNumberFormat="1" applyFont="1"/>
    <xf numFmtId="170" fontId="84" fillId="39" borderId="7" xfId="4" applyNumberFormat="1" applyFont="1" applyFill="1" applyBorder="1" applyAlignment="1">
      <alignment horizontal="right"/>
    </xf>
    <xf numFmtId="0" fontId="81" fillId="0" borderId="54" xfId="4" applyFont="1" applyBorder="1"/>
    <xf numFmtId="170" fontId="88" fillId="0" borderId="54" xfId="4" applyNumberFormat="1" applyFont="1" applyBorder="1" applyAlignment="1">
      <alignment horizontal="right"/>
    </xf>
    <xf numFmtId="169" fontId="88" fillId="0" borderId="54" xfId="0" applyNumberFormat="1" applyFont="1" applyBorder="1" applyAlignment="1">
      <alignment horizontal="right"/>
    </xf>
    <xf numFmtId="170" fontId="83" fillId="3" borderId="54" xfId="4" applyNumberFormat="1" applyFont="1" applyFill="1" applyBorder="1" applyAlignment="1">
      <alignment horizontal="right"/>
    </xf>
    <xf numFmtId="180" fontId="95" fillId="0" borderId="54" xfId="5" applyNumberFormat="1" applyFont="1" applyFill="1" applyBorder="1" applyAlignment="1">
      <alignment horizontal="center"/>
    </xf>
    <xf numFmtId="180" fontId="95" fillId="0" borderId="75" xfId="18" applyNumberFormat="1" applyFont="1" applyBorder="1" applyAlignment="1">
      <alignment horizontal="center"/>
    </xf>
    <xf numFmtId="180" fontId="95" fillId="0" borderId="7" xfId="18" applyNumberFormat="1" applyFont="1" applyBorder="1" applyAlignment="1">
      <alignment horizontal="center"/>
    </xf>
    <xf numFmtId="0" fontId="83" fillId="0" borderId="0" xfId="4" applyFont="1" applyAlignment="1">
      <alignment horizontal="left"/>
    </xf>
    <xf numFmtId="4" fontId="78" fillId="0" borderId="25" xfId="4" applyNumberFormat="1" applyFont="1" applyBorder="1" applyAlignment="1">
      <alignment horizontal="center"/>
    </xf>
    <xf numFmtId="3" fontId="78" fillId="0" borderId="7" xfId="4" applyNumberFormat="1" applyFont="1" applyBorder="1" applyAlignment="1">
      <alignment horizontal="center"/>
    </xf>
    <xf numFmtId="0" fontId="78" fillId="0" borderId="7" xfId="4" applyFont="1" applyBorder="1" applyAlignment="1">
      <alignment horizontal="center"/>
    </xf>
    <xf numFmtId="3" fontId="78" fillId="0" borderId="57" xfId="4" applyNumberFormat="1" applyFont="1" applyBorder="1" applyAlignment="1">
      <alignment horizontal="center"/>
    </xf>
    <xf numFmtId="170" fontId="96" fillId="39" borderId="38" xfId="4" applyNumberFormat="1" applyFont="1" applyFill="1" applyBorder="1" applyAlignment="1">
      <alignment horizontal="right"/>
    </xf>
    <xf numFmtId="170" fontId="82" fillId="0" borderId="0" xfId="4" applyNumberFormat="1" applyFont="1" applyAlignment="1">
      <alignment horizontal="right"/>
    </xf>
    <xf numFmtId="170" fontId="97" fillId="0" borderId="0" xfId="4" applyNumberFormat="1" applyFont="1" applyAlignment="1">
      <alignment horizontal="right"/>
    </xf>
    <xf numFmtId="180" fontId="98" fillId="0" borderId="0" xfId="5" applyNumberFormat="1" applyFont="1" applyFill="1" applyBorder="1" applyAlignment="1">
      <alignment horizontal="center"/>
    </xf>
    <xf numFmtId="180" fontId="98" fillId="0" borderId="41" xfId="18" applyNumberFormat="1" applyFont="1" applyBorder="1" applyAlignment="1">
      <alignment horizontal="center"/>
    </xf>
    <xf numFmtId="180" fontId="98" fillId="0" borderId="38" xfId="18" applyNumberFormat="1" applyFont="1" applyBorder="1" applyAlignment="1">
      <alignment horizontal="center"/>
    </xf>
    <xf numFmtId="0" fontId="83" fillId="0" borderId="0" xfId="4" applyFont="1" applyAlignment="1">
      <alignment horizontal="right"/>
    </xf>
    <xf numFmtId="170" fontId="98" fillId="39" borderId="38" xfId="4" applyNumberFormat="1" applyFont="1" applyFill="1" applyBorder="1" applyAlignment="1">
      <alignment horizontal="right"/>
    </xf>
    <xf numFmtId="0" fontId="97" fillId="0" borderId="0" xfId="4" applyFont="1"/>
    <xf numFmtId="170" fontId="98" fillId="0" borderId="0" xfId="4" applyNumberFormat="1" applyFont="1" applyAlignment="1">
      <alignment horizontal="right"/>
    </xf>
    <xf numFmtId="169" fontId="98" fillId="0" borderId="0" xfId="4" applyNumberFormat="1" applyFont="1" applyAlignment="1">
      <alignment horizontal="right"/>
    </xf>
    <xf numFmtId="10" fontId="96" fillId="39" borderId="38" xfId="5" applyNumberFormat="1" applyFont="1" applyFill="1" applyBorder="1" applyAlignment="1">
      <alignment horizontal="right"/>
    </xf>
    <xf numFmtId="170" fontId="82" fillId="0" borderId="0" xfId="0" applyNumberFormat="1" applyFont="1" applyAlignment="1">
      <alignment horizontal="right"/>
    </xf>
    <xf numFmtId="169" fontId="82" fillId="0" borderId="0" xfId="0" applyNumberFormat="1" applyFont="1" applyAlignment="1">
      <alignment horizontal="right"/>
    </xf>
    <xf numFmtId="3" fontId="78" fillId="0" borderId="25" xfId="4" applyNumberFormat="1" applyFont="1" applyBorder="1" applyAlignment="1">
      <alignment horizontal="center"/>
    </xf>
    <xf numFmtId="3" fontId="78" fillId="0" borderId="58" xfId="4" applyNumberFormat="1" applyFont="1" applyBorder="1" applyAlignment="1">
      <alignment horizontal="center"/>
    </xf>
    <xf numFmtId="3" fontId="78" fillId="0" borderId="83" xfId="4" applyNumberFormat="1" applyFont="1" applyBorder="1" applyAlignment="1">
      <alignment horizontal="center"/>
    </xf>
    <xf numFmtId="0" fontId="78" fillId="0" borderId="83" xfId="4" applyFont="1" applyBorder="1" applyAlignment="1">
      <alignment horizontal="center"/>
    </xf>
    <xf numFmtId="3" fontId="78" fillId="0" borderId="59" xfId="4" applyNumberFormat="1" applyFont="1" applyBorder="1" applyAlignment="1">
      <alignment horizontal="center"/>
    </xf>
    <xf numFmtId="10" fontId="96" fillId="39" borderId="46" xfId="5" applyNumberFormat="1" applyFont="1" applyFill="1" applyBorder="1" applyAlignment="1">
      <alignment horizontal="right"/>
    </xf>
    <xf numFmtId="0" fontId="81" fillId="0" borderId="10" xfId="4" applyFont="1" applyBorder="1"/>
    <xf numFmtId="170" fontId="88" fillId="0" borderId="10" xfId="4" applyNumberFormat="1" applyFont="1" applyBorder="1" applyAlignment="1">
      <alignment horizontal="right"/>
    </xf>
    <xf numFmtId="169" fontId="88" fillId="0" borderId="10" xfId="4" applyNumberFormat="1" applyFont="1" applyBorder="1" applyAlignment="1">
      <alignment horizontal="right"/>
    </xf>
    <xf numFmtId="170" fontId="83" fillId="0" borderId="10" xfId="4" applyNumberFormat="1" applyFont="1" applyBorder="1" applyAlignment="1">
      <alignment horizontal="right"/>
    </xf>
    <xf numFmtId="180" fontId="81" fillId="0" borderId="10" xfId="5" applyNumberFormat="1" applyFont="1" applyFill="1" applyBorder="1" applyAlignment="1">
      <alignment horizontal="center"/>
    </xf>
    <xf numFmtId="180" fontId="81" fillId="0" borderId="11" xfId="5" applyNumberFormat="1" applyFont="1" applyFill="1" applyBorder="1" applyAlignment="1">
      <alignment horizontal="center"/>
    </xf>
    <xf numFmtId="180" fontId="95" fillId="0" borderId="46" xfId="18" applyNumberFormat="1" applyFont="1" applyBorder="1" applyAlignment="1">
      <alignment horizontal="center"/>
    </xf>
    <xf numFmtId="3" fontId="78" fillId="0" borderId="34" xfId="4" applyNumberFormat="1" applyFont="1" applyBorder="1" applyAlignment="1">
      <alignment horizontal="center"/>
    </xf>
    <xf numFmtId="10" fontId="96" fillId="39" borderId="37" xfId="5" applyNumberFormat="1" applyFont="1" applyFill="1" applyBorder="1" applyAlignment="1">
      <alignment horizontal="right"/>
    </xf>
    <xf numFmtId="0" fontId="78" fillId="0" borderId="40" xfId="4" applyFont="1" applyBorder="1"/>
    <xf numFmtId="170" fontId="97" fillId="0" borderId="40" xfId="4" applyNumberFormat="1" applyFont="1" applyBorder="1" applyAlignment="1">
      <alignment horizontal="right"/>
    </xf>
    <xf numFmtId="180" fontId="98" fillId="0" borderId="40" xfId="5" applyNumberFormat="1" applyFont="1" applyFill="1" applyBorder="1" applyAlignment="1">
      <alignment horizontal="center"/>
    </xf>
    <xf numFmtId="180" fontId="98" fillId="0" borderId="37" xfId="18" applyNumberFormat="1" applyFont="1" applyBorder="1" applyAlignment="1">
      <alignment horizontal="center"/>
    </xf>
    <xf numFmtId="4" fontId="78" fillId="0" borderId="34" xfId="4" applyNumberFormat="1" applyFont="1" applyBorder="1" applyAlignment="1">
      <alignment horizontal="center"/>
    </xf>
    <xf numFmtId="169" fontId="81" fillId="0" borderId="0" xfId="4" applyNumberFormat="1" applyFont="1" applyAlignment="1">
      <alignment horizontal="right"/>
    </xf>
    <xf numFmtId="43" fontId="81" fillId="0" borderId="0" xfId="19" applyFont="1" applyAlignment="1">
      <alignment horizontal="right"/>
    </xf>
    <xf numFmtId="0" fontId="99" fillId="0" borderId="0" xfId="0" applyFont="1"/>
    <xf numFmtId="180" fontId="81" fillId="0" borderId="10" xfId="5" applyNumberFormat="1" applyFont="1" applyFill="1" applyBorder="1" applyAlignment="1"/>
    <xf numFmtId="0" fontId="96" fillId="39" borderId="46" xfId="4" applyFont="1" applyFill="1" applyBorder="1"/>
    <xf numFmtId="170" fontId="81" fillId="0" borderId="10" xfId="4" applyNumberFormat="1" applyFont="1" applyBorder="1" applyAlignment="1">
      <alignment horizontal="right"/>
    </xf>
    <xf numFmtId="180" fontId="95" fillId="0" borderId="41" xfId="18" applyNumberFormat="1" applyFont="1" applyBorder="1" applyAlignment="1">
      <alignment horizontal="center"/>
    </xf>
    <xf numFmtId="0" fontId="100" fillId="0" borderId="42" xfId="4" applyFont="1" applyBorder="1"/>
    <xf numFmtId="0" fontId="101" fillId="0" borderId="54" xfId="4" applyFont="1" applyBorder="1"/>
    <xf numFmtId="3" fontId="101" fillId="0" borderId="54" xfId="4" applyNumberFormat="1" applyFont="1" applyBorder="1" applyAlignment="1">
      <alignment horizontal="right"/>
    </xf>
    <xf numFmtId="169" fontId="101" fillId="0" borderId="54" xfId="4" applyNumberFormat="1" applyFont="1" applyBorder="1" applyAlignment="1">
      <alignment horizontal="right"/>
    </xf>
    <xf numFmtId="3" fontId="83" fillId="0" borderId="54" xfId="4" applyNumberFormat="1" applyFont="1" applyBorder="1" applyAlignment="1">
      <alignment horizontal="right"/>
    </xf>
    <xf numFmtId="180" fontId="82" fillId="0" borderId="54" xfId="5" applyNumberFormat="1" applyFont="1" applyBorder="1" applyAlignment="1">
      <alignment horizontal="right"/>
    </xf>
    <xf numFmtId="180" fontId="82" fillId="0" borderId="75" xfId="4" applyNumberFormat="1" applyFont="1" applyBorder="1"/>
    <xf numFmtId="3" fontId="97" fillId="0" borderId="0" xfId="4" applyNumberFormat="1" applyFont="1" applyAlignment="1">
      <alignment horizontal="right"/>
    </xf>
    <xf numFmtId="9" fontId="102" fillId="0" borderId="0" xfId="5" applyFont="1" applyAlignment="1">
      <alignment horizontal="center"/>
    </xf>
    <xf numFmtId="169" fontId="79" fillId="4" borderId="54" xfId="4" applyNumberFormat="1" applyFont="1" applyFill="1" applyBorder="1"/>
    <xf numFmtId="0" fontId="103" fillId="0" borderId="0" xfId="4" applyFont="1"/>
    <xf numFmtId="0" fontId="104" fillId="4" borderId="68" xfId="4" applyFont="1" applyFill="1" applyBorder="1"/>
    <xf numFmtId="169" fontId="93" fillId="41" borderId="7" xfId="4" applyNumberFormat="1" applyFont="1" applyFill="1" applyBorder="1" applyAlignment="1">
      <alignment horizontal="center"/>
    </xf>
    <xf numFmtId="0" fontId="93" fillId="41" borderId="7" xfId="4" applyFont="1" applyFill="1" applyBorder="1" applyAlignment="1">
      <alignment horizontal="center"/>
    </xf>
    <xf numFmtId="170" fontId="78" fillId="0" borderId="0" xfId="4" applyNumberFormat="1" applyFont="1"/>
    <xf numFmtId="0" fontId="105" fillId="0" borderId="0" xfId="4" applyFont="1" applyAlignment="1">
      <alignment horizontal="right"/>
    </xf>
    <xf numFmtId="0" fontId="81" fillId="0" borderId="84" xfId="4" applyFont="1" applyBorder="1"/>
    <xf numFmtId="170" fontId="82" fillId="0" borderId="84" xfId="4" applyNumberFormat="1" applyFont="1" applyBorder="1" applyAlignment="1">
      <alignment horizontal="right"/>
    </xf>
    <xf numFmtId="169" fontId="82" fillId="0" borderId="84" xfId="4" applyNumberFormat="1" applyFont="1" applyBorder="1" applyAlignment="1">
      <alignment horizontal="right"/>
    </xf>
    <xf numFmtId="169" fontId="82" fillId="0" borderId="85" xfId="4" applyNumberFormat="1" applyFont="1" applyBorder="1" applyAlignment="1">
      <alignment horizontal="right"/>
    </xf>
    <xf numFmtId="0" fontId="81" fillId="0" borderId="86" xfId="4" applyFont="1" applyBorder="1"/>
    <xf numFmtId="170" fontId="82" fillId="0" borderId="86" xfId="4" applyNumberFormat="1" applyFont="1" applyBorder="1" applyAlignment="1">
      <alignment horizontal="right"/>
    </xf>
    <xf numFmtId="169" fontId="82" fillId="0" borderId="86" xfId="4" applyNumberFormat="1" applyFont="1" applyBorder="1" applyAlignment="1">
      <alignment horizontal="right"/>
    </xf>
    <xf numFmtId="169" fontId="82" fillId="0" borderId="87" xfId="4" applyNumberFormat="1" applyFont="1" applyBorder="1" applyAlignment="1">
      <alignment horizontal="right"/>
    </xf>
    <xf numFmtId="9" fontId="106" fillId="0" borderId="0" xfId="5" applyFont="1" applyFill="1" applyAlignment="1">
      <alignment horizontal="center"/>
    </xf>
    <xf numFmtId="9" fontId="106" fillId="0" borderId="0" xfId="5" applyFont="1" applyAlignment="1">
      <alignment horizontal="center"/>
    </xf>
    <xf numFmtId="0" fontId="81" fillId="0" borderId="88" xfId="4" applyFont="1" applyBorder="1"/>
    <xf numFmtId="170" fontId="82" fillId="0" borderId="88" xfId="4" applyNumberFormat="1" applyFont="1" applyBorder="1" applyAlignment="1">
      <alignment horizontal="right"/>
    </xf>
    <xf numFmtId="169" fontId="82" fillId="0" borderId="88" xfId="4" applyNumberFormat="1" applyFont="1" applyBorder="1" applyAlignment="1">
      <alignment horizontal="right"/>
    </xf>
    <xf numFmtId="169" fontId="82" fillId="0" borderId="89" xfId="4" applyNumberFormat="1" applyFont="1" applyBorder="1" applyAlignment="1">
      <alignment horizontal="right"/>
    </xf>
    <xf numFmtId="3" fontId="79" fillId="4" borderId="7" xfId="4" applyNumberFormat="1" applyFont="1" applyFill="1" applyBorder="1"/>
    <xf numFmtId="169" fontId="79" fillId="4" borderId="7" xfId="4" applyNumberFormat="1" applyFont="1" applyFill="1" applyBorder="1"/>
    <xf numFmtId="0" fontId="103" fillId="0" borderId="0" xfId="4" applyFont="1" applyAlignment="1">
      <alignment horizontal="center"/>
    </xf>
    <xf numFmtId="1" fontId="78" fillId="0" borderId="0" xfId="4" applyNumberFormat="1" applyFont="1"/>
    <xf numFmtId="0" fontId="107" fillId="4" borderId="42" xfId="4" applyFont="1" applyFill="1" applyBorder="1"/>
    <xf numFmtId="3" fontId="79" fillId="42" borderId="7" xfId="0" applyNumberFormat="1" applyFont="1" applyFill="1" applyBorder="1"/>
    <xf numFmtId="0" fontId="81" fillId="0" borderId="42" xfId="4" applyFont="1" applyBorder="1"/>
    <xf numFmtId="170" fontId="82" fillId="0" borderId="42" xfId="4" applyNumberFormat="1" applyFont="1" applyBorder="1" applyAlignment="1">
      <alignment horizontal="right"/>
    </xf>
    <xf numFmtId="169" fontId="82" fillId="0" borderId="7" xfId="4" applyNumberFormat="1" applyFont="1" applyBorder="1" applyAlignment="1">
      <alignment horizontal="right"/>
    </xf>
    <xf numFmtId="169" fontId="81" fillId="0" borderId="0" xfId="4" applyNumberFormat="1" applyFont="1"/>
    <xf numFmtId="0" fontId="104" fillId="4" borderId="42" xfId="4" applyFont="1" applyFill="1" applyBorder="1"/>
    <xf numFmtId="0" fontId="93" fillId="40" borderId="54" xfId="4" applyFont="1" applyFill="1" applyBorder="1" applyAlignment="1">
      <alignment horizontal="right"/>
    </xf>
    <xf numFmtId="169" fontId="93" fillId="41" borderId="75" xfId="4" applyNumberFormat="1" applyFont="1" applyFill="1" applyBorder="1" applyAlignment="1">
      <alignment horizontal="center"/>
    </xf>
    <xf numFmtId="0" fontId="93" fillId="41" borderId="75" xfId="4" applyFont="1" applyFill="1" applyBorder="1" applyAlignment="1">
      <alignment horizontal="center"/>
    </xf>
    <xf numFmtId="170" fontId="82" fillId="0" borderId="90" xfId="4" applyNumberFormat="1" applyFont="1" applyBorder="1" applyAlignment="1">
      <alignment horizontal="right"/>
    </xf>
    <xf numFmtId="180" fontId="81" fillId="0" borderId="7" xfId="5" applyNumberFormat="1" applyFont="1" applyFill="1" applyBorder="1" applyAlignment="1">
      <alignment horizontal="center" vertical="center"/>
    </xf>
    <xf numFmtId="9" fontId="108" fillId="0" borderId="91" xfId="17" applyNumberFormat="1" applyFont="1" applyBorder="1" applyAlignment="1" applyProtection="1">
      <alignment horizontal="center"/>
    </xf>
    <xf numFmtId="9" fontId="82" fillId="0" borderId="88" xfId="17" applyNumberFormat="1" applyFont="1" applyBorder="1" applyAlignment="1" applyProtection="1">
      <alignment horizontal="center"/>
    </xf>
    <xf numFmtId="171" fontId="82" fillId="0" borderId="89" xfId="17" applyNumberFormat="1" applyFont="1" applyBorder="1" applyAlignment="1" applyProtection="1">
      <alignment horizontal="right"/>
    </xf>
    <xf numFmtId="9" fontId="78" fillId="0" borderId="0" xfId="17" applyNumberFormat="1" applyFont="1" applyAlignment="1" applyProtection="1">
      <alignment horizontal="center"/>
    </xf>
    <xf numFmtId="2" fontId="0" fillId="0" borderId="0" xfId="0" applyNumberFormat="1"/>
    <xf numFmtId="3" fontId="0" fillId="0" borderId="0" xfId="0" applyNumberFormat="1"/>
    <xf numFmtId="167" fontId="14" fillId="0" borderId="12" xfId="7" applyFont="1" applyFill="1" applyBorder="1" applyAlignment="1">
      <alignment horizontal="right"/>
    </xf>
    <xf numFmtId="167" fontId="14" fillId="0" borderId="32" xfId="7" applyFont="1" applyFill="1" applyBorder="1" applyAlignment="1">
      <alignment horizontal="right"/>
    </xf>
    <xf numFmtId="167" fontId="14" fillId="0" borderId="17" xfId="7" applyFont="1" applyFill="1" applyBorder="1" applyAlignment="1">
      <alignment horizontal="right"/>
    </xf>
    <xf numFmtId="167" fontId="14" fillId="0" borderId="13" xfId="7" applyFont="1" applyFill="1" applyBorder="1" applyAlignment="1">
      <alignment horizontal="right"/>
    </xf>
    <xf numFmtId="167" fontId="14" fillId="0" borderId="31" xfId="7" applyFont="1" applyFill="1" applyBorder="1" applyAlignment="1">
      <alignment horizontal="right"/>
    </xf>
    <xf numFmtId="167" fontId="14" fillId="0" borderId="4" xfId="7" applyFont="1" applyFill="1" applyBorder="1" applyAlignment="1">
      <alignment horizontal="right"/>
    </xf>
    <xf numFmtId="167" fontId="30" fillId="0" borderId="13" xfId="7" applyFont="1" applyFill="1" applyBorder="1" applyAlignment="1">
      <alignment horizontal="right"/>
    </xf>
    <xf numFmtId="167" fontId="30" fillId="0" borderId="31" xfId="7" applyFont="1" applyFill="1" applyBorder="1" applyAlignment="1">
      <alignment horizontal="right"/>
    </xf>
    <xf numFmtId="167" fontId="17" fillId="15" borderId="93" xfId="7" applyFont="1" applyFill="1" applyBorder="1" applyAlignment="1">
      <alignment horizontal="right"/>
    </xf>
    <xf numFmtId="167" fontId="17" fillId="15" borderId="23" xfId="7" applyFont="1" applyFill="1" applyBorder="1" applyAlignment="1">
      <alignment horizontal="right"/>
    </xf>
    <xf numFmtId="10" fontId="17" fillId="15" borderId="23" xfId="1" applyNumberFormat="1" applyFont="1" applyFill="1" applyBorder="1" applyAlignment="1">
      <alignment horizontal="center"/>
    </xf>
    <xf numFmtId="167" fontId="17" fillId="15" borderId="24" xfId="7" applyFont="1" applyFill="1" applyBorder="1" applyAlignment="1">
      <alignment horizontal="right"/>
    </xf>
    <xf numFmtId="167" fontId="14" fillId="0" borderId="0" xfId="7" applyFont="1" applyFill="1" applyBorder="1" applyAlignment="1">
      <alignment horizontal="right"/>
    </xf>
    <xf numFmtId="10" fontId="14" fillId="0" borderId="0" xfId="1" applyNumberFormat="1" applyFont="1" applyFill="1" applyBorder="1" applyAlignment="1">
      <alignment horizontal="center"/>
    </xf>
    <xf numFmtId="167" fontId="30" fillId="0" borderId="0" xfId="7" applyFont="1" applyFill="1" applyBorder="1" applyAlignment="1">
      <alignment horizontal="right"/>
    </xf>
    <xf numFmtId="10" fontId="30" fillId="0" borderId="0" xfId="1" applyNumberFormat="1" applyFont="1" applyFill="1" applyBorder="1" applyAlignment="1">
      <alignment horizontal="center"/>
    </xf>
    <xf numFmtId="0" fontId="109" fillId="43" borderId="22" xfId="4" applyFont="1" applyFill="1" applyBorder="1"/>
    <xf numFmtId="0" fontId="10" fillId="43" borderId="23" xfId="4" applyFont="1" applyFill="1" applyBorder="1"/>
    <xf numFmtId="0" fontId="10" fillId="43" borderId="15" xfId="4" applyFont="1" applyFill="1" applyBorder="1"/>
    <xf numFmtId="10" fontId="10" fillId="43" borderId="15" xfId="1" applyNumberFormat="1" applyFont="1" applyFill="1" applyBorder="1" applyAlignment="1">
      <alignment horizontal="center"/>
    </xf>
    <xf numFmtId="0" fontId="110" fillId="43" borderId="15" xfId="4" applyFont="1" applyFill="1" applyBorder="1"/>
    <xf numFmtId="177" fontId="20" fillId="44" borderId="71" xfId="7" applyNumberFormat="1" applyFont="1" applyFill="1" applyBorder="1" applyAlignment="1">
      <alignment horizontal="center" vertical="center" wrapText="1"/>
    </xf>
    <xf numFmtId="0" fontId="17" fillId="44" borderId="37" xfId="4" applyFont="1" applyFill="1" applyBorder="1" applyAlignment="1">
      <alignment horizontal="center"/>
    </xf>
    <xf numFmtId="0" fontId="17" fillId="44" borderId="40" xfId="4" applyFont="1" applyFill="1" applyBorder="1" applyAlignment="1">
      <alignment horizontal="center"/>
    </xf>
    <xf numFmtId="177" fontId="20" fillId="44" borderId="94" xfId="7" applyNumberFormat="1" applyFont="1" applyFill="1" applyBorder="1" applyAlignment="1">
      <alignment horizontal="center" vertical="center" wrapText="1"/>
    </xf>
    <xf numFmtId="167" fontId="20" fillId="44" borderId="29" xfId="7" applyFont="1" applyFill="1" applyBorder="1" applyAlignment="1">
      <alignment horizontal="right" vertical="center"/>
    </xf>
    <xf numFmtId="177" fontId="17" fillId="44" borderId="95" xfId="7" applyNumberFormat="1" applyFont="1" applyFill="1" applyBorder="1" applyAlignment="1">
      <alignment vertical="center" wrapText="1"/>
    </xf>
    <xf numFmtId="0" fontId="59" fillId="20" borderId="3" xfId="4" applyFont="1" applyFill="1" applyBorder="1"/>
    <xf numFmtId="167" fontId="111" fillId="0" borderId="0" xfId="7" applyFont="1"/>
    <xf numFmtId="0" fontId="48" fillId="0" borderId="0" xfId="9" applyFont="1"/>
    <xf numFmtId="0" fontId="48" fillId="0" borderId="0" xfId="9" applyFont="1" applyAlignment="1">
      <alignment horizontal="center" vertical="center"/>
    </xf>
    <xf numFmtId="173" fontId="48" fillId="17" borderId="0" xfId="9" applyNumberFormat="1" applyFont="1" applyFill="1"/>
    <xf numFmtId="0" fontId="48" fillId="17" borderId="48" xfId="9" applyFont="1" applyFill="1" applyBorder="1" applyAlignment="1">
      <alignment horizontal="center" vertical="center"/>
    </xf>
    <xf numFmtId="173" fontId="48" fillId="17" borderId="48" xfId="9" applyNumberFormat="1" applyFont="1" applyFill="1" applyBorder="1" applyAlignment="1">
      <alignment horizontal="right" vertical="center"/>
    </xf>
    <xf numFmtId="39" fontId="48" fillId="17" borderId="0" xfId="9" applyNumberFormat="1" applyFont="1" applyFill="1" applyAlignment="1">
      <alignment vertical="center"/>
    </xf>
    <xf numFmtId="0" fontId="46" fillId="0" borderId="47" xfId="9" applyFont="1" applyBorder="1" applyAlignment="1">
      <alignment horizontal="center" vertical="center"/>
    </xf>
    <xf numFmtId="177" fontId="17" fillId="15" borderId="23" xfId="7" applyNumberFormat="1" applyFont="1" applyFill="1" applyBorder="1" applyAlignment="1">
      <alignment horizontal="right"/>
    </xf>
    <xf numFmtId="177" fontId="17" fillId="15" borderId="23" xfId="1" applyNumberFormat="1" applyFont="1" applyFill="1" applyBorder="1" applyAlignment="1">
      <alignment horizontal="center"/>
    </xf>
    <xf numFmtId="177" fontId="17" fillId="15" borderId="35" xfId="7" applyNumberFormat="1" applyFont="1" applyFill="1" applyBorder="1" applyAlignment="1">
      <alignment horizontal="right"/>
    </xf>
    <xf numFmtId="177" fontId="17" fillId="15" borderId="24" xfId="7" applyNumberFormat="1" applyFont="1" applyFill="1" applyBorder="1" applyAlignment="1">
      <alignment horizontal="right"/>
    </xf>
    <xf numFmtId="177" fontId="14" fillId="0" borderId="0" xfId="7" applyNumberFormat="1" applyFont="1" applyFill="1" applyBorder="1" applyAlignment="1">
      <alignment horizontal="right"/>
    </xf>
    <xf numFmtId="177" fontId="14" fillId="0" borderId="0" xfId="1" applyNumberFormat="1" applyFont="1" applyFill="1" applyBorder="1" applyAlignment="1">
      <alignment horizontal="center"/>
    </xf>
    <xf numFmtId="177" fontId="14" fillId="0" borderId="32" xfId="7" applyNumberFormat="1" applyFont="1" applyFill="1" applyBorder="1" applyAlignment="1">
      <alignment horizontal="right"/>
    </xf>
    <xf numFmtId="177" fontId="14" fillId="0" borderId="17" xfId="7" applyNumberFormat="1" applyFont="1" applyFill="1" applyBorder="1" applyAlignment="1">
      <alignment horizontal="right"/>
    </xf>
    <xf numFmtId="177" fontId="14" fillId="0" borderId="31" xfId="7" applyNumberFormat="1" applyFont="1" applyFill="1" applyBorder="1" applyAlignment="1">
      <alignment horizontal="right"/>
    </xf>
    <xf numFmtId="177" fontId="14" fillId="0" borderId="4" xfId="7" applyNumberFormat="1" applyFont="1" applyFill="1" applyBorder="1" applyAlignment="1">
      <alignment horizontal="right"/>
    </xf>
    <xf numFmtId="177" fontId="29" fillId="15" borderId="14" xfId="7" applyNumberFormat="1" applyFont="1" applyFill="1" applyBorder="1" applyAlignment="1">
      <alignment horizontal="right"/>
    </xf>
    <xf numFmtId="177" fontId="17" fillId="15" borderId="33" xfId="7" applyNumberFormat="1" applyFont="1" applyFill="1" applyBorder="1" applyAlignment="1">
      <alignment horizontal="right"/>
    </xf>
    <xf numFmtId="177" fontId="30" fillId="0" borderId="0" xfId="7" applyNumberFormat="1" applyFont="1" applyFill="1" applyBorder="1" applyAlignment="1">
      <alignment horizontal="right"/>
    </xf>
    <xf numFmtId="177" fontId="30" fillId="0" borderId="31" xfId="7" applyNumberFormat="1" applyFont="1" applyFill="1" applyBorder="1" applyAlignment="1">
      <alignment horizontal="right"/>
    </xf>
    <xf numFmtId="177" fontId="30" fillId="0" borderId="0" xfId="1" applyNumberFormat="1" applyFont="1" applyFill="1" applyBorder="1" applyAlignment="1">
      <alignment horizontal="center"/>
    </xf>
    <xf numFmtId="177" fontId="20" fillId="44" borderId="29" xfId="7" applyNumberFormat="1" applyFont="1" applyFill="1" applyBorder="1" applyAlignment="1">
      <alignment horizontal="right" vertical="center"/>
    </xf>
    <xf numFmtId="0" fontId="112" fillId="0" borderId="0" xfId="20"/>
    <xf numFmtId="0" fontId="112" fillId="0" borderId="48" xfId="20" applyBorder="1" applyAlignment="1">
      <alignment vertical="center"/>
    </xf>
    <xf numFmtId="173" fontId="112" fillId="0" borderId="48" xfId="20" applyNumberFormat="1" applyBorder="1" applyAlignment="1">
      <alignment horizontal="right" vertical="center"/>
    </xf>
    <xf numFmtId="174" fontId="112" fillId="0" borderId="48" xfId="20" applyNumberFormat="1" applyBorder="1" applyAlignment="1">
      <alignment horizontal="left" vertical="center"/>
    </xf>
    <xf numFmtId="0" fontId="113" fillId="0" borderId="0" xfId="20" applyFont="1"/>
    <xf numFmtId="0" fontId="112" fillId="0" borderId="0" xfId="20" applyAlignment="1">
      <alignment vertical="center"/>
    </xf>
    <xf numFmtId="174" fontId="112" fillId="0" borderId="0" xfId="20" applyNumberFormat="1" applyAlignment="1">
      <alignment horizontal="left" vertical="center"/>
    </xf>
    <xf numFmtId="0" fontId="114" fillId="0" borderId="0" xfId="20" applyFont="1"/>
    <xf numFmtId="0" fontId="115" fillId="0" borderId="0" xfId="20" applyFont="1"/>
    <xf numFmtId="167" fontId="0" fillId="0" borderId="1" xfId="7" applyFont="1" applyBorder="1"/>
    <xf numFmtId="14" fontId="0" fillId="0" borderId="2" xfId="0" applyNumberFormat="1" applyBorder="1"/>
    <xf numFmtId="167" fontId="0" fillId="0" borderId="3" xfId="7" applyFont="1" applyBorder="1"/>
    <xf numFmtId="14" fontId="0" fillId="0" borderId="4" xfId="0" applyNumberFormat="1" applyBorder="1"/>
    <xf numFmtId="167" fontId="0" fillId="0" borderId="5" xfId="7" applyFont="1" applyBorder="1"/>
    <xf numFmtId="14" fontId="0" fillId="0" borderId="6" xfId="0" applyNumberFormat="1" applyBorder="1"/>
    <xf numFmtId="0" fontId="42" fillId="9" borderId="48" xfId="9" applyFill="1" applyBorder="1" applyAlignment="1">
      <alignment vertical="center"/>
    </xf>
    <xf numFmtId="173" fontId="42" fillId="9" borderId="48" xfId="9" applyNumberFormat="1" applyFill="1" applyBorder="1" applyAlignment="1">
      <alignment horizontal="right" vertical="center"/>
    </xf>
    <xf numFmtId="179" fontId="42" fillId="9" borderId="48" xfId="9" applyNumberFormat="1" applyFill="1" applyBorder="1" applyAlignment="1">
      <alignment vertical="center"/>
    </xf>
    <xf numFmtId="14" fontId="0" fillId="0" borderId="0" xfId="7" applyNumberFormat="1" applyFont="1"/>
    <xf numFmtId="0" fontId="42" fillId="0" borderId="48" xfId="20" applyFont="1" applyBorder="1" applyAlignment="1">
      <alignment vertical="center"/>
    </xf>
    <xf numFmtId="181" fontId="83" fillId="0" borderId="76" xfId="0" applyNumberFormat="1" applyFont="1" applyBorder="1"/>
    <xf numFmtId="4" fontId="78" fillId="0" borderId="0" xfId="4" applyNumberFormat="1" applyFont="1" applyAlignment="1">
      <alignment horizontal="center"/>
    </xf>
    <xf numFmtId="3" fontId="78" fillId="0" borderId="0" xfId="4" applyNumberFormat="1" applyFont="1" applyAlignment="1">
      <alignment horizontal="center"/>
    </xf>
    <xf numFmtId="170" fontId="83" fillId="0" borderId="54" xfId="4" applyNumberFormat="1" applyFont="1" applyBorder="1" applyAlignment="1">
      <alignment horizontal="right"/>
    </xf>
    <xf numFmtId="43" fontId="81" fillId="0" borderId="0" xfId="19" applyFont="1" applyBorder="1" applyAlignment="1">
      <alignment horizontal="right"/>
    </xf>
    <xf numFmtId="176" fontId="0" fillId="0" borderId="0" xfId="0" applyNumberFormat="1"/>
    <xf numFmtId="0" fontId="116" fillId="0" borderId="0" xfId="0" applyFont="1"/>
    <xf numFmtId="0" fontId="116" fillId="29" borderId="54" xfId="0" applyFont="1" applyFill="1" applyBorder="1"/>
    <xf numFmtId="17" fontId="116" fillId="29" borderId="54" xfId="0" applyNumberFormat="1" applyFont="1" applyFill="1" applyBorder="1"/>
    <xf numFmtId="166" fontId="0" fillId="0" borderId="0" xfId="6" applyFont="1" applyFill="1"/>
    <xf numFmtId="179" fontId="48" fillId="0" borderId="48" xfId="9" applyNumberFormat="1" applyFont="1" applyBorder="1" applyAlignment="1">
      <alignment vertical="center"/>
    </xf>
    <xf numFmtId="167" fontId="42" fillId="0" borderId="0" xfId="9" applyNumberFormat="1"/>
    <xf numFmtId="39" fontId="42" fillId="0" borderId="48" xfId="9" applyNumberFormat="1" applyBorder="1" applyAlignment="1">
      <alignment vertical="center"/>
    </xf>
    <xf numFmtId="167" fontId="48" fillId="0" borderId="0" xfId="7" applyFont="1" applyAlignment="1">
      <alignment vertical="center"/>
    </xf>
    <xf numFmtId="0" fontId="116" fillId="11" borderId="54" xfId="0" applyFont="1" applyFill="1" applyBorder="1"/>
    <xf numFmtId="177" fontId="116" fillId="29" borderId="54" xfId="7" applyNumberFormat="1" applyFont="1" applyFill="1" applyBorder="1"/>
    <xf numFmtId="177" fontId="25" fillId="17" borderId="0" xfId="7" applyNumberFormat="1" applyFont="1" applyFill="1"/>
    <xf numFmtId="177" fontId="25" fillId="0" borderId="0" xfId="7" applyNumberFormat="1" applyFont="1" applyFill="1"/>
    <xf numFmtId="177" fontId="0" fillId="33" borderId="0" xfId="7" applyNumberFormat="1" applyFont="1" applyFill="1"/>
    <xf numFmtId="176" fontId="0" fillId="33" borderId="0" xfId="0" applyNumberFormat="1" applyFill="1"/>
    <xf numFmtId="167" fontId="0" fillId="33" borderId="0" xfId="7" applyFont="1" applyFill="1"/>
    <xf numFmtId="177" fontId="20" fillId="12" borderId="71" xfId="7" applyNumberFormat="1" applyFont="1" applyFill="1" applyBorder="1" applyAlignment="1">
      <alignment horizontal="center" vertical="center" wrapText="1"/>
    </xf>
    <xf numFmtId="186" fontId="0" fillId="0" borderId="0" xfId="1" applyNumberFormat="1" applyFont="1" applyAlignment="1">
      <alignment horizontal="center"/>
    </xf>
    <xf numFmtId="177" fontId="0" fillId="9" borderId="0" xfId="7" applyNumberFormat="1" applyFont="1" applyFill="1"/>
    <xf numFmtId="173" fontId="112" fillId="9" borderId="48" xfId="20" applyNumberFormat="1" applyFill="1" applyBorder="1" applyAlignment="1">
      <alignment horizontal="right" vertical="center"/>
    </xf>
    <xf numFmtId="165" fontId="14" fillId="0" borderId="13" xfId="7" applyNumberFormat="1" applyFont="1" applyFill="1" applyBorder="1" applyAlignment="1">
      <alignment horizontal="right"/>
    </xf>
    <xf numFmtId="167" fontId="44" fillId="0" borderId="0" xfId="7" applyFont="1"/>
    <xf numFmtId="167" fontId="45" fillId="0" borderId="0" xfId="7" applyFont="1"/>
    <xf numFmtId="167" fontId="47" fillId="0" borderId="0" xfId="7" applyFont="1"/>
    <xf numFmtId="0" fontId="87" fillId="0" borderId="0" xfId="4" applyFont="1" applyAlignment="1">
      <alignment horizontal="right"/>
    </xf>
    <xf numFmtId="0" fontId="117" fillId="0" borderId="0" xfId="4" applyFont="1" applyAlignment="1">
      <alignment horizontal="left"/>
    </xf>
    <xf numFmtId="0" fontId="117" fillId="0" borderId="0" xfId="4" applyFont="1" applyAlignment="1">
      <alignment horizontal="right"/>
    </xf>
    <xf numFmtId="187" fontId="78" fillId="0" borderId="0" xfId="4" applyNumberFormat="1" applyFont="1"/>
    <xf numFmtId="41" fontId="78" fillId="0" borderId="0" xfId="4" applyNumberFormat="1" applyFont="1"/>
    <xf numFmtId="0" fontId="93" fillId="40" borderId="54" xfId="4" applyFont="1" applyFill="1" applyBorder="1" applyAlignment="1">
      <alignment horizontal="center"/>
    </xf>
    <xf numFmtId="187" fontId="0" fillId="0" borderId="0" xfId="0" applyNumberFormat="1"/>
    <xf numFmtId="169" fontId="91" fillId="0" borderId="0" xfId="4" applyNumberFormat="1" applyFont="1"/>
    <xf numFmtId="0" fontId="25" fillId="0" borderId="0" xfId="0" applyFont="1" applyAlignment="1">
      <alignment horizontal="center" vertical="center" wrapText="1"/>
    </xf>
    <xf numFmtId="173" fontId="112" fillId="0" borderId="0" xfId="20" applyNumberFormat="1" applyAlignment="1">
      <alignment horizontal="right" vertical="center"/>
    </xf>
    <xf numFmtId="174" fontId="0" fillId="0" borderId="0" xfId="0" applyNumberFormat="1" applyAlignment="1">
      <alignment horizontal="left" vertical="center"/>
    </xf>
    <xf numFmtId="176" fontId="40" fillId="0" borderId="0" xfId="0" applyNumberFormat="1" applyFont="1"/>
    <xf numFmtId="176" fontId="41" fillId="29" borderId="54" xfId="0" applyNumberFormat="1" applyFont="1" applyFill="1" applyBorder="1"/>
    <xf numFmtId="0" fontId="118" fillId="29" borderId="54" xfId="0" applyFont="1" applyFill="1" applyBorder="1"/>
    <xf numFmtId="176" fontId="119" fillId="0" borderId="0" xfId="0" applyNumberFormat="1" applyFont="1"/>
    <xf numFmtId="176" fontId="118" fillId="29" borderId="54" xfId="0" applyNumberFormat="1" applyFont="1" applyFill="1" applyBorder="1"/>
    <xf numFmtId="0" fontId="73" fillId="17" borderId="0" xfId="0" applyFont="1" applyFill="1"/>
    <xf numFmtId="177" fontId="73" fillId="17" borderId="0" xfId="7" applyNumberFormat="1" applyFont="1" applyFill="1"/>
    <xf numFmtId="177" fontId="41" fillId="29" borderId="54" xfId="7" applyNumberFormat="1" applyFont="1" applyFill="1" applyBorder="1"/>
    <xf numFmtId="177" fontId="40" fillId="0" borderId="0" xfId="7" applyNumberFormat="1" applyFont="1" applyAlignment="1">
      <alignment horizontal="center"/>
    </xf>
    <xf numFmtId="177" fontId="40" fillId="33" borderId="0" xfId="7" applyNumberFormat="1" applyFont="1" applyFill="1"/>
    <xf numFmtId="14" fontId="41" fillId="29" borderId="54" xfId="7" applyNumberFormat="1" applyFont="1" applyFill="1" applyBorder="1"/>
    <xf numFmtId="0" fontId="73" fillId="0" borderId="0" xfId="0" applyFont="1"/>
    <xf numFmtId="177" fontId="73" fillId="0" borderId="0" xfId="7" applyNumberFormat="1" applyFont="1" applyFill="1"/>
    <xf numFmtId="0" fontId="72" fillId="0" borderId="0" xfId="9" applyFont="1" applyAlignment="1">
      <alignment vertical="center"/>
    </xf>
    <xf numFmtId="0" fontId="0" fillId="20" borderId="48" xfId="0" applyFill="1" applyBorder="1" applyAlignment="1">
      <alignment vertical="center"/>
    </xf>
    <xf numFmtId="173" fontId="0" fillId="20" borderId="48" xfId="0" applyNumberFormat="1" applyFill="1" applyBorder="1" applyAlignment="1">
      <alignment horizontal="right" vertical="center"/>
    </xf>
    <xf numFmtId="177" fontId="11" fillId="0" borderId="41" xfId="7" applyNumberFormat="1" applyFont="1" applyFill="1" applyBorder="1" applyAlignment="1">
      <alignment horizontal="right"/>
    </xf>
    <xf numFmtId="177" fontId="11" fillId="0" borderId="41" xfId="7" applyNumberFormat="1" applyFont="1" applyFill="1" applyBorder="1"/>
    <xf numFmtId="177" fontId="14" fillId="0" borderId="0" xfId="7" applyNumberFormat="1" applyFont="1" applyFill="1" applyBorder="1"/>
    <xf numFmtId="177" fontId="14" fillId="0" borderId="41" xfId="7" applyNumberFormat="1" applyFont="1" applyFill="1" applyBorder="1"/>
    <xf numFmtId="177" fontId="11" fillId="0" borderId="0" xfId="7" applyNumberFormat="1" applyFont="1" applyFill="1" applyBorder="1"/>
    <xf numFmtId="177" fontId="11" fillId="0" borderId="0" xfId="7" applyNumberFormat="1" applyFont="1" applyFill="1" applyBorder="1" applyAlignment="1">
      <alignment horizontal="right"/>
    </xf>
    <xf numFmtId="177" fontId="11" fillId="0" borderId="11" xfId="7" applyNumberFormat="1" applyFont="1" applyFill="1" applyBorder="1"/>
    <xf numFmtId="177" fontId="14" fillId="0" borderId="10" xfId="7" applyNumberFormat="1" applyFont="1" applyFill="1" applyBorder="1" applyAlignment="1">
      <alignment horizontal="right"/>
    </xf>
    <xf numFmtId="177" fontId="14" fillId="0" borderId="10" xfId="7" applyNumberFormat="1" applyFont="1" applyFill="1" applyBorder="1"/>
    <xf numFmtId="177" fontId="25" fillId="0" borderId="0" xfId="7" applyNumberFormat="1" applyFont="1" applyAlignment="1">
      <alignment horizontal="center"/>
    </xf>
    <xf numFmtId="0" fontId="37" fillId="46" borderId="69" xfId="0" applyFont="1" applyFill="1" applyBorder="1"/>
    <xf numFmtId="17" fontId="20" fillId="46" borderId="71" xfId="7" applyNumberFormat="1" applyFont="1" applyFill="1" applyBorder="1" applyAlignment="1">
      <alignment horizontal="center" vertical="center"/>
    </xf>
    <xf numFmtId="17" fontId="20" fillId="46" borderId="96" xfId="7" applyNumberFormat="1" applyFont="1" applyFill="1" applyBorder="1" applyAlignment="1">
      <alignment horizontal="center" vertical="center"/>
    </xf>
    <xf numFmtId="17" fontId="20" fillId="46" borderId="72" xfId="7" applyNumberFormat="1" applyFont="1" applyFill="1" applyBorder="1" applyAlignment="1">
      <alignment horizontal="center" vertical="center"/>
    </xf>
    <xf numFmtId="0" fontId="20" fillId="46" borderId="44" xfId="0" applyFont="1" applyFill="1" applyBorder="1" applyAlignment="1">
      <alignment horizontal="center"/>
    </xf>
    <xf numFmtId="9" fontId="11" fillId="0" borderId="4" xfId="1" applyFont="1" applyFill="1" applyBorder="1" applyAlignment="1">
      <alignment horizontal="center"/>
    </xf>
    <xf numFmtId="0" fontId="20" fillId="46" borderId="3" xfId="0" applyFont="1" applyFill="1" applyBorder="1" applyAlignment="1">
      <alignment horizontal="center"/>
    </xf>
    <xf numFmtId="177" fontId="11" fillId="0" borderId="4" xfId="7" applyNumberFormat="1" applyFont="1" applyFill="1" applyBorder="1" applyAlignment="1">
      <alignment horizontal="center"/>
    </xf>
    <xf numFmtId="0" fontId="120" fillId="46" borderId="3" xfId="0" applyFont="1" applyFill="1" applyBorder="1" applyAlignment="1">
      <alignment horizontal="left"/>
    </xf>
    <xf numFmtId="9" fontId="14" fillId="0" borderId="4" xfId="1" applyFont="1" applyFill="1" applyBorder="1" applyAlignment="1">
      <alignment horizontal="center"/>
    </xf>
    <xf numFmtId="9" fontId="14" fillId="0" borderId="61" xfId="1" applyFont="1" applyFill="1" applyBorder="1" applyAlignment="1">
      <alignment horizontal="center"/>
    </xf>
    <xf numFmtId="0" fontId="38" fillId="46" borderId="3" xfId="0" applyFont="1" applyFill="1" applyBorder="1" applyAlignment="1">
      <alignment horizontal="right"/>
    </xf>
    <xf numFmtId="0" fontId="38" fillId="46" borderId="3" xfId="0" applyFont="1" applyFill="1" applyBorder="1" applyAlignment="1">
      <alignment horizontal="left"/>
    </xf>
    <xf numFmtId="0" fontId="38" fillId="46" borderId="5" xfId="0" applyFont="1" applyFill="1" applyBorder="1" applyAlignment="1">
      <alignment horizontal="right"/>
    </xf>
    <xf numFmtId="177" fontId="11" fillId="0" borderId="21" xfId="7" applyNumberFormat="1" applyFont="1" applyFill="1" applyBorder="1"/>
    <xf numFmtId="9" fontId="11" fillId="0" borderId="6" xfId="1" applyFont="1" applyFill="1" applyBorder="1" applyAlignment="1">
      <alignment horizontal="center"/>
    </xf>
    <xf numFmtId="177" fontId="10" fillId="0" borderId="41" xfId="7" applyNumberFormat="1" applyFont="1" applyFill="1" applyBorder="1"/>
    <xf numFmtId="9" fontId="10" fillId="0" borderId="4" xfId="1" applyFont="1" applyFill="1" applyBorder="1" applyAlignment="1">
      <alignment horizontal="center"/>
    </xf>
    <xf numFmtId="0" fontId="122" fillId="0" borderId="0" xfId="4" applyFont="1" applyAlignment="1">
      <alignment wrapText="1"/>
    </xf>
    <xf numFmtId="167" fontId="25" fillId="0" borderId="0" xfId="0" applyNumberFormat="1" applyFont="1"/>
    <xf numFmtId="0" fontId="121" fillId="37" borderId="42" xfId="4" applyFont="1" applyFill="1" applyBorder="1" applyAlignment="1">
      <alignment wrapText="1"/>
    </xf>
    <xf numFmtId="177" fontId="121" fillId="37" borderId="54" xfId="7" applyNumberFormat="1" applyFont="1" applyFill="1" applyBorder="1" applyAlignment="1">
      <alignment wrapText="1"/>
    </xf>
    <xf numFmtId="177" fontId="122" fillId="0" borderId="0" xfId="7" applyNumberFormat="1" applyFont="1" applyAlignment="1">
      <alignment wrapText="1"/>
    </xf>
    <xf numFmtId="167" fontId="17" fillId="48" borderId="0" xfId="7" applyFont="1" applyFill="1"/>
    <xf numFmtId="0" fontId="121" fillId="37" borderId="0" xfId="4" applyFont="1" applyFill="1" applyAlignment="1">
      <alignment wrapText="1"/>
    </xf>
    <xf numFmtId="177" fontId="121" fillId="37" borderId="0" xfId="7" applyNumberFormat="1" applyFont="1" applyFill="1" applyBorder="1" applyAlignment="1">
      <alignment wrapText="1"/>
    </xf>
    <xf numFmtId="4" fontId="122" fillId="0" borderId="0" xfId="4" applyNumberFormat="1" applyFont="1" applyAlignment="1">
      <alignment wrapText="1"/>
    </xf>
    <xf numFmtId="0" fontId="123" fillId="4" borderId="7" xfId="4" applyFont="1" applyFill="1" applyBorder="1" applyAlignment="1">
      <alignment horizontal="left" vertical="center" wrapText="1"/>
    </xf>
    <xf numFmtId="0" fontId="132" fillId="0" borderId="0" xfId="4" applyFont="1" applyAlignment="1">
      <alignment wrapText="1"/>
    </xf>
    <xf numFmtId="177" fontId="133" fillId="47" borderId="37" xfId="7" applyNumberFormat="1" applyFont="1" applyFill="1" applyBorder="1" applyAlignment="1">
      <alignment horizontal="center" vertical="center" wrapText="1"/>
    </xf>
    <xf numFmtId="17" fontId="133" fillId="47" borderId="37" xfId="7" applyNumberFormat="1" applyFont="1" applyFill="1" applyBorder="1" applyAlignment="1">
      <alignment horizontal="center" vertical="center" wrapText="1"/>
    </xf>
    <xf numFmtId="177" fontId="134" fillId="0" borderId="21" xfId="7" applyNumberFormat="1" applyFont="1" applyBorder="1" applyAlignment="1">
      <alignment horizontal="right" wrapText="1"/>
    </xf>
    <xf numFmtId="0" fontId="134" fillId="0" borderId="21" xfId="4" applyFont="1" applyBorder="1" applyAlignment="1">
      <alignment wrapText="1"/>
    </xf>
    <xf numFmtId="177" fontId="132" fillId="0" borderId="0" xfId="7" applyNumberFormat="1" applyFont="1" applyAlignment="1">
      <alignment wrapText="1"/>
    </xf>
    <xf numFmtId="4" fontId="132" fillId="0" borderId="0" xfId="4" applyNumberFormat="1" applyFont="1" applyAlignment="1">
      <alignment wrapText="1"/>
    </xf>
    <xf numFmtId="0" fontId="132" fillId="0" borderId="0" xfId="4" applyFont="1" applyAlignment="1">
      <alignment horizontal="center" vertical="center" wrapText="1"/>
    </xf>
    <xf numFmtId="3" fontId="132" fillId="0" borderId="0" xfId="4" applyNumberFormat="1" applyFont="1" applyAlignment="1">
      <alignment wrapText="1"/>
    </xf>
    <xf numFmtId="0" fontId="132" fillId="0" borderId="0" xfId="4" applyFont="1" applyAlignment="1">
      <alignment vertical="center" wrapText="1"/>
    </xf>
    <xf numFmtId="177" fontId="133" fillId="47" borderId="7" xfId="7" applyNumberFormat="1" applyFont="1" applyFill="1" applyBorder="1" applyAlignment="1">
      <alignment horizontal="center" vertical="center" wrapText="1"/>
    </xf>
    <xf numFmtId="17" fontId="133" fillId="47" borderId="7" xfId="7" applyNumberFormat="1" applyFont="1" applyFill="1" applyBorder="1" applyAlignment="1">
      <alignment horizontal="center" vertical="center" wrapText="1"/>
    </xf>
    <xf numFmtId="0" fontId="134" fillId="0" borderId="7" xfId="4" applyFont="1" applyBorder="1" applyAlignment="1">
      <alignment wrapText="1"/>
    </xf>
    <xf numFmtId="177" fontId="134" fillId="0" borderId="42" xfId="7" applyNumberFormat="1" applyFont="1" applyBorder="1" applyAlignment="1">
      <alignment horizontal="right" wrapText="1"/>
    </xf>
    <xf numFmtId="0" fontId="132" fillId="0" borderId="38" xfId="4" applyFont="1" applyBorder="1" applyAlignment="1">
      <alignment wrapText="1"/>
    </xf>
    <xf numFmtId="177" fontId="132" fillId="0" borderId="97" xfId="7" applyNumberFormat="1" applyFont="1" applyBorder="1" applyAlignment="1">
      <alignment horizontal="right" wrapText="1"/>
    </xf>
    <xf numFmtId="0" fontId="134" fillId="0" borderId="46" xfId="4" applyFont="1" applyBorder="1" applyAlignment="1">
      <alignment wrapText="1"/>
    </xf>
    <xf numFmtId="177" fontId="134" fillId="0" borderId="68" xfId="7" applyNumberFormat="1" applyFont="1" applyBorder="1" applyAlignment="1">
      <alignment horizontal="right" wrapText="1"/>
    </xf>
    <xf numFmtId="0" fontId="132" fillId="0" borderId="37" xfId="4" applyFont="1" applyBorder="1" applyAlignment="1">
      <alignment wrapText="1"/>
    </xf>
    <xf numFmtId="0" fontId="135" fillId="0" borderId="7" xfId="4" applyFont="1" applyBorder="1" applyAlignment="1">
      <alignment wrapText="1"/>
    </xf>
    <xf numFmtId="177" fontId="135" fillId="0" borderId="42" xfId="7" applyNumberFormat="1" applyFont="1" applyBorder="1" applyAlignment="1">
      <alignment horizontal="right" wrapText="1"/>
    </xf>
    <xf numFmtId="177" fontId="132" fillId="0" borderId="0" xfId="4" applyNumberFormat="1" applyFont="1" applyAlignment="1">
      <alignment wrapText="1"/>
    </xf>
    <xf numFmtId="0" fontId="136" fillId="0" borderId="0" xfId="0" applyFont="1" applyAlignment="1">
      <alignment wrapText="1"/>
    </xf>
    <xf numFmtId="4" fontId="137" fillId="0" borderId="0" xfId="0" applyNumberFormat="1" applyFont="1"/>
    <xf numFmtId="177" fontId="136" fillId="0" borderId="0" xfId="7" applyNumberFormat="1" applyFont="1" applyAlignment="1">
      <alignment wrapText="1"/>
    </xf>
    <xf numFmtId="177" fontId="134" fillId="0" borderId="7" xfId="7" applyNumberFormat="1" applyFont="1" applyBorder="1" applyAlignment="1">
      <alignment horizontal="right" wrapText="1"/>
    </xf>
    <xf numFmtId="177" fontId="132" fillId="0" borderId="38" xfId="7" applyNumberFormat="1" applyFont="1" applyBorder="1" applyAlignment="1">
      <alignment horizontal="right" wrapText="1"/>
    </xf>
    <xf numFmtId="177" fontId="134" fillId="0" borderId="46" xfId="7" applyNumberFormat="1" applyFont="1" applyBorder="1" applyAlignment="1">
      <alignment horizontal="right" wrapText="1"/>
    </xf>
    <xf numFmtId="177" fontId="135" fillId="0" borderId="7" xfId="7" applyNumberFormat="1" applyFont="1" applyBorder="1" applyAlignment="1">
      <alignment horizontal="right" wrapText="1"/>
    </xf>
    <xf numFmtId="0" fontId="138" fillId="0" borderId="0" xfId="21"/>
    <xf numFmtId="173" fontId="138" fillId="0" borderId="0" xfId="21" applyNumberFormat="1" applyAlignment="1">
      <alignment horizontal="right" vertical="center"/>
    </xf>
    <xf numFmtId="0" fontId="138" fillId="0" borderId="0" xfId="21" applyAlignment="1">
      <alignment vertical="center"/>
    </xf>
    <xf numFmtId="174" fontId="138" fillId="0" borderId="0" xfId="21" applyNumberFormat="1" applyAlignment="1">
      <alignment horizontal="left" vertical="center"/>
    </xf>
    <xf numFmtId="0" fontId="139" fillId="0" borderId="0" xfId="21" applyFont="1"/>
    <xf numFmtId="173" fontId="138" fillId="0" borderId="48" xfId="21" applyNumberFormat="1" applyBorder="1" applyAlignment="1">
      <alignment horizontal="right" vertical="center"/>
    </xf>
    <xf numFmtId="0" fontId="138" fillId="0" borderId="48" xfId="21" applyBorder="1" applyAlignment="1">
      <alignment vertical="center"/>
    </xf>
    <xf numFmtId="174" fontId="138" fillId="0" borderId="48" xfId="21" applyNumberFormat="1" applyBorder="1" applyAlignment="1">
      <alignment horizontal="left" vertical="center"/>
    </xf>
    <xf numFmtId="0" fontId="140" fillId="0" borderId="0" xfId="21" applyFont="1"/>
    <xf numFmtId="0" fontId="141" fillId="0" borderId="0" xfId="21" applyFont="1"/>
    <xf numFmtId="177" fontId="134" fillId="18" borderId="7" xfId="7" applyNumberFormat="1" applyFont="1" applyFill="1" applyBorder="1" applyAlignment="1">
      <alignment horizontal="center" vertical="center" wrapText="1"/>
    </xf>
    <xf numFmtId="177" fontId="134" fillId="17" borderId="7" xfId="7" applyNumberFormat="1" applyFont="1" applyFill="1" applyBorder="1" applyAlignment="1">
      <alignment horizontal="center" vertical="center" wrapText="1"/>
    </xf>
    <xf numFmtId="0" fontId="142" fillId="4" borderId="7" xfId="4" applyFont="1" applyFill="1" applyBorder="1" applyAlignment="1">
      <alignment horizontal="left" vertical="center"/>
    </xf>
    <xf numFmtId="177" fontId="132" fillId="0" borderId="0" xfId="7" applyNumberFormat="1" applyFont="1" applyBorder="1" applyAlignment="1">
      <alignment wrapText="1"/>
    </xf>
    <xf numFmtId="4" fontId="134" fillId="0" borderId="0" xfId="4" applyNumberFormat="1" applyFont="1" applyAlignment="1">
      <alignment wrapText="1"/>
    </xf>
    <xf numFmtId="167" fontId="0" fillId="0" borderId="0" xfId="10" applyFont="1" applyFill="1" applyBorder="1"/>
    <xf numFmtId="0" fontId="143" fillId="49" borderId="0" xfId="9" applyFont="1" applyFill="1" applyAlignment="1">
      <alignment horizontal="center" vertical="center"/>
    </xf>
    <xf numFmtId="0" fontId="144" fillId="3" borderId="0" xfId="9" applyFont="1" applyFill="1"/>
    <xf numFmtId="0" fontId="144" fillId="0" borderId="0" xfId="9" applyFont="1"/>
    <xf numFmtId="0" fontId="145" fillId="0" borderId="0" xfId="9" applyFont="1"/>
    <xf numFmtId="17" fontId="143" fillId="49" borderId="41" xfId="10" applyNumberFormat="1" applyFont="1" applyFill="1" applyBorder="1" applyAlignment="1">
      <alignment horizontal="center" vertical="center"/>
    </xf>
    <xf numFmtId="167" fontId="144" fillId="3" borderId="41" xfId="10" applyFont="1" applyFill="1" applyBorder="1"/>
    <xf numFmtId="167" fontId="145" fillId="0" borderId="41" xfId="10" applyFont="1" applyFill="1" applyBorder="1"/>
    <xf numFmtId="167" fontId="40" fillId="0" borderId="41" xfId="10" applyFont="1" applyBorder="1"/>
    <xf numFmtId="167" fontId="0" fillId="0" borderId="41" xfId="10" applyFont="1" applyBorder="1"/>
    <xf numFmtId="17" fontId="143" fillId="49" borderId="38" xfId="10" applyNumberFormat="1" applyFont="1" applyFill="1" applyBorder="1" applyAlignment="1">
      <alignment horizontal="center" vertical="center"/>
    </xf>
    <xf numFmtId="167" fontId="144" fillId="3" borderId="38" xfId="10" applyFont="1" applyFill="1" applyBorder="1"/>
    <xf numFmtId="167" fontId="145" fillId="0" borderId="38" xfId="10" applyFont="1" applyFill="1" applyBorder="1"/>
    <xf numFmtId="167" fontId="40" fillId="0" borderId="38" xfId="10" applyFont="1" applyBorder="1"/>
    <xf numFmtId="167" fontId="0" fillId="0" borderId="38" xfId="10" applyFont="1" applyBorder="1"/>
    <xf numFmtId="173" fontId="145" fillId="0" borderId="38" xfId="9" applyNumberFormat="1" applyFont="1" applyBorder="1" applyAlignment="1">
      <alignment horizontal="right" vertical="center"/>
    </xf>
    <xf numFmtId="173" fontId="145" fillId="0" borderId="98" xfId="9" applyNumberFormat="1" applyFont="1" applyBorder="1" applyAlignment="1">
      <alignment horizontal="right" vertical="center"/>
    </xf>
    <xf numFmtId="167" fontId="143" fillId="49" borderId="41" xfId="10" applyFont="1" applyFill="1" applyBorder="1" applyAlignment="1">
      <alignment horizontal="center" vertical="center"/>
    </xf>
    <xf numFmtId="0" fontId="143" fillId="50" borderId="0" xfId="9" applyFont="1" applyFill="1"/>
    <xf numFmtId="167" fontId="143" fillId="50" borderId="38" xfId="10" applyFont="1" applyFill="1" applyBorder="1"/>
    <xf numFmtId="167" fontId="143" fillId="50" borderId="41" xfId="10" applyFont="1" applyFill="1" applyBorder="1"/>
    <xf numFmtId="0" fontId="60" fillId="3" borderId="7" xfId="0" applyFont="1" applyFill="1" applyBorder="1" applyAlignment="1">
      <alignment wrapText="1"/>
    </xf>
    <xf numFmtId="0" fontId="60" fillId="3" borderId="7" xfId="0" applyFont="1" applyFill="1" applyBorder="1" applyAlignment="1">
      <alignment horizontal="center"/>
    </xf>
    <xf numFmtId="0" fontId="60" fillId="0" borderId="7" xfId="0" applyFont="1" applyBorder="1" applyAlignment="1">
      <alignment wrapText="1"/>
    </xf>
    <xf numFmtId="177" fontId="61" fillId="0" borderId="7" xfId="7" applyNumberFormat="1" applyFont="1" applyBorder="1" applyAlignment="1">
      <alignment horizontal="center" vertical="center"/>
    </xf>
    <xf numFmtId="167" fontId="61" fillId="0" borderId="7" xfId="7" applyFont="1" applyBorder="1" applyAlignment="1">
      <alignment horizontal="center" vertical="center"/>
    </xf>
    <xf numFmtId="188" fontId="146" fillId="0" borderId="7" xfId="17" applyNumberFormat="1" applyFont="1" applyBorder="1" applyAlignment="1">
      <alignment horizontal="center"/>
      <protection locked="0"/>
    </xf>
    <xf numFmtId="14" fontId="61" fillId="0" borderId="7" xfId="7" applyNumberFormat="1" applyFont="1" applyBorder="1" applyAlignment="1">
      <alignment horizontal="center" vertical="center"/>
    </xf>
    <xf numFmtId="177" fontId="60" fillId="3" borderId="7" xfId="7" applyNumberFormat="1" applyFont="1" applyFill="1" applyBorder="1" applyAlignment="1">
      <alignment horizontal="center" vertical="center"/>
    </xf>
    <xf numFmtId="0" fontId="60" fillId="3" borderId="7" xfId="0" applyFont="1" applyFill="1" applyBorder="1"/>
    <xf numFmtId="0" fontId="147" fillId="0" borderId="0" xfId="22" applyAlignment="1"/>
    <xf numFmtId="177" fontId="132" fillId="0" borderId="0" xfId="7" applyNumberFormat="1" applyFont="1" applyFill="1" applyBorder="1" applyAlignment="1">
      <alignment wrapText="1"/>
    </xf>
    <xf numFmtId="177" fontId="132" fillId="0" borderId="0" xfId="7" applyNumberFormat="1" applyFont="1" applyFill="1" applyBorder="1" applyAlignment="1">
      <alignment horizontal="right" wrapText="1"/>
    </xf>
    <xf numFmtId="0" fontId="132" fillId="0" borderId="4" xfId="4" applyFont="1" applyBorder="1" applyAlignment="1">
      <alignment wrapText="1"/>
    </xf>
    <xf numFmtId="0" fontId="132" fillId="0" borderId="3" xfId="4" applyFont="1" applyBorder="1" applyAlignment="1">
      <alignment wrapText="1"/>
    </xf>
    <xf numFmtId="0" fontId="132" fillId="0" borderId="5" xfId="4" applyFont="1" applyBorder="1" applyAlignment="1">
      <alignment wrapText="1"/>
    </xf>
    <xf numFmtId="4" fontId="134" fillId="0" borderId="21" xfId="4" applyNumberFormat="1" applyFont="1" applyBorder="1" applyAlignment="1">
      <alignment wrapText="1"/>
    </xf>
    <xf numFmtId="177" fontId="134" fillId="0" borderId="0" xfId="7" applyNumberFormat="1" applyFont="1" applyFill="1" applyBorder="1" applyAlignment="1">
      <alignment horizontal="right" wrapText="1"/>
    </xf>
    <xf numFmtId="0" fontId="132" fillId="0" borderId="21" xfId="4" applyFont="1" applyBorder="1" applyAlignment="1">
      <alignment wrapText="1"/>
    </xf>
    <xf numFmtId="0" fontId="134" fillId="0" borderId="8" xfId="4" applyFont="1" applyBorder="1" applyAlignment="1">
      <alignment wrapText="1"/>
    </xf>
    <xf numFmtId="0" fontId="134" fillId="51" borderId="0" xfId="4" applyFont="1" applyFill="1" applyAlignment="1">
      <alignment wrapText="1"/>
    </xf>
    <xf numFmtId="167" fontId="134" fillId="51" borderId="0" xfId="7" applyFont="1" applyFill="1" applyAlignment="1">
      <alignment wrapText="1"/>
    </xf>
    <xf numFmtId="0" fontId="25" fillId="0" borderId="0" xfId="0" applyFont="1" applyAlignment="1">
      <alignment horizontal="center"/>
    </xf>
    <xf numFmtId="167" fontId="25" fillId="0" borderId="0" xfId="7" applyFont="1" applyAlignment="1">
      <alignment horizontal="center"/>
    </xf>
    <xf numFmtId="0" fontId="121" fillId="37" borderId="42" xfId="4" applyFont="1" applyFill="1" applyBorder="1"/>
    <xf numFmtId="0" fontId="121" fillId="37" borderId="54" xfId="4" applyFont="1" applyFill="1" applyBorder="1"/>
    <xf numFmtId="0" fontId="121" fillId="37" borderId="75" xfId="4" applyFont="1" applyFill="1" applyBorder="1"/>
    <xf numFmtId="0" fontId="122" fillId="0" borderId="0" xfId="4" applyFont="1"/>
    <xf numFmtId="0" fontId="124" fillId="0" borderId="0" xfId="4" applyFont="1" applyAlignment="1">
      <alignment horizontal="left"/>
    </xf>
    <xf numFmtId="40" fontId="125" fillId="0" borderId="0" xfId="4" applyNumberFormat="1" applyFont="1" applyAlignment="1">
      <alignment horizontal="left"/>
    </xf>
    <xf numFmtId="181" fontId="131" fillId="0" borderId="76" xfId="0" applyNumberFormat="1" applyFont="1" applyBorder="1" applyAlignment="1">
      <alignment horizontal="center"/>
    </xf>
    <xf numFmtId="181" fontId="131" fillId="0" borderId="0" xfId="4" applyNumberFormat="1" applyFont="1"/>
    <xf numFmtId="0" fontId="125" fillId="0" borderId="0" xfId="4" applyFont="1" applyAlignment="1">
      <alignment horizontal="left"/>
    </xf>
    <xf numFmtId="181" fontId="131" fillId="0" borderId="76" xfId="4" applyNumberFormat="1" applyFont="1" applyBorder="1"/>
    <xf numFmtId="3" fontId="131" fillId="0" borderId="76" xfId="4" applyNumberFormat="1" applyFont="1" applyBorder="1" applyAlignment="1">
      <alignment horizontal="center"/>
    </xf>
    <xf numFmtId="3" fontId="131" fillId="0" borderId="0" xfId="4" applyNumberFormat="1" applyFont="1"/>
    <xf numFmtId="3" fontId="122" fillId="0" borderId="0" xfId="4" applyNumberFormat="1" applyFont="1"/>
    <xf numFmtId="0" fontId="126" fillId="0" borderId="39" xfId="4" applyFont="1" applyBorder="1" applyAlignment="1">
      <alignment horizontal="center"/>
    </xf>
    <xf numFmtId="9" fontId="131" fillId="0" borderId="76" xfId="17" applyNumberFormat="1" applyFont="1" applyBorder="1" applyProtection="1"/>
    <xf numFmtId="0" fontId="123" fillId="4" borderId="7" xfId="4" applyFont="1" applyFill="1" applyBorder="1"/>
    <xf numFmtId="0" fontId="124" fillId="0" borderId="0" xfId="4" applyFont="1" applyAlignment="1">
      <alignment horizontal="right"/>
    </xf>
    <xf numFmtId="0" fontId="126" fillId="0" borderId="7" xfId="4" applyFont="1" applyBorder="1" applyAlignment="1">
      <alignment horizontal="center"/>
    </xf>
    <xf numFmtId="0" fontId="127" fillId="40" borderId="7" xfId="4" applyFont="1" applyFill="1" applyBorder="1" applyAlignment="1">
      <alignment horizontal="center"/>
    </xf>
    <xf numFmtId="0" fontId="148" fillId="41" borderId="7" xfId="4" applyFont="1" applyFill="1" applyBorder="1" applyAlignment="1">
      <alignment horizontal="center"/>
    </xf>
    <xf numFmtId="0" fontId="124" fillId="0" borderId="7" xfId="4" applyFont="1" applyBorder="1"/>
    <xf numFmtId="170" fontId="126" fillId="0" borderId="42" xfId="4" applyNumberFormat="1" applyFont="1" applyBorder="1" applyAlignment="1">
      <alignment horizontal="right"/>
    </xf>
    <xf numFmtId="169" fontId="126" fillId="0" borderId="75" xfId="0" applyNumberFormat="1" applyFont="1" applyBorder="1" applyAlignment="1">
      <alignment horizontal="right"/>
    </xf>
    <xf numFmtId="10" fontId="128" fillId="0" borderId="75" xfId="4" applyNumberFormat="1" applyFont="1" applyBorder="1" applyAlignment="1">
      <alignment horizontal="right"/>
    </xf>
    <xf numFmtId="0" fontId="128" fillId="0" borderId="7" xfId="4" applyFont="1" applyBorder="1" applyAlignment="1">
      <alignment horizontal="left"/>
    </xf>
    <xf numFmtId="0" fontId="122" fillId="0" borderId="38" xfId="4" applyFont="1" applyBorder="1"/>
    <xf numFmtId="170" fontId="125" fillId="0" borderId="97" xfId="0" applyNumberFormat="1" applyFont="1" applyBorder="1" applyAlignment="1">
      <alignment horizontal="right"/>
    </xf>
    <xf numFmtId="169" fontId="125" fillId="0" borderId="41" xfId="0" applyNumberFormat="1" applyFont="1" applyBorder="1" applyAlignment="1">
      <alignment horizontal="right"/>
    </xf>
    <xf numFmtId="170" fontId="125" fillId="0" borderId="99" xfId="4" applyNumberFormat="1" applyFont="1" applyBorder="1" applyAlignment="1">
      <alignment horizontal="right"/>
    </xf>
    <xf numFmtId="10" fontId="128" fillId="0" borderId="100" xfId="4" applyNumberFormat="1" applyFont="1" applyBorder="1" applyAlignment="1">
      <alignment horizontal="right"/>
    </xf>
    <xf numFmtId="0" fontId="128" fillId="0" borderId="37" xfId="4" applyFont="1" applyBorder="1" applyAlignment="1">
      <alignment horizontal="left"/>
    </xf>
    <xf numFmtId="170" fontId="125" fillId="0" borderId="97" xfId="4" applyNumberFormat="1" applyFont="1" applyBorder="1" applyAlignment="1">
      <alignment horizontal="right"/>
    </xf>
    <xf numFmtId="10" fontId="128" fillId="0" borderId="41" xfId="4" applyNumberFormat="1" applyFont="1" applyBorder="1" applyAlignment="1">
      <alignment horizontal="right"/>
    </xf>
    <xf numFmtId="0" fontId="128" fillId="0" borderId="38" xfId="4" applyFont="1" applyBorder="1" applyAlignment="1">
      <alignment horizontal="left"/>
    </xf>
    <xf numFmtId="10" fontId="128" fillId="0" borderId="41" xfId="0" applyNumberFormat="1" applyFont="1" applyBorder="1" applyAlignment="1">
      <alignment horizontal="right"/>
    </xf>
    <xf numFmtId="0" fontId="124" fillId="0" borderId="46" xfId="4" applyFont="1" applyBorder="1"/>
    <xf numFmtId="170" fontId="126" fillId="0" borderId="68" xfId="4" applyNumberFormat="1" applyFont="1" applyBorder="1" applyAlignment="1">
      <alignment horizontal="right"/>
    </xf>
    <xf numFmtId="169" fontId="126" fillId="0" borderId="11" xfId="0" applyNumberFormat="1" applyFont="1" applyBorder="1" applyAlignment="1">
      <alignment horizontal="right"/>
    </xf>
    <xf numFmtId="10" fontId="128" fillId="0" borderId="11" xfId="4" applyNumberFormat="1" applyFont="1" applyBorder="1" applyAlignment="1">
      <alignment horizontal="right"/>
    </xf>
    <xf numFmtId="0" fontId="128" fillId="0" borderId="46" xfId="4" applyFont="1" applyBorder="1" applyAlignment="1">
      <alignment horizontal="left"/>
    </xf>
    <xf numFmtId="0" fontId="122" fillId="0" borderId="37" xfId="4" applyFont="1" applyBorder="1"/>
    <xf numFmtId="170" fontId="122" fillId="0" borderId="0" xfId="4" applyNumberFormat="1" applyFont="1"/>
    <xf numFmtId="169" fontId="122" fillId="0" borderId="38" xfId="4" applyNumberFormat="1" applyFont="1" applyBorder="1" applyAlignment="1">
      <alignment horizontal="left"/>
    </xf>
    <xf numFmtId="0" fontId="122" fillId="0" borderId="38" xfId="4" applyFont="1" applyBorder="1" applyAlignment="1">
      <alignment horizontal="left"/>
    </xf>
    <xf numFmtId="170" fontId="126" fillId="0" borderId="11" xfId="4" applyNumberFormat="1" applyFont="1" applyBorder="1" applyAlignment="1">
      <alignment horizontal="right"/>
    </xf>
    <xf numFmtId="0" fontId="122" fillId="0" borderId="46" xfId="4" applyFont="1" applyBorder="1" applyAlignment="1">
      <alignment horizontal="right"/>
    </xf>
    <xf numFmtId="0" fontId="129" fillId="0" borderId="0" xfId="0" applyFont="1"/>
    <xf numFmtId="169" fontId="126" fillId="0" borderId="11" xfId="4" applyNumberFormat="1" applyFont="1" applyBorder="1" applyAlignment="1">
      <alignment horizontal="right"/>
    </xf>
    <xf numFmtId="0" fontId="122" fillId="0" borderId="38" xfId="4" applyFont="1" applyBorder="1" applyAlignment="1">
      <alignment horizontal="right"/>
    </xf>
    <xf numFmtId="0" fontId="130" fillId="0" borderId="7" xfId="4" applyFont="1" applyBorder="1"/>
    <xf numFmtId="3" fontId="130" fillId="0" borderId="42" xfId="4" applyNumberFormat="1" applyFont="1" applyBorder="1" applyAlignment="1">
      <alignment horizontal="right"/>
    </xf>
    <xf numFmtId="169" fontId="130" fillId="0" borderId="75" xfId="4" applyNumberFormat="1" applyFont="1" applyBorder="1" applyAlignment="1">
      <alignment horizontal="right"/>
    </xf>
    <xf numFmtId="189" fontId="122" fillId="0" borderId="0" xfId="4" applyNumberFormat="1" applyFont="1"/>
    <xf numFmtId="0" fontId="123" fillId="4" borderId="42" xfId="4" applyFont="1" applyFill="1" applyBorder="1"/>
    <xf numFmtId="0" fontId="149" fillId="4" borderId="68" xfId="4" applyFont="1" applyFill="1" applyBorder="1"/>
    <xf numFmtId="169" fontId="127" fillId="41" borderId="7" xfId="4" applyNumberFormat="1" applyFont="1" applyFill="1" applyBorder="1" applyAlignment="1">
      <alignment horizontal="center"/>
    </xf>
    <xf numFmtId="170" fontId="125" fillId="0" borderId="0" xfId="0" applyNumberFormat="1" applyFont="1" applyAlignment="1">
      <alignment horizontal="right"/>
    </xf>
    <xf numFmtId="0" fontId="124" fillId="0" borderId="84" xfId="4" applyFont="1" applyBorder="1"/>
    <xf numFmtId="170" fontId="125" fillId="0" borderId="84" xfId="4" applyNumberFormat="1" applyFont="1" applyBorder="1" applyAlignment="1">
      <alignment horizontal="right"/>
    </xf>
    <xf numFmtId="190" fontId="125" fillId="0" borderId="84" xfId="4" applyNumberFormat="1" applyFont="1" applyBorder="1" applyAlignment="1">
      <alignment horizontal="right"/>
    </xf>
    <xf numFmtId="190" fontId="125" fillId="0" borderId="85" xfId="4" applyNumberFormat="1" applyFont="1" applyBorder="1" applyAlignment="1">
      <alignment horizontal="right"/>
    </xf>
    <xf numFmtId="0" fontId="124" fillId="0" borderId="86" xfId="4" applyFont="1" applyBorder="1"/>
    <xf numFmtId="170" fontId="125" fillId="0" borderId="86" xfId="4" applyNumberFormat="1" applyFont="1" applyBorder="1" applyAlignment="1">
      <alignment horizontal="right"/>
    </xf>
    <xf numFmtId="190" fontId="125" fillId="0" borderId="86" xfId="4" applyNumberFormat="1" applyFont="1" applyBorder="1" applyAlignment="1">
      <alignment horizontal="right"/>
    </xf>
    <xf numFmtId="190" fontId="125" fillId="0" borderId="87" xfId="4" applyNumberFormat="1" applyFont="1" applyBorder="1" applyAlignment="1">
      <alignment horizontal="right"/>
    </xf>
    <xf numFmtId="0" fontId="124" fillId="0" borderId="88" xfId="4" applyFont="1" applyBorder="1"/>
    <xf numFmtId="170" fontId="125" fillId="0" borderId="88" xfId="4" applyNumberFormat="1" applyFont="1" applyBorder="1" applyAlignment="1">
      <alignment horizontal="right"/>
    </xf>
    <xf numFmtId="190" fontId="125" fillId="0" borderId="88" xfId="4" applyNumberFormat="1" applyFont="1" applyBorder="1" applyAlignment="1">
      <alignment horizontal="right"/>
    </xf>
    <xf numFmtId="190" fontId="125" fillId="0" borderId="89" xfId="4" applyNumberFormat="1" applyFont="1" applyBorder="1" applyAlignment="1">
      <alignment horizontal="right"/>
    </xf>
    <xf numFmtId="3" fontId="123" fillId="4" borderId="7" xfId="4" applyNumberFormat="1" applyFont="1" applyFill="1" applyBorder="1"/>
    <xf numFmtId="190" fontId="123" fillId="4" borderId="7" xfId="4" applyNumberFormat="1" applyFont="1" applyFill="1" applyBorder="1"/>
    <xf numFmtId="3" fontId="130" fillId="0" borderId="54" xfId="4" applyNumberFormat="1" applyFont="1" applyBorder="1" applyAlignment="1">
      <alignment horizontal="right"/>
    </xf>
    <xf numFmtId="169" fontId="125" fillId="0" borderId="85" xfId="4" applyNumberFormat="1" applyFont="1" applyBorder="1" applyAlignment="1">
      <alignment horizontal="right"/>
    </xf>
    <xf numFmtId="169" fontId="125" fillId="0" borderId="89" xfId="4" applyNumberFormat="1" applyFont="1" applyBorder="1" applyAlignment="1">
      <alignment horizontal="right"/>
    </xf>
    <xf numFmtId="0" fontId="124" fillId="0" borderId="0" xfId="4" applyFont="1"/>
    <xf numFmtId="0" fontId="150" fillId="4" borderId="42" xfId="4" applyFont="1" applyFill="1" applyBorder="1"/>
    <xf numFmtId="169" fontId="123" fillId="4" borderId="7" xfId="4" applyNumberFormat="1" applyFont="1" applyFill="1" applyBorder="1"/>
    <xf numFmtId="0" fontId="124" fillId="0" borderId="42" xfId="4" applyFont="1" applyBorder="1"/>
    <xf numFmtId="170" fontId="125" fillId="0" borderId="42" xfId="4" applyNumberFormat="1" applyFont="1" applyBorder="1" applyAlignment="1">
      <alignment horizontal="right"/>
    </xf>
    <xf numFmtId="169" fontId="125" fillId="0" borderId="7" xfId="4" applyNumberFormat="1" applyFont="1" applyBorder="1" applyAlignment="1">
      <alignment horizontal="right"/>
    </xf>
    <xf numFmtId="0" fontId="124" fillId="0" borderId="97" xfId="4" applyFont="1" applyBorder="1"/>
    <xf numFmtId="3" fontId="123" fillId="42" borderId="37" xfId="0" applyNumberFormat="1" applyFont="1" applyFill="1" applyBorder="1"/>
    <xf numFmtId="169" fontId="122" fillId="0" borderId="7" xfId="0" applyNumberFormat="1" applyFont="1" applyBorder="1"/>
    <xf numFmtId="0" fontId="124" fillId="0" borderId="68" xfId="4" applyFont="1" applyBorder="1"/>
    <xf numFmtId="171" fontId="124" fillId="0" borderId="46" xfId="0" applyNumberFormat="1" applyFont="1" applyBorder="1"/>
    <xf numFmtId="0" fontId="149" fillId="4" borderId="42" xfId="4" applyFont="1" applyFill="1" applyBorder="1"/>
    <xf numFmtId="0" fontId="127" fillId="40" borderId="42" xfId="4" applyFont="1" applyFill="1" applyBorder="1" applyAlignment="1">
      <alignment horizontal="center"/>
    </xf>
    <xf numFmtId="169" fontId="127" fillId="41" borderId="75" xfId="4" applyNumberFormat="1" applyFont="1" applyFill="1" applyBorder="1" applyAlignment="1">
      <alignment horizontal="center"/>
    </xf>
    <xf numFmtId="169" fontId="125" fillId="0" borderId="87" xfId="4" applyNumberFormat="1" applyFont="1" applyBorder="1" applyAlignment="1">
      <alignment horizontal="right"/>
    </xf>
    <xf numFmtId="10" fontId="124" fillId="0" borderId="7" xfId="5" applyNumberFormat="1" applyFont="1" applyFill="1" applyBorder="1" applyAlignment="1">
      <alignment horizontal="center" vertical="center"/>
    </xf>
    <xf numFmtId="180" fontId="122" fillId="0" borderId="0" xfId="17" applyNumberFormat="1" applyFont="1" applyProtection="1"/>
    <xf numFmtId="3" fontId="134" fillId="0" borderId="21" xfId="4" applyNumberFormat="1" applyFont="1" applyBorder="1" applyAlignment="1">
      <alignment wrapText="1"/>
    </xf>
    <xf numFmtId="3" fontId="132" fillId="0" borderId="21" xfId="4" applyNumberFormat="1" applyFont="1" applyBorder="1" applyAlignment="1">
      <alignment wrapText="1"/>
    </xf>
    <xf numFmtId="191" fontId="134" fillId="0" borderId="6" xfId="4" applyNumberFormat="1" applyFont="1" applyBorder="1" applyAlignment="1">
      <alignment wrapText="1"/>
    </xf>
    <xf numFmtId="192" fontId="134" fillId="0" borderId="21" xfId="4" applyNumberFormat="1" applyFont="1" applyBorder="1" applyAlignment="1">
      <alignment wrapText="1"/>
    </xf>
    <xf numFmtId="192" fontId="134" fillId="0" borderId="6" xfId="4" applyNumberFormat="1" applyFont="1" applyBorder="1" applyAlignment="1">
      <alignment wrapText="1"/>
    </xf>
    <xf numFmtId="17" fontId="46" fillId="0" borderId="0" xfId="21" applyNumberFormat="1" applyFont="1"/>
    <xf numFmtId="173" fontId="138" fillId="22" borderId="0" xfId="21" applyNumberFormat="1" applyFill="1" applyAlignment="1">
      <alignment horizontal="right" vertical="center"/>
    </xf>
    <xf numFmtId="173" fontId="138" fillId="22" borderId="48" xfId="21" applyNumberFormat="1" applyFill="1" applyBorder="1" applyAlignment="1">
      <alignment horizontal="right" vertical="center"/>
    </xf>
    <xf numFmtId="39" fontId="138" fillId="0" borderId="0" xfId="21" applyNumberFormat="1"/>
    <xf numFmtId="177" fontId="132" fillId="22" borderId="38" xfId="7" applyNumberFormat="1" applyFont="1" applyFill="1" applyBorder="1" applyAlignment="1">
      <alignment horizontal="right" wrapText="1"/>
    </xf>
    <xf numFmtId="177" fontId="132" fillId="0" borderId="38" xfId="7" applyNumberFormat="1" applyFont="1" applyFill="1" applyBorder="1" applyAlignment="1">
      <alignment horizontal="right" wrapText="1"/>
    </xf>
    <xf numFmtId="193" fontId="134" fillId="0" borderId="21" xfId="4" applyNumberFormat="1" applyFont="1" applyBorder="1" applyAlignment="1">
      <alignment wrapText="1"/>
    </xf>
    <xf numFmtId="192" fontId="134" fillId="18" borderId="21" xfId="4" applyNumberFormat="1" applyFont="1" applyFill="1" applyBorder="1" applyAlignment="1">
      <alignment wrapText="1"/>
    </xf>
    <xf numFmtId="192" fontId="134" fillId="18" borderId="6" xfId="4" applyNumberFormat="1" applyFont="1" applyFill="1" applyBorder="1" applyAlignment="1">
      <alignment wrapText="1"/>
    </xf>
    <xf numFmtId="177" fontId="134" fillId="18" borderId="42" xfId="7" applyNumberFormat="1" applyFont="1" applyFill="1" applyBorder="1" applyAlignment="1">
      <alignment horizontal="right" wrapText="1"/>
    </xf>
    <xf numFmtId="177" fontId="134" fillId="18" borderId="7" xfId="7" applyNumberFormat="1" applyFont="1" applyFill="1" applyBorder="1" applyAlignment="1">
      <alignment horizontal="right" wrapText="1"/>
    </xf>
    <xf numFmtId="177" fontId="132" fillId="18" borderId="97" xfId="7" applyNumberFormat="1" applyFont="1" applyFill="1" applyBorder="1" applyAlignment="1">
      <alignment horizontal="right" wrapText="1"/>
    </xf>
    <xf numFmtId="177" fontId="132" fillId="18" borderId="38" xfId="7" applyNumberFormat="1" applyFont="1" applyFill="1" applyBorder="1" applyAlignment="1">
      <alignment horizontal="right" wrapText="1"/>
    </xf>
    <xf numFmtId="177" fontId="134" fillId="18" borderId="68" xfId="7" applyNumberFormat="1" applyFont="1" applyFill="1" applyBorder="1" applyAlignment="1">
      <alignment horizontal="right" wrapText="1"/>
    </xf>
    <xf numFmtId="177" fontId="134" fillId="18" borderId="46" xfId="7" applyNumberFormat="1" applyFont="1" applyFill="1" applyBorder="1" applyAlignment="1">
      <alignment horizontal="right" wrapText="1"/>
    </xf>
    <xf numFmtId="177" fontId="135" fillId="18" borderId="42" xfId="7" applyNumberFormat="1" applyFont="1" applyFill="1" applyBorder="1" applyAlignment="1">
      <alignment horizontal="right" wrapText="1"/>
    </xf>
    <xf numFmtId="177" fontId="135" fillId="18" borderId="7" xfId="7" applyNumberFormat="1" applyFont="1" applyFill="1" applyBorder="1" applyAlignment="1">
      <alignment horizontal="right" wrapText="1"/>
    </xf>
    <xf numFmtId="177" fontId="132" fillId="0" borderId="4" xfId="4" applyNumberFormat="1" applyFont="1" applyBorder="1" applyAlignment="1">
      <alignment wrapText="1"/>
    </xf>
    <xf numFmtId="0" fontId="40" fillId="9" borderId="0" xfId="0" applyFont="1" applyFill="1"/>
    <xf numFmtId="176" fontId="40" fillId="9" borderId="0" xfId="0" applyNumberFormat="1" applyFont="1" applyFill="1"/>
    <xf numFmtId="176" fontId="119" fillId="9" borderId="0" xfId="0" applyNumberFormat="1" applyFont="1" applyFill="1"/>
    <xf numFmtId="177" fontId="40" fillId="9" borderId="0" xfId="7" applyNumberFormat="1" applyFont="1" applyFill="1"/>
    <xf numFmtId="177" fontId="40" fillId="9" borderId="0" xfId="7" applyNumberFormat="1" applyFont="1" applyFill="1" applyAlignment="1">
      <alignment horizontal="center"/>
    </xf>
    <xf numFmtId="0" fontId="151" fillId="17" borderId="0" xfId="0" applyFont="1" applyFill="1"/>
    <xf numFmtId="0" fontId="61" fillId="9" borderId="0" xfId="0" applyFont="1" applyFill="1"/>
    <xf numFmtId="176" fontId="61" fillId="9" borderId="0" xfId="0" applyNumberFormat="1" applyFont="1" applyFill="1"/>
    <xf numFmtId="177" fontId="61" fillId="9" borderId="0" xfId="7" applyNumberFormat="1" applyFont="1" applyFill="1"/>
    <xf numFmtId="177" fontId="61" fillId="0" borderId="0" xfId="7" applyNumberFormat="1" applyFont="1"/>
    <xf numFmtId="177" fontId="61" fillId="0" borderId="0" xfId="7" applyNumberFormat="1" applyFont="1" applyFill="1"/>
    <xf numFmtId="177" fontId="60" fillId="17" borderId="0" xfId="7" applyNumberFormat="1" applyFont="1" applyFill="1"/>
    <xf numFmtId="177" fontId="27" fillId="0" borderId="21" xfId="7" applyNumberFormat="1" applyFont="1" applyFill="1" applyBorder="1"/>
    <xf numFmtId="177" fontId="14" fillId="0" borderId="0" xfId="0" applyNumberFormat="1" applyFont="1"/>
    <xf numFmtId="0" fontId="42" fillId="0" borderId="0" xfId="21" applyFont="1" applyAlignment="1">
      <alignment vertical="center"/>
    </xf>
    <xf numFmtId="173" fontId="42" fillId="0" borderId="0" xfId="21" applyNumberFormat="1" applyFont="1" applyAlignment="1">
      <alignment horizontal="right" vertical="center"/>
    </xf>
    <xf numFmtId="177" fontId="133" fillId="47" borderId="100" xfId="7" applyNumberFormat="1" applyFont="1" applyFill="1" applyBorder="1" applyAlignment="1">
      <alignment horizontal="center" vertical="center" wrapText="1"/>
    </xf>
    <xf numFmtId="177" fontId="134" fillId="0" borderId="41" xfId="7" applyNumberFormat="1" applyFont="1" applyFill="1" applyBorder="1" applyAlignment="1">
      <alignment horizontal="right" wrapText="1"/>
    </xf>
    <xf numFmtId="193" fontId="134" fillId="0" borderId="29" xfId="4" applyNumberFormat="1" applyFont="1" applyBorder="1" applyAlignment="1">
      <alignment wrapText="1"/>
    </xf>
    <xf numFmtId="192" fontId="134" fillId="0" borderId="29" xfId="4" applyNumberFormat="1" applyFont="1" applyBorder="1" applyAlignment="1">
      <alignment wrapText="1"/>
    </xf>
    <xf numFmtId="191" fontId="134" fillId="9" borderId="21" xfId="4" applyNumberFormat="1" applyFont="1" applyFill="1" applyBorder="1" applyAlignment="1">
      <alignment wrapText="1"/>
    </xf>
    <xf numFmtId="191" fontId="134" fillId="9" borderId="6" xfId="4" applyNumberFormat="1" applyFont="1" applyFill="1" applyBorder="1" applyAlignment="1">
      <alignment wrapText="1"/>
    </xf>
    <xf numFmtId="0" fontId="134" fillId="0" borderId="5" xfId="4" applyFont="1" applyBorder="1" applyAlignment="1">
      <alignment wrapText="1"/>
    </xf>
    <xf numFmtId="0" fontId="25" fillId="0" borderId="0" xfId="0" applyFont="1" applyAlignment="1">
      <alignment horizontal="center" vertical="center"/>
    </xf>
    <xf numFmtId="0" fontId="153" fillId="0" borderId="0" xfId="24"/>
    <xf numFmtId="173" fontId="153" fillId="0" borderId="0" xfId="24" applyNumberFormat="1" applyAlignment="1">
      <alignment horizontal="right" vertical="center"/>
    </xf>
    <xf numFmtId="0" fontId="153" fillId="0" borderId="0" xfId="24" applyAlignment="1">
      <alignment vertical="center"/>
    </xf>
    <xf numFmtId="174" fontId="153" fillId="0" borderId="0" xfId="24" applyNumberFormat="1" applyAlignment="1">
      <alignment horizontal="left" vertical="center"/>
    </xf>
    <xf numFmtId="0" fontId="154" fillId="0" borderId="0" xfId="24" applyFont="1"/>
    <xf numFmtId="173" fontId="153" fillId="0" borderId="48" xfId="24" applyNumberFormat="1" applyBorder="1" applyAlignment="1">
      <alignment horizontal="right" vertical="center"/>
    </xf>
    <xf numFmtId="0" fontId="153" fillId="0" borderId="48" xfId="24" applyBorder="1" applyAlignment="1">
      <alignment vertical="center"/>
    </xf>
    <xf numFmtId="174" fontId="153" fillId="0" borderId="48" xfId="24" applyNumberFormat="1" applyBorder="1" applyAlignment="1">
      <alignment horizontal="left" vertical="center"/>
    </xf>
    <xf numFmtId="0" fontId="155" fillId="0" borderId="0" xfId="24" applyFont="1"/>
    <xf numFmtId="0" fontId="156" fillId="0" borderId="0" xfId="24" applyFont="1"/>
    <xf numFmtId="0" fontId="157" fillId="0" borderId="48" xfId="24" applyFont="1" applyBorder="1" applyAlignment="1">
      <alignment vertical="center"/>
    </xf>
    <xf numFmtId="174" fontId="157" fillId="0" borderId="48" xfId="24" applyNumberFormat="1" applyFont="1" applyBorder="1" applyAlignment="1">
      <alignment horizontal="left" vertical="center"/>
    </xf>
    <xf numFmtId="173" fontId="157" fillId="0" borderId="48" xfId="24" applyNumberFormat="1" applyFont="1" applyBorder="1" applyAlignment="1">
      <alignment horizontal="right" vertical="center"/>
    </xf>
    <xf numFmtId="39" fontId="153" fillId="0" borderId="0" xfId="24" applyNumberFormat="1"/>
    <xf numFmtId="0" fontId="46" fillId="36" borderId="47" xfId="9" applyFont="1" applyFill="1" applyBorder="1" applyAlignment="1">
      <alignment vertical="center"/>
    </xf>
    <xf numFmtId="0" fontId="46" fillId="36" borderId="47" xfId="9" applyFont="1" applyFill="1" applyBorder="1" applyAlignment="1">
      <alignment vertical="center" wrapText="1"/>
    </xf>
    <xf numFmtId="0" fontId="47" fillId="36" borderId="0" xfId="9" applyFont="1" applyFill="1"/>
    <xf numFmtId="174" fontId="42" fillId="36" borderId="0" xfId="9" applyNumberFormat="1" applyFill="1" applyAlignment="1">
      <alignment horizontal="left" vertical="center"/>
    </xf>
    <xf numFmtId="0" fontId="42" fillId="36" borderId="0" xfId="9" applyFill="1" applyAlignment="1">
      <alignment vertical="center"/>
    </xf>
    <xf numFmtId="173" fontId="42" fillId="36" borderId="0" xfId="9" applyNumberFormat="1" applyFill="1" applyAlignment="1">
      <alignment horizontal="right" vertical="center"/>
    </xf>
    <xf numFmtId="0" fontId="42" fillId="36" borderId="0" xfId="9" applyFill="1"/>
    <xf numFmtId="174" fontId="42" fillId="36" borderId="48" xfId="9" applyNumberFormat="1" applyFill="1" applyBorder="1" applyAlignment="1">
      <alignment horizontal="left" vertical="center"/>
    </xf>
    <xf numFmtId="0" fontId="42" fillId="36" borderId="48" xfId="9" applyFill="1" applyBorder="1" applyAlignment="1">
      <alignment vertical="center"/>
    </xf>
    <xf numFmtId="173" fontId="42" fillId="36" borderId="48" xfId="9" applyNumberFormat="1" applyFill="1" applyBorder="1" applyAlignment="1">
      <alignment horizontal="right" vertical="center"/>
    </xf>
    <xf numFmtId="0" fontId="48" fillId="36" borderId="48" xfId="9" applyFont="1" applyFill="1" applyBorder="1" applyAlignment="1">
      <alignment vertical="center"/>
    </xf>
    <xf numFmtId="173" fontId="48" fillId="36" borderId="48" xfId="9" applyNumberFormat="1" applyFont="1" applyFill="1" applyBorder="1" applyAlignment="1">
      <alignment horizontal="right" vertical="center"/>
    </xf>
    <xf numFmtId="167" fontId="132" fillId="0" borderId="0" xfId="4" applyNumberFormat="1" applyFont="1" applyAlignment="1">
      <alignment wrapText="1"/>
    </xf>
    <xf numFmtId="0" fontId="43" fillId="0" borderId="0" xfId="25" applyFont="1" applyAlignment="1">
      <alignment vertical="center"/>
    </xf>
    <xf numFmtId="0" fontId="44" fillId="0" borderId="0" xfId="25" applyFont="1"/>
    <xf numFmtId="0" fontId="45" fillId="0" borderId="0" xfId="25" applyFont="1" applyAlignment="1">
      <alignment vertical="center"/>
    </xf>
    <xf numFmtId="0" fontId="45" fillId="0" borderId="0" xfId="25" applyFont="1"/>
    <xf numFmtId="0" fontId="42" fillId="0" borderId="0" xfId="25"/>
    <xf numFmtId="0" fontId="46" fillId="0" borderId="47" xfId="25" applyFont="1" applyBorder="1" applyAlignment="1">
      <alignment horizontal="left" vertical="center"/>
    </xf>
    <xf numFmtId="0" fontId="46" fillId="0" borderId="47" xfId="25" applyFont="1" applyBorder="1" applyAlignment="1">
      <alignment horizontal="right" vertical="center"/>
    </xf>
    <xf numFmtId="17" fontId="46" fillId="0" borderId="47" xfId="25" applyNumberFormat="1" applyFont="1" applyBorder="1" applyAlignment="1">
      <alignment horizontal="right" vertical="center"/>
    </xf>
    <xf numFmtId="0" fontId="47" fillId="0" borderId="0" xfId="25" applyFont="1"/>
    <xf numFmtId="0" fontId="46" fillId="0" borderId="47" xfId="25" applyFont="1" applyBorder="1" applyAlignment="1">
      <alignment vertical="center"/>
    </xf>
    <xf numFmtId="0" fontId="42" fillId="0" borderId="0" xfId="25" applyAlignment="1">
      <alignment vertical="center"/>
    </xf>
    <xf numFmtId="174" fontId="42" fillId="0" borderId="0" xfId="25" applyNumberFormat="1" applyAlignment="1">
      <alignment horizontal="left" vertical="center"/>
    </xf>
    <xf numFmtId="173" fontId="42" fillId="0" borderId="0" xfId="25" applyNumberFormat="1" applyAlignment="1">
      <alignment horizontal="right" vertical="center"/>
    </xf>
    <xf numFmtId="173" fontId="42" fillId="32" borderId="0" xfId="25" applyNumberFormat="1" applyFill="1" applyAlignment="1">
      <alignment horizontal="right" vertical="center"/>
    </xf>
    <xf numFmtId="0" fontId="42" fillId="0" borderId="48" xfId="25" applyBorder="1" applyAlignment="1">
      <alignment vertical="center"/>
    </xf>
    <xf numFmtId="174" fontId="42" fillId="0" borderId="48" xfId="25" applyNumberFormat="1" applyBorder="1" applyAlignment="1">
      <alignment horizontal="left" vertical="center"/>
    </xf>
    <xf numFmtId="173" fontId="42" fillId="0" borderId="48" xfId="25" applyNumberFormat="1" applyBorder="1" applyAlignment="1">
      <alignment horizontal="right" vertical="center"/>
    </xf>
    <xf numFmtId="173" fontId="42" fillId="32" borderId="48" xfId="25" applyNumberFormat="1" applyFill="1" applyBorder="1" applyAlignment="1">
      <alignment horizontal="right" vertical="center"/>
    </xf>
    <xf numFmtId="0" fontId="48" fillId="0" borderId="48" xfId="25" applyFont="1" applyBorder="1" applyAlignment="1">
      <alignment vertical="center"/>
    </xf>
    <xf numFmtId="173" fontId="48" fillId="0" borderId="48" xfId="25" applyNumberFormat="1" applyFont="1" applyBorder="1" applyAlignment="1">
      <alignment horizontal="right" vertical="center"/>
    </xf>
    <xf numFmtId="173" fontId="42" fillId="51" borderId="48" xfId="25" applyNumberFormat="1" applyFill="1" applyBorder="1" applyAlignment="1">
      <alignment horizontal="right" vertical="center"/>
    </xf>
    <xf numFmtId="173" fontId="42" fillId="51" borderId="0" xfId="25" applyNumberFormat="1" applyFill="1" applyAlignment="1">
      <alignment horizontal="right" vertical="center"/>
    </xf>
    <xf numFmtId="0" fontId="48" fillId="0" borderId="0" xfId="25" applyFont="1" applyAlignment="1">
      <alignment vertical="center"/>
    </xf>
    <xf numFmtId="173" fontId="48" fillId="0" borderId="0" xfId="25" applyNumberFormat="1" applyFont="1" applyAlignment="1">
      <alignment horizontal="right" vertical="center"/>
    </xf>
    <xf numFmtId="173" fontId="42" fillId="32" borderId="48" xfId="9" applyNumberFormat="1" applyFill="1" applyBorder="1" applyAlignment="1">
      <alignment horizontal="right" vertical="center"/>
    </xf>
    <xf numFmtId="0" fontId="48" fillId="28" borderId="49" xfId="25" applyFont="1" applyFill="1" applyBorder="1" applyAlignment="1">
      <alignment vertical="center"/>
    </xf>
    <xf numFmtId="173" fontId="48" fillId="28" borderId="49" xfId="25" applyNumberFormat="1" applyFont="1" applyFill="1" applyBorder="1" applyAlignment="1">
      <alignment horizontal="right" vertical="center"/>
    </xf>
    <xf numFmtId="0" fontId="42" fillId="32" borderId="0" xfId="25" applyFill="1"/>
    <xf numFmtId="0" fontId="42" fillId="51" borderId="0" xfId="25" applyFill="1"/>
    <xf numFmtId="0" fontId="42" fillId="0" borderId="48" xfId="26" applyBorder="1" applyAlignment="1">
      <alignment vertical="center"/>
    </xf>
    <xf numFmtId="0" fontId="42" fillId="9" borderId="0" xfId="25" applyFill="1"/>
    <xf numFmtId="173" fontId="42" fillId="9" borderId="0" xfId="25" applyNumberFormat="1" applyFill="1" applyAlignment="1">
      <alignment horizontal="right" vertical="center"/>
    </xf>
    <xf numFmtId="173" fontId="42" fillId="9" borderId="48" xfId="25" applyNumberFormat="1" applyFill="1" applyBorder="1" applyAlignment="1">
      <alignment horizontal="right" vertical="center"/>
    </xf>
    <xf numFmtId="167" fontId="25" fillId="0" borderId="0" xfId="7" applyFont="1" applyAlignment="1">
      <alignment horizontal="center" vertical="center"/>
    </xf>
    <xf numFmtId="167" fontId="0" fillId="0" borderId="0" xfId="7" applyFont="1" applyAlignment="1">
      <alignment vertical="center"/>
    </xf>
    <xf numFmtId="167" fontId="1" fillId="0" borderId="0" xfId="7" applyFont="1" applyAlignment="1">
      <alignment vertical="center"/>
    </xf>
    <xf numFmtId="0" fontId="25" fillId="0" borderId="0" xfId="0" applyFont="1" applyAlignment="1">
      <alignment vertical="center"/>
    </xf>
    <xf numFmtId="167" fontId="25" fillId="0" borderId="0" xfId="7" applyFont="1" applyAlignment="1">
      <alignment vertical="center"/>
    </xf>
    <xf numFmtId="167" fontId="0" fillId="9" borderId="0" xfId="7" applyFont="1" applyFill="1" applyAlignment="1">
      <alignment vertical="center"/>
    </xf>
    <xf numFmtId="167" fontId="1" fillId="0" borderId="0" xfId="7" applyFont="1" applyFill="1" applyAlignment="1">
      <alignment vertical="center"/>
    </xf>
    <xf numFmtId="0" fontId="0" fillId="0" borderId="1" xfId="0" applyBorder="1"/>
    <xf numFmtId="0" fontId="0" fillId="0" borderId="5" xfId="0" applyBorder="1"/>
    <xf numFmtId="194" fontId="0" fillId="0" borderId="6" xfId="6" applyNumberFormat="1" applyFont="1" applyBorder="1"/>
    <xf numFmtId="194" fontId="0" fillId="0" borderId="0" xfId="6" applyNumberFormat="1" applyFont="1"/>
    <xf numFmtId="194" fontId="0" fillId="9" borderId="0" xfId="6" applyNumberFormat="1" applyFont="1" applyFill="1"/>
    <xf numFmtId="194" fontId="25" fillId="9" borderId="2" xfId="6" applyNumberFormat="1" applyFont="1" applyFill="1" applyBorder="1"/>
    <xf numFmtId="195" fontId="0" fillId="0" borderId="0" xfId="0" applyNumberFormat="1"/>
    <xf numFmtId="195" fontId="25" fillId="0" borderId="0" xfId="0" applyNumberFormat="1" applyFont="1"/>
    <xf numFmtId="0" fontId="161" fillId="0" borderId="0" xfId="0" applyFont="1"/>
    <xf numFmtId="0" fontId="160" fillId="0" borderId="0" xfId="0" applyFont="1"/>
    <xf numFmtId="0" fontId="159" fillId="0" borderId="0" xfId="0" applyFont="1"/>
    <xf numFmtId="0" fontId="0" fillId="0" borderId="0" xfId="0" applyAlignment="1">
      <alignment vertical="top"/>
    </xf>
    <xf numFmtId="173" fontId="48" fillId="28" borderId="110" xfId="25" applyNumberFormat="1" applyFont="1" applyFill="1" applyBorder="1" applyAlignment="1">
      <alignment horizontal="right" vertical="center"/>
    </xf>
    <xf numFmtId="0" fontId="48" fillId="28" borderId="109" xfId="25" applyFont="1" applyFill="1" applyBorder="1" applyAlignment="1">
      <alignment vertical="center"/>
    </xf>
    <xf numFmtId="173" fontId="42" fillId="0" borderId="105" xfId="25" applyNumberFormat="1" applyBorder="1" applyAlignment="1">
      <alignment horizontal="right" vertical="center"/>
    </xf>
    <xf numFmtId="0" fontId="42" fillId="0" borderId="3" xfId="25" applyBorder="1"/>
    <xf numFmtId="173" fontId="42" fillId="0" borderId="4" xfId="25" applyNumberFormat="1" applyBorder="1" applyAlignment="1">
      <alignment horizontal="right" vertical="center"/>
    </xf>
    <xf numFmtId="0" fontId="46" fillId="0" borderId="111" xfId="25" applyFont="1" applyBorder="1" applyAlignment="1">
      <alignment vertical="center"/>
    </xf>
    <xf numFmtId="0" fontId="46" fillId="0" borderId="112" xfId="25" applyFont="1" applyBorder="1" applyAlignment="1">
      <alignment vertical="center"/>
    </xf>
    <xf numFmtId="0" fontId="42" fillId="0" borderId="4" xfId="25" applyBorder="1"/>
    <xf numFmtId="173" fontId="48" fillId="28" borderId="107" xfId="25" applyNumberFormat="1" applyFont="1" applyFill="1" applyBorder="1" applyAlignment="1">
      <alignment horizontal="right" vertical="center"/>
    </xf>
    <xf numFmtId="173" fontId="48" fillId="0" borderId="105" xfId="25" applyNumberFormat="1" applyFont="1" applyBorder="1" applyAlignment="1">
      <alignment horizontal="right" vertical="center"/>
    </xf>
    <xf numFmtId="0" fontId="48" fillId="0" borderId="104" xfId="25" applyFont="1" applyBorder="1" applyAlignment="1">
      <alignment vertical="center"/>
    </xf>
    <xf numFmtId="173" fontId="42" fillId="0" borderId="0" xfId="25" applyNumberFormat="1"/>
    <xf numFmtId="0" fontId="46" fillId="0" borderId="103" xfId="25" applyFont="1" applyBorder="1" applyAlignment="1">
      <alignment horizontal="right" vertical="center"/>
    </xf>
    <xf numFmtId="0" fontId="46" fillId="0" borderId="102" xfId="25" applyFont="1" applyBorder="1" applyAlignment="1">
      <alignment horizontal="left" vertical="center"/>
    </xf>
    <xf numFmtId="0" fontId="46" fillId="0" borderId="101" xfId="25" applyFont="1" applyBorder="1" applyAlignment="1">
      <alignment vertical="center"/>
    </xf>
    <xf numFmtId="179" fontId="42" fillId="0" borderId="0" xfId="25" applyNumberFormat="1"/>
    <xf numFmtId="0" fontId="163" fillId="0" borderId="113" xfId="0" applyFont="1" applyBorder="1"/>
    <xf numFmtId="0" fontId="163" fillId="0" borderId="0" xfId="0" applyFont="1"/>
    <xf numFmtId="0" fontId="163" fillId="0" borderId="0" xfId="0" applyFont="1" applyAlignment="1">
      <alignment horizontal="center"/>
    </xf>
    <xf numFmtId="0" fontId="0" fillId="0" borderId="114" xfId="0" applyBorder="1"/>
    <xf numFmtId="0" fontId="164" fillId="0" borderId="113" xfId="0" applyFont="1" applyBorder="1"/>
    <xf numFmtId="14" fontId="163" fillId="0" borderId="53" xfId="0" applyNumberFormat="1" applyFont="1" applyBorder="1"/>
    <xf numFmtId="0" fontId="162" fillId="0" borderId="0" xfId="0" applyFont="1"/>
    <xf numFmtId="0" fontId="162" fillId="0" borderId="0" xfId="0" applyFont="1" applyAlignment="1">
      <alignment horizontal="center"/>
    </xf>
    <xf numFmtId="0" fontId="0" fillId="0" borderId="115" xfId="0" applyBorder="1"/>
    <xf numFmtId="14" fontId="0" fillId="0" borderId="0" xfId="7" applyNumberFormat="1" applyFont="1" applyAlignment="1">
      <alignment vertical="center"/>
    </xf>
    <xf numFmtId="0" fontId="151" fillId="0" borderId="101" xfId="25" applyFont="1" applyBorder="1" applyAlignment="1">
      <alignment horizontal="left" vertical="center"/>
    </xf>
    <xf numFmtId="0" fontId="151" fillId="0" borderId="102" xfId="25" applyFont="1" applyBorder="1" applyAlignment="1">
      <alignment horizontal="right" vertical="center"/>
    </xf>
    <xf numFmtId="0" fontId="151" fillId="0" borderId="103" xfId="25" applyFont="1" applyBorder="1" applyAlignment="1">
      <alignment horizontal="right" vertical="center"/>
    </xf>
    <xf numFmtId="0" fontId="166" fillId="0" borderId="0" xfId="25" applyFont="1"/>
    <xf numFmtId="0" fontId="4" fillId="0" borderId="0" xfId="25" applyFont="1"/>
    <xf numFmtId="0" fontId="4" fillId="0" borderId="3" xfId="25" applyFont="1" applyBorder="1" applyAlignment="1">
      <alignment vertical="center"/>
    </xf>
    <xf numFmtId="177" fontId="4" fillId="0" borderId="0" xfId="10" applyNumberFormat="1" applyFont="1" applyBorder="1" applyAlignment="1">
      <alignment horizontal="right" vertical="center"/>
    </xf>
    <xf numFmtId="177" fontId="4" fillId="0" borderId="4" xfId="10" applyNumberFormat="1" applyFont="1" applyBorder="1" applyAlignment="1">
      <alignment horizontal="right" vertical="center"/>
    </xf>
    <xf numFmtId="0" fontId="4" fillId="0" borderId="104" xfId="25" applyFont="1" applyBorder="1" applyAlignment="1">
      <alignment vertical="center"/>
    </xf>
    <xf numFmtId="177" fontId="4" fillId="0" borderId="48" xfId="10" applyNumberFormat="1" applyFont="1" applyBorder="1" applyAlignment="1">
      <alignment horizontal="right" vertical="center"/>
    </xf>
    <xf numFmtId="177" fontId="4" fillId="0" borderId="105" xfId="10" applyNumberFormat="1" applyFont="1" applyBorder="1" applyAlignment="1">
      <alignment horizontal="right" vertical="center"/>
    </xf>
    <xf numFmtId="0" fontId="4" fillId="0" borderId="3" xfId="25" applyFont="1" applyBorder="1"/>
    <xf numFmtId="177" fontId="4" fillId="0" borderId="0" xfId="10" applyNumberFormat="1" applyFont="1" applyBorder="1"/>
    <xf numFmtId="177" fontId="4" fillId="0" borderId="4" xfId="10" applyNumberFormat="1" applyFont="1" applyBorder="1"/>
    <xf numFmtId="0" fontId="151" fillId="28" borderId="106" xfId="25" applyFont="1" applyFill="1" applyBorder="1" applyAlignment="1">
      <alignment vertical="center"/>
    </xf>
    <xf numFmtId="177" fontId="151" fillId="28" borderId="49" xfId="10" applyNumberFormat="1" applyFont="1" applyFill="1" applyBorder="1" applyAlignment="1">
      <alignment horizontal="right" vertical="center"/>
    </xf>
    <xf numFmtId="177" fontId="151" fillId="28" borderId="107" xfId="10" applyNumberFormat="1" applyFont="1" applyFill="1" applyBorder="1" applyAlignment="1">
      <alignment horizontal="right" vertical="center"/>
    </xf>
    <xf numFmtId="0" fontId="151" fillId="28" borderId="108" xfId="25" applyFont="1" applyFill="1" applyBorder="1" applyAlignment="1">
      <alignment vertical="center"/>
    </xf>
    <xf numFmtId="10" fontId="151" fillId="28" borderId="109" xfId="25" applyNumberFormat="1" applyFont="1" applyFill="1" applyBorder="1" applyAlignment="1">
      <alignment horizontal="center" vertical="center"/>
    </xf>
    <xf numFmtId="10" fontId="151" fillId="28" borderId="110" xfId="25" applyNumberFormat="1" applyFont="1" applyFill="1" applyBorder="1" applyAlignment="1">
      <alignment horizontal="center" vertical="center"/>
    </xf>
    <xf numFmtId="0" fontId="165" fillId="52" borderId="117" xfId="0" applyFont="1" applyFill="1" applyBorder="1" applyAlignment="1">
      <alignment horizontal="center" vertical="center" wrapText="1"/>
    </xf>
    <xf numFmtId="0" fontId="163" fillId="0" borderId="3" xfId="0" applyFont="1" applyBorder="1" applyAlignment="1">
      <alignment vertical="center"/>
    </xf>
    <xf numFmtId="0" fontId="162" fillId="0" borderId="0" xfId="0" applyFont="1" applyAlignment="1">
      <alignment vertical="center"/>
    </xf>
    <xf numFmtId="4" fontId="162" fillId="0" borderId="0" xfId="0" applyNumberFormat="1" applyFont="1" applyAlignment="1">
      <alignment vertical="center"/>
    </xf>
    <xf numFmtId="10" fontId="14" fillId="0" borderId="0" xfId="0" applyNumberFormat="1" applyFont="1" applyAlignment="1">
      <alignment horizontal="center" vertical="center"/>
    </xf>
    <xf numFmtId="14" fontId="162" fillId="0" borderId="0" xfId="0" applyNumberFormat="1" applyFont="1" applyAlignment="1">
      <alignment vertical="center"/>
    </xf>
    <xf numFmtId="177" fontId="162" fillId="0" borderId="0" xfId="7" applyNumberFormat="1" applyFont="1" applyBorder="1" applyAlignment="1">
      <alignment vertical="center"/>
    </xf>
    <xf numFmtId="0" fontId="162" fillId="36" borderId="0" xfId="0" applyFont="1" applyFill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horizontal="center" vertical="center"/>
    </xf>
    <xf numFmtId="167" fontId="0" fillId="0" borderId="0" xfId="7" applyFont="1" applyBorder="1" applyAlignment="1">
      <alignment vertical="center"/>
    </xf>
    <xf numFmtId="0" fontId="11" fillId="18" borderId="118" xfId="0" applyFont="1" applyFill="1" applyBorder="1" applyAlignment="1">
      <alignment horizontal="center" vertical="center"/>
    </xf>
    <xf numFmtId="0" fontId="11" fillId="18" borderId="119" xfId="0" applyFont="1" applyFill="1" applyBorder="1" applyAlignment="1">
      <alignment horizontal="center" vertical="center"/>
    </xf>
    <xf numFmtId="17" fontId="11" fillId="18" borderId="119" xfId="0" applyNumberFormat="1" applyFont="1" applyFill="1" applyBorder="1" applyAlignment="1">
      <alignment horizontal="center" vertical="center"/>
    </xf>
    <xf numFmtId="17" fontId="11" fillId="18" borderId="119" xfId="0" applyNumberFormat="1" applyFont="1" applyFill="1" applyBorder="1" applyAlignment="1">
      <alignment horizontal="center" vertical="center" wrapText="1"/>
    </xf>
    <xf numFmtId="0" fontId="11" fillId="18" borderId="120" xfId="0" applyFont="1" applyFill="1" applyBorder="1" applyAlignment="1">
      <alignment horizontal="center" vertical="center" wrapText="1"/>
    </xf>
    <xf numFmtId="177" fontId="163" fillId="18" borderId="54" xfId="7" applyNumberFormat="1" applyFont="1" applyFill="1" applyBorder="1" applyAlignment="1">
      <alignment vertical="center"/>
    </xf>
    <xf numFmtId="177" fontId="163" fillId="18" borderId="26" xfId="7" applyNumberFormat="1" applyFont="1" applyFill="1" applyBorder="1" applyAlignment="1">
      <alignment vertical="center"/>
    </xf>
    <xf numFmtId="177" fontId="25" fillId="18" borderId="4" xfId="7" applyNumberFormat="1" applyFont="1" applyFill="1" applyBorder="1" applyAlignment="1">
      <alignment vertical="center"/>
    </xf>
    <xf numFmtId="0" fontId="25" fillId="18" borderId="4" xfId="0" applyFont="1" applyFill="1" applyBorder="1" applyAlignment="1">
      <alignment vertical="center"/>
    </xf>
    <xf numFmtId="177" fontId="25" fillId="18" borderId="0" xfId="7" applyNumberFormat="1" applyFont="1" applyFill="1" applyBorder="1" applyAlignment="1">
      <alignment vertical="center"/>
    </xf>
    <xf numFmtId="0" fontId="25" fillId="18" borderId="0" xfId="0" applyFont="1" applyFill="1" applyAlignment="1">
      <alignment vertical="center"/>
    </xf>
    <xf numFmtId="0" fontId="163" fillId="18" borderId="121" xfId="0" applyFont="1" applyFill="1" applyBorder="1" applyAlignment="1">
      <alignment vertical="center"/>
    </xf>
    <xf numFmtId="0" fontId="163" fillId="18" borderId="54" xfId="0" applyFont="1" applyFill="1" applyBorder="1" applyAlignment="1">
      <alignment vertical="center"/>
    </xf>
    <xf numFmtId="4" fontId="163" fillId="18" borderId="54" xfId="0" applyNumberFormat="1" applyFont="1" applyFill="1" applyBorder="1" applyAlignment="1">
      <alignment vertical="center"/>
    </xf>
    <xf numFmtId="0" fontId="163" fillId="18" borderId="54" xfId="0" applyFont="1" applyFill="1" applyBorder="1" applyAlignment="1">
      <alignment horizontal="center" vertical="center"/>
    </xf>
    <xf numFmtId="0" fontId="163" fillId="3" borderId="122" xfId="0" applyFont="1" applyFill="1" applyBorder="1" applyAlignment="1">
      <alignment horizontal="center" vertical="center" wrapText="1"/>
    </xf>
    <xf numFmtId="0" fontId="163" fillId="3" borderId="116" xfId="0" applyFont="1" applyFill="1" applyBorder="1" applyAlignment="1">
      <alignment vertical="center"/>
    </xf>
    <xf numFmtId="4" fontId="163" fillId="3" borderId="116" xfId="0" applyNumberFormat="1" applyFont="1" applyFill="1" applyBorder="1" applyAlignment="1">
      <alignment vertical="center"/>
    </xf>
    <xf numFmtId="177" fontId="163" fillId="3" borderId="116" xfId="7" applyNumberFormat="1" applyFont="1" applyFill="1" applyBorder="1" applyAlignment="1">
      <alignment vertical="center"/>
    </xf>
    <xf numFmtId="177" fontId="163" fillId="3" borderId="123" xfId="7" applyNumberFormat="1" applyFont="1" applyFill="1" applyBorder="1" applyAlignment="1">
      <alignment vertical="center"/>
    </xf>
    <xf numFmtId="0" fontId="167" fillId="43" borderId="15" xfId="4" applyFont="1" applyFill="1" applyBorder="1"/>
    <xf numFmtId="39" fontId="42" fillId="0" borderId="0" xfId="25" applyNumberFormat="1"/>
    <xf numFmtId="0" fontId="48" fillId="0" borderId="0" xfId="9" applyFont="1" applyAlignment="1">
      <alignment vertical="center" wrapText="1"/>
    </xf>
    <xf numFmtId="177" fontId="42" fillId="0" borderId="0" xfId="7" applyNumberFormat="1" applyFont="1"/>
    <xf numFmtId="177" fontId="46" fillId="0" borderId="47" xfId="7" applyNumberFormat="1" applyFont="1" applyBorder="1" applyAlignment="1">
      <alignment vertical="center"/>
    </xf>
    <xf numFmtId="177" fontId="42" fillId="0" borderId="0" xfId="7" applyNumberFormat="1" applyFont="1" applyAlignment="1">
      <alignment horizontal="right" vertical="center"/>
    </xf>
    <xf numFmtId="177" fontId="42" fillId="0" borderId="48" xfId="7" applyNumberFormat="1" applyFont="1" applyBorder="1" applyAlignment="1">
      <alignment horizontal="right" vertical="center"/>
    </xf>
    <xf numFmtId="177" fontId="48" fillId="0" borderId="48" xfId="7" applyNumberFormat="1" applyFont="1" applyBorder="1" applyAlignment="1">
      <alignment horizontal="right" vertical="center"/>
    </xf>
    <xf numFmtId="177" fontId="42" fillId="30" borderId="0" xfId="7" applyNumberFormat="1" applyFont="1" applyFill="1"/>
    <xf numFmtId="177" fontId="48" fillId="0" borderId="0" xfId="7" applyNumberFormat="1" applyFont="1" applyAlignment="1">
      <alignment horizontal="right" vertical="center"/>
    </xf>
    <xf numFmtId="177" fontId="48" fillId="28" borderId="49" xfId="7" applyNumberFormat="1" applyFont="1" applyFill="1" applyBorder="1" applyAlignment="1">
      <alignment horizontal="right" vertical="center"/>
    </xf>
    <xf numFmtId="177" fontId="42" fillId="30" borderId="0" xfId="7" applyNumberFormat="1" applyFont="1" applyFill="1" applyAlignment="1">
      <alignment horizontal="right" vertical="center"/>
    </xf>
    <xf numFmtId="177" fontId="42" fillId="30" borderId="48" xfId="7" applyNumberFormat="1" applyFont="1" applyFill="1" applyBorder="1" applyAlignment="1">
      <alignment horizontal="right" vertical="center"/>
    </xf>
    <xf numFmtId="177" fontId="42" fillId="0" borderId="0" xfId="25" applyNumberFormat="1"/>
    <xf numFmtId="177" fontId="11" fillId="18" borderId="119" xfId="7" applyNumberFormat="1" applyFont="1" applyFill="1" applyBorder="1" applyAlignment="1">
      <alignment horizontal="center" vertical="center"/>
    </xf>
    <xf numFmtId="0" fontId="163" fillId="18" borderId="122" xfId="0" applyFont="1" applyFill="1" applyBorder="1" applyAlignment="1">
      <alignment vertical="center"/>
    </xf>
    <xf numFmtId="0" fontId="163" fillId="18" borderId="116" xfId="0" applyFont="1" applyFill="1" applyBorder="1" applyAlignment="1">
      <alignment vertical="center"/>
    </xf>
    <xf numFmtId="177" fontId="163" fillId="18" borderId="116" xfId="7" applyNumberFormat="1" applyFont="1" applyFill="1" applyBorder="1" applyAlignment="1">
      <alignment vertical="center"/>
    </xf>
    <xf numFmtId="0" fontId="163" fillId="18" borderId="116" xfId="0" applyFont="1" applyFill="1" applyBorder="1" applyAlignment="1">
      <alignment horizontal="center" vertical="center"/>
    </xf>
    <xf numFmtId="4" fontId="163" fillId="18" borderId="116" xfId="0" applyNumberFormat="1" applyFont="1" applyFill="1" applyBorder="1" applyAlignment="1">
      <alignment vertical="center"/>
    </xf>
    <xf numFmtId="0" fontId="163" fillId="0" borderId="0" xfId="0" applyFont="1" applyAlignment="1">
      <alignment vertical="center"/>
    </xf>
    <xf numFmtId="0" fontId="168" fillId="0" borderId="0" xfId="28"/>
    <xf numFmtId="0" fontId="168" fillId="0" borderId="0" xfId="28" applyAlignment="1">
      <alignment vertical="top"/>
    </xf>
    <xf numFmtId="0" fontId="168" fillId="0" borderId="48" xfId="28" applyBorder="1" applyAlignment="1">
      <alignment vertical="center"/>
    </xf>
    <xf numFmtId="173" fontId="168" fillId="0" borderId="48" xfId="28" applyNumberFormat="1" applyBorder="1" applyAlignment="1">
      <alignment horizontal="right" vertical="center"/>
    </xf>
    <xf numFmtId="0" fontId="168" fillId="0" borderId="0" xfId="28" applyAlignment="1">
      <alignment vertical="center"/>
    </xf>
    <xf numFmtId="173" fontId="168" fillId="0" borderId="0" xfId="28" applyNumberFormat="1" applyAlignment="1">
      <alignment horizontal="right" vertical="center"/>
    </xf>
    <xf numFmtId="0" fontId="169" fillId="0" borderId="0" xfId="28" applyFont="1"/>
    <xf numFmtId="0" fontId="170" fillId="0" borderId="0" xfId="28" applyFont="1"/>
    <xf numFmtId="0" fontId="171" fillId="0" borderId="0" xfId="28" applyFont="1"/>
    <xf numFmtId="0" fontId="168" fillId="14" borderId="48" xfId="28" applyFill="1" applyBorder="1" applyAlignment="1">
      <alignment vertical="center"/>
    </xf>
    <xf numFmtId="173" fontId="168" fillId="14" borderId="48" xfId="28" applyNumberFormat="1" applyFill="1" applyBorder="1" applyAlignment="1">
      <alignment horizontal="right" vertical="center"/>
    </xf>
    <xf numFmtId="0" fontId="168" fillId="14" borderId="0" xfId="28" applyFill="1"/>
    <xf numFmtId="15" fontId="46" fillId="0" borderId="103" xfId="25" applyNumberFormat="1" applyFont="1" applyBorder="1" applyAlignment="1">
      <alignment horizontal="right" vertical="center"/>
    </xf>
    <xf numFmtId="177" fontId="37" fillId="0" borderId="6" xfId="7" applyNumberFormat="1" applyFont="1" applyFill="1" applyBorder="1"/>
    <xf numFmtId="177" fontId="37" fillId="0" borderId="21" xfId="7" applyNumberFormat="1" applyFont="1" applyFill="1" applyBorder="1"/>
    <xf numFmtId="196" fontId="42" fillId="0" borderId="105" xfId="25" applyNumberFormat="1" applyBorder="1" applyAlignment="1">
      <alignment horizontal="right" vertical="center"/>
    </xf>
    <xf numFmtId="196" fontId="48" fillId="0" borderId="105" xfId="25" applyNumberFormat="1" applyFont="1" applyBorder="1" applyAlignment="1">
      <alignment horizontal="right" vertical="center"/>
    </xf>
    <xf numFmtId="196" fontId="42" fillId="0" borderId="4" xfId="25" applyNumberFormat="1" applyBorder="1"/>
    <xf numFmtId="196" fontId="48" fillId="28" borderId="107" xfId="25" applyNumberFormat="1" applyFont="1" applyFill="1" applyBorder="1" applyAlignment="1">
      <alignment horizontal="right" vertical="center"/>
    </xf>
    <xf numFmtId="196" fontId="42" fillId="0" borderId="4" xfId="25" applyNumberFormat="1" applyBorder="1" applyAlignment="1">
      <alignment horizontal="right" vertical="center"/>
    </xf>
    <xf numFmtId="196" fontId="48" fillId="28" borderId="110" xfId="25" applyNumberFormat="1" applyFont="1" applyFill="1" applyBorder="1" applyAlignment="1">
      <alignment horizontal="right" vertical="center"/>
    </xf>
    <xf numFmtId="0" fontId="48" fillId="28" borderId="106" xfId="25" applyFont="1" applyFill="1" applyBorder="1" applyAlignment="1">
      <alignment vertical="center"/>
    </xf>
    <xf numFmtId="0" fontId="48" fillId="28" borderId="108" xfId="25" applyFont="1" applyFill="1" applyBorder="1" applyAlignment="1">
      <alignment vertical="center"/>
    </xf>
    <xf numFmtId="0" fontId="46" fillId="0" borderId="101" xfId="25" applyFont="1" applyBorder="1" applyAlignment="1">
      <alignment horizontal="left" vertical="center"/>
    </xf>
    <xf numFmtId="0" fontId="46" fillId="0" borderId="102" xfId="25" applyFont="1" applyBorder="1" applyAlignment="1">
      <alignment horizontal="right" vertical="center"/>
    </xf>
    <xf numFmtId="0" fontId="42" fillId="0" borderId="104" xfId="25" applyBorder="1" applyAlignment="1">
      <alignment vertical="center"/>
    </xf>
    <xf numFmtId="177" fontId="42" fillId="0" borderId="105" xfId="7" applyNumberFormat="1" applyFont="1" applyBorder="1" applyAlignment="1">
      <alignment horizontal="right" vertical="center"/>
    </xf>
    <xf numFmtId="177" fontId="48" fillId="28" borderId="107" xfId="7" applyNumberFormat="1" applyFont="1" applyFill="1" applyBorder="1" applyAlignment="1">
      <alignment horizontal="right" vertical="center"/>
    </xf>
    <xf numFmtId="10" fontId="48" fillId="28" borderId="109" xfId="25" applyNumberFormat="1" applyFont="1" applyFill="1" applyBorder="1" applyAlignment="1">
      <alignment horizontal="center" vertical="center"/>
    </xf>
    <xf numFmtId="10" fontId="48" fillId="28" borderId="110" xfId="25" applyNumberFormat="1" applyFont="1" applyFill="1" applyBorder="1" applyAlignment="1">
      <alignment horizontal="center" vertical="center"/>
    </xf>
    <xf numFmtId="3" fontId="163" fillId="18" borderId="54" xfId="0" applyNumberFormat="1" applyFont="1" applyFill="1" applyBorder="1" applyAlignment="1">
      <alignment vertical="center"/>
    </xf>
    <xf numFmtId="0" fontId="163" fillId="3" borderId="122" xfId="0" applyFont="1" applyFill="1" applyBorder="1" applyAlignment="1">
      <alignment horizontal="left" vertical="center" wrapText="1"/>
    </xf>
    <xf numFmtId="0" fontId="25" fillId="0" borderId="4" xfId="0" applyFont="1" applyBorder="1" applyAlignment="1">
      <alignment vertical="center"/>
    </xf>
    <xf numFmtId="0" fontId="11" fillId="18" borderId="119" xfId="0" applyFont="1" applyFill="1" applyBorder="1" applyAlignment="1">
      <alignment horizontal="center" vertical="center" wrapText="1"/>
    </xf>
    <xf numFmtId="3" fontId="162" fillId="0" borderId="0" xfId="0" applyNumberFormat="1" applyFont="1" applyAlignment="1">
      <alignment vertical="center"/>
    </xf>
    <xf numFmtId="0" fontId="17" fillId="8" borderId="21" xfId="0" applyFont="1" applyFill="1" applyBorder="1"/>
    <xf numFmtId="167" fontId="25" fillId="9" borderId="0" xfId="7" applyFont="1" applyFill="1" applyAlignment="1">
      <alignment vertical="center"/>
    </xf>
    <xf numFmtId="196" fontId="42" fillId="0" borderId="0" xfId="9" applyNumberFormat="1"/>
    <xf numFmtId="10" fontId="48" fillId="28" borderId="49" xfId="25" applyNumberFormat="1" applyFont="1" applyFill="1" applyBorder="1" applyAlignment="1">
      <alignment horizontal="right" vertical="center"/>
    </xf>
    <xf numFmtId="177" fontId="42" fillId="0" borderId="0" xfId="7" applyNumberFormat="1" applyFont="1" applyBorder="1" applyAlignment="1">
      <alignment horizontal="right" vertical="center"/>
    </xf>
    <xf numFmtId="167" fontId="40" fillId="0" borderId="41" xfId="10" applyFont="1" applyFill="1" applyBorder="1"/>
    <xf numFmtId="167" fontId="132" fillId="0" borderId="0" xfId="7" applyFont="1" applyAlignment="1">
      <alignment wrapText="1"/>
    </xf>
    <xf numFmtId="0" fontId="42" fillId="0" borderId="0" xfId="25" applyAlignment="1">
      <alignment vertical="top"/>
    </xf>
    <xf numFmtId="0" fontId="48" fillId="0" borderId="0" xfId="25" applyFont="1" applyAlignment="1">
      <alignment vertical="top"/>
    </xf>
    <xf numFmtId="0" fontId="42" fillId="53" borderId="0" xfId="29" applyFill="1"/>
    <xf numFmtId="167" fontId="0" fillId="53" borderId="0" xfId="10" applyFont="1" applyFill="1"/>
    <xf numFmtId="0" fontId="42" fillId="53" borderId="48" xfId="25" applyFill="1" applyBorder="1" applyAlignment="1">
      <alignment vertical="center"/>
    </xf>
    <xf numFmtId="173" fontId="42" fillId="53" borderId="48" xfId="25" applyNumberFormat="1" applyFill="1" applyBorder="1" applyAlignment="1">
      <alignment horizontal="right" vertical="center"/>
    </xf>
    <xf numFmtId="4" fontId="42" fillId="0" borderId="0" xfId="25" applyNumberFormat="1"/>
    <xf numFmtId="0" fontId="28" fillId="22" borderId="44" xfId="0" applyFont="1" applyFill="1" applyBorder="1" applyAlignment="1">
      <alignment horizontal="left"/>
    </xf>
    <xf numFmtId="177" fontId="42" fillId="9" borderId="0" xfId="7" applyNumberFormat="1" applyFont="1" applyFill="1" applyAlignment="1">
      <alignment horizontal="right" vertical="center"/>
    </xf>
    <xf numFmtId="0" fontId="42" fillId="9" borderId="48" xfId="25" applyFill="1" applyBorder="1" applyAlignment="1">
      <alignment vertical="center"/>
    </xf>
    <xf numFmtId="174" fontId="42" fillId="9" borderId="48" xfId="25" applyNumberFormat="1" applyFill="1" applyBorder="1" applyAlignment="1">
      <alignment horizontal="left" vertical="center"/>
    </xf>
    <xf numFmtId="177" fontId="42" fillId="9" borderId="48" xfId="7" applyNumberFormat="1" applyFont="1" applyFill="1" applyBorder="1" applyAlignment="1">
      <alignment horizontal="right" vertical="center"/>
    </xf>
    <xf numFmtId="177" fontId="42" fillId="0" borderId="48" xfId="7" applyNumberFormat="1" applyFont="1" applyFill="1" applyBorder="1" applyAlignment="1">
      <alignment horizontal="right" vertical="center"/>
    </xf>
    <xf numFmtId="9" fontId="42" fillId="0" borderId="0" xfId="1" applyFont="1" applyAlignment="1">
      <alignment horizontal="center"/>
    </xf>
    <xf numFmtId="0" fontId="42" fillId="30" borderId="0" xfId="25" applyFill="1"/>
    <xf numFmtId="177" fontId="42" fillId="9" borderId="0" xfId="7" applyNumberFormat="1" applyFont="1" applyFill="1"/>
    <xf numFmtId="196" fontId="42" fillId="0" borderId="0" xfId="25" applyNumberFormat="1"/>
    <xf numFmtId="167" fontId="40" fillId="0" borderId="38" xfId="10" applyFont="1" applyFill="1" applyBorder="1"/>
    <xf numFmtId="177" fontId="37" fillId="0" borderId="10" xfId="7" applyNumberFormat="1" applyFont="1" applyFill="1" applyBorder="1" applyAlignment="1">
      <alignment horizontal="right"/>
    </xf>
    <xf numFmtId="177" fontId="27" fillId="0" borderId="10" xfId="7" applyNumberFormat="1" applyFont="1" applyFill="1" applyBorder="1" applyAlignment="1">
      <alignment horizontal="right"/>
    </xf>
    <xf numFmtId="177" fontId="37" fillId="0" borderId="20" xfId="7" applyNumberFormat="1" applyFont="1" applyFill="1" applyBorder="1" applyAlignment="1">
      <alignment horizontal="right"/>
    </xf>
    <xf numFmtId="177" fontId="25" fillId="18" borderId="20" xfId="7" applyNumberFormat="1" applyFont="1" applyFill="1" applyBorder="1" applyAlignment="1">
      <alignment vertical="center"/>
    </xf>
    <xf numFmtId="0" fontId="172" fillId="0" borderId="0" xfId="0" applyFont="1" applyAlignment="1">
      <alignment vertical="center"/>
    </xf>
    <xf numFmtId="0" fontId="173" fillId="0" borderId="0" xfId="0" applyFont="1" applyAlignment="1">
      <alignment vertical="center"/>
    </xf>
    <xf numFmtId="0" fontId="173" fillId="0" borderId="0" xfId="0" applyFont="1" applyAlignment="1">
      <alignment vertical="center" wrapText="1"/>
    </xf>
    <xf numFmtId="177" fontId="25" fillId="0" borderId="0" xfId="7" applyNumberFormat="1" applyFont="1" applyAlignment="1">
      <alignment vertical="center" wrapText="1"/>
    </xf>
    <xf numFmtId="0" fontId="174" fillId="17" borderId="0" xfId="0" applyFont="1" applyFill="1" applyAlignment="1">
      <alignment vertical="center"/>
    </xf>
    <xf numFmtId="177" fontId="37" fillId="17" borderId="0" xfId="7" applyNumberFormat="1" applyFont="1" applyFill="1"/>
    <xf numFmtId="9" fontId="0" fillId="0" borderId="0" xfId="30" applyFont="1" applyAlignment="1">
      <alignment horizontal="center"/>
    </xf>
    <xf numFmtId="167" fontId="42" fillId="0" borderId="0" xfId="7" applyFont="1" applyFill="1"/>
    <xf numFmtId="167" fontId="42" fillId="54" borderId="0" xfId="7" applyFont="1" applyFill="1"/>
    <xf numFmtId="0" fontId="42" fillId="22" borderId="0" xfId="25" applyFill="1"/>
    <xf numFmtId="167" fontId="42" fillId="10" borderId="7" xfId="7" applyFont="1" applyFill="1" applyBorder="1"/>
    <xf numFmtId="0" fontId="42" fillId="10" borderId="7" xfId="25" applyFill="1" applyBorder="1"/>
    <xf numFmtId="167" fontId="42" fillId="10" borderId="7" xfId="25" applyNumberFormat="1" applyFill="1" applyBorder="1"/>
    <xf numFmtId="167" fontId="48" fillId="22" borderId="0" xfId="7" applyFont="1" applyFill="1"/>
    <xf numFmtId="167" fontId="48" fillId="54" borderId="49" xfId="7" applyFont="1" applyFill="1" applyBorder="1" applyAlignment="1">
      <alignment horizontal="right" vertical="center"/>
    </xf>
    <xf numFmtId="173" fontId="48" fillId="22" borderId="49" xfId="25" applyNumberFormat="1" applyFont="1" applyFill="1" applyBorder="1" applyAlignment="1">
      <alignment horizontal="right" vertical="center"/>
    </xf>
    <xf numFmtId="167" fontId="48" fillId="0" borderId="48" xfId="7" applyFont="1" applyFill="1" applyBorder="1" applyAlignment="1">
      <alignment horizontal="right" vertical="center"/>
    </xf>
    <xf numFmtId="167" fontId="48" fillId="54" borderId="48" xfId="7" applyFont="1" applyFill="1" applyBorder="1" applyAlignment="1">
      <alignment horizontal="right" vertical="center"/>
    </xf>
    <xf numFmtId="173" fontId="48" fillId="22" borderId="48" xfId="25" applyNumberFormat="1" applyFont="1" applyFill="1" applyBorder="1" applyAlignment="1">
      <alignment horizontal="right" vertical="center"/>
    </xf>
    <xf numFmtId="167" fontId="175" fillId="0" borderId="0" xfId="7" applyFont="1" applyFill="1" applyAlignment="1">
      <alignment horizontal="right" vertical="center"/>
    </xf>
    <xf numFmtId="167" fontId="42" fillId="54" borderId="0" xfId="7" applyFont="1" applyFill="1" applyAlignment="1">
      <alignment horizontal="right" vertical="center"/>
    </xf>
    <xf numFmtId="173" fontId="175" fillId="22" borderId="48" xfId="25" applyNumberFormat="1" applyFont="1" applyFill="1" applyBorder="1" applyAlignment="1">
      <alignment horizontal="right" vertical="center"/>
    </xf>
    <xf numFmtId="0" fontId="175" fillId="0" borderId="48" xfId="25" applyFont="1" applyBorder="1" applyAlignment="1">
      <alignment vertical="center"/>
    </xf>
    <xf numFmtId="174" fontId="175" fillId="0" borderId="48" xfId="25" applyNumberFormat="1" applyFont="1" applyBorder="1" applyAlignment="1">
      <alignment horizontal="left" vertical="center"/>
    </xf>
    <xf numFmtId="167" fontId="42" fillId="0" borderId="0" xfId="7" applyFont="1" applyFill="1" applyAlignment="1">
      <alignment horizontal="right" vertical="center"/>
    </xf>
    <xf numFmtId="173" fontId="42" fillId="22" borderId="0" xfId="25" applyNumberFormat="1" applyFill="1" applyAlignment="1">
      <alignment horizontal="right" vertical="center"/>
    </xf>
    <xf numFmtId="167" fontId="46" fillId="0" borderId="47" xfId="7" applyFont="1" applyFill="1" applyBorder="1" applyAlignment="1">
      <alignment vertical="center"/>
    </xf>
    <xf numFmtId="167" fontId="46" fillId="54" borderId="47" xfId="7" applyFont="1" applyFill="1" applyBorder="1" applyAlignment="1">
      <alignment vertical="center"/>
    </xf>
    <xf numFmtId="0" fontId="46" fillId="22" borderId="47" xfId="25" applyFont="1" applyFill="1" applyBorder="1" applyAlignment="1">
      <alignment vertical="center"/>
    </xf>
    <xf numFmtId="167" fontId="42" fillId="0" borderId="48" xfId="7" applyFont="1" applyFill="1" applyBorder="1" applyAlignment="1">
      <alignment horizontal="right" vertical="center"/>
    </xf>
    <xf numFmtId="173" fontId="42" fillId="22" borderId="48" xfId="25" applyNumberFormat="1" applyFill="1" applyBorder="1" applyAlignment="1">
      <alignment horizontal="right" vertical="center"/>
    </xf>
    <xf numFmtId="167" fontId="48" fillId="22" borderId="48" xfId="7" applyFont="1" applyFill="1" applyBorder="1" applyAlignment="1">
      <alignment horizontal="right" vertical="center"/>
    </xf>
    <xf numFmtId="167" fontId="175" fillId="0" borderId="48" xfId="7" applyFont="1" applyFill="1" applyBorder="1" applyAlignment="1">
      <alignment horizontal="right" vertical="center"/>
    </xf>
    <xf numFmtId="167" fontId="46" fillId="54" borderId="47" xfId="7" applyFont="1" applyFill="1" applyBorder="1" applyAlignment="1">
      <alignment horizontal="right" vertical="center"/>
    </xf>
    <xf numFmtId="0" fontId="46" fillId="22" borderId="47" xfId="25" applyFont="1" applyFill="1" applyBorder="1" applyAlignment="1">
      <alignment horizontal="right" vertical="center"/>
    </xf>
    <xf numFmtId="167" fontId="45" fillId="0" borderId="0" xfId="7" applyFont="1" applyFill="1" applyAlignment="1">
      <alignment vertical="center"/>
    </xf>
    <xf numFmtId="167" fontId="45" fillId="54" borderId="0" xfId="7" applyFont="1" applyFill="1" applyAlignment="1">
      <alignment vertical="center"/>
    </xf>
    <xf numFmtId="0" fontId="45" fillId="22" borderId="0" xfId="25" applyFont="1" applyFill="1" applyAlignment="1">
      <alignment vertical="center"/>
    </xf>
    <xf numFmtId="167" fontId="43" fillId="0" borderId="0" xfId="7" applyFont="1" applyFill="1" applyAlignment="1">
      <alignment vertical="center"/>
    </xf>
    <xf numFmtId="167" fontId="43" fillId="54" borderId="0" xfId="7" applyFont="1" applyFill="1" applyAlignment="1">
      <alignment vertical="center"/>
    </xf>
    <xf numFmtId="0" fontId="43" fillId="22" borderId="0" xfId="25" applyFont="1" applyFill="1" applyAlignment="1">
      <alignment vertical="center"/>
    </xf>
    <xf numFmtId="167" fontId="42" fillId="0" borderId="0" xfId="10" applyFont="1"/>
    <xf numFmtId="0" fontId="20" fillId="25" borderId="45" xfId="0" applyFont="1" applyFill="1" applyBorder="1"/>
    <xf numFmtId="177" fontId="37" fillId="0" borderId="40" xfId="7" applyNumberFormat="1" applyFont="1" applyFill="1" applyBorder="1"/>
    <xf numFmtId="177" fontId="27" fillId="0" borderId="40" xfId="7" applyNumberFormat="1" applyFont="1" applyFill="1" applyBorder="1"/>
    <xf numFmtId="177" fontId="37" fillId="0" borderId="17" xfId="7" applyNumberFormat="1" applyFont="1" applyFill="1" applyBorder="1"/>
    <xf numFmtId="0" fontId="42" fillId="0" borderId="40" xfId="25" applyBorder="1"/>
    <xf numFmtId="167" fontId="42" fillId="0" borderId="40" xfId="10" applyFont="1" applyBorder="1"/>
    <xf numFmtId="167" fontId="42" fillId="0" borderId="0" xfId="7" applyFont="1" applyBorder="1"/>
    <xf numFmtId="0" fontId="172" fillId="36" borderId="0" xfId="0" applyFont="1" applyFill="1" applyAlignment="1">
      <alignment vertical="center"/>
    </xf>
    <xf numFmtId="177" fontId="0" fillId="36" borderId="0" xfId="7" applyNumberFormat="1" applyFont="1" applyFill="1"/>
    <xf numFmtId="167" fontId="0" fillId="0" borderId="15" xfId="7" applyFont="1" applyBorder="1" applyAlignment="1">
      <alignment vertical="center"/>
    </xf>
    <xf numFmtId="0" fontId="0" fillId="0" borderId="4" xfId="0" applyBorder="1" applyAlignment="1">
      <alignment vertical="center"/>
    </xf>
    <xf numFmtId="167" fontId="0" fillId="0" borderId="21" xfId="7" applyFont="1" applyBorder="1" applyAlignment="1">
      <alignment vertical="center"/>
    </xf>
    <xf numFmtId="167" fontId="0" fillId="0" borderId="6" xfId="7" applyFont="1" applyBorder="1" applyAlignment="1">
      <alignment vertical="center"/>
    </xf>
    <xf numFmtId="177" fontId="60" fillId="9" borderId="7" xfId="7" applyNumberFormat="1" applyFont="1" applyFill="1" applyBorder="1" applyAlignment="1">
      <alignment horizontal="center" vertical="center"/>
    </xf>
    <xf numFmtId="0" fontId="176" fillId="0" borderId="1" xfId="22" applyFont="1" applyBorder="1"/>
    <xf numFmtId="167" fontId="0" fillId="0" borderId="15" xfId="7" applyFont="1" applyBorder="1"/>
    <xf numFmtId="167" fontId="0" fillId="0" borderId="2" xfId="7" applyFont="1" applyBorder="1"/>
    <xf numFmtId="167" fontId="0" fillId="0" borderId="0" xfId="7" applyFont="1" applyBorder="1"/>
    <xf numFmtId="167" fontId="0" fillId="0" borderId="4" xfId="7" applyFont="1" applyBorder="1"/>
    <xf numFmtId="167" fontId="0" fillId="0" borderId="21" xfId="7" applyFont="1" applyBorder="1"/>
    <xf numFmtId="167" fontId="0" fillId="0" borderId="6" xfId="7" applyFont="1" applyBorder="1"/>
    <xf numFmtId="177" fontId="17" fillId="44" borderId="39" xfId="7" applyNumberFormat="1" applyFont="1" applyFill="1" applyBorder="1" applyAlignment="1">
      <alignment vertical="center" wrapText="1"/>
    </xf>
    <xf numFmtId="177" fontId="17" fillId="15" borderId="20" xfId="7" applyNumberFormat="1" applyFont="1" applyFill="1" applyBorder="1" applyAlignment="1">
      <alignment horizontal="right"/>
    </xf>
    <xf numFmtId="177" fontId="30" fillId="0" borderId="4" xfId="7" applyNumberFormat="1" applyFont="1" applyFill="1" applyBorder="1" applyAlignment="1">
      <alignment horizontal="right"/>
    </xf>
    <xf numFmtId="177" fontId="17" fillId="44" borderId="9" xfId="7" applyNumberFormat="1" applyFont="1" applyFill="1" applyBorder="1" applyAlignment="1">
      <alignment vertical="center" wrapText="1"/>
    </xf>
    <xf numFmtId="9" fontId="3" fillId="0" borderId="31" xfId="7" applyNumberFormat="1" applyFont="1" applyFill="1" applyBorder="1" applyAlignment="1">
      <alignment horizontal="center"/>
    </xf>
    <xf numFmtId="9" fontId="17" fillId="15" borderId="30" xfId="7" applyNumberFormat="1" applyFont="1" applyFill="1" applyBorder="1" applyAlignment="1">
      <alignment horizontal="center"/>
    </xf>
    <xf numFmtId="9" fontId="14" fillId="0" borderId="31" xfId="7" applyNumberFormat="1" applyFont="1" applyFill="1" applyBorder="1" applyAlignment="1">
      <alignment horizontal="center"/>
    </xf>
    <xf numFmtId="9" fontId="17" fillId="15" borderId="33" xfId="7" applyNumberFormat="1" applyFont="1" applyFill="1" applyBorder="1" applyAlignment="1">
      <alignment horizontal="center"/>
    </xf>
    <xf numFmtId="9" fontId="30" fillId="0" borderId="31" xfId="7" applyNumberFormat="1" applyFont="1" applyFill="1" applyBorder="1" applyAlignment="1">
      <alignment horizontal="center"/>
    </xf>
    <xf numFmtId="9" fontId="17" fillId="44" borderId="39" xfId="7" applyNumberFormat="1" applyFont="1" applyFill="1" applyBorder="1" applyAlignment="1">
      <alignment horizontal="center" vertical="center" wrapText="1"/>
    </xf>
    <xf numFmtId="9" fontId="0" fillId="0" borderId="0" xfId="7" applyNumberFormat="1" applyFont="1" applyAlignment="1">
      <alignment horizontal="center"/>
    </xf>
    <xf numFmtId="9" fontId="0" fillId="11" borderId="0" xfId="0" applyNumberFormat="1" applyFill="1" applyAlignment="1">
      <alignment horizontal="center"/>
    </xf>
    <xf numFmtId="9" fontId="0" fillId="19" borderId="0" xfId="0" applyNumberFormat="1" applyFill="1" applyAlignment="1">
      <alignment horizontal="center"/>
    </xf>
    <xf numFmtId="0" fontId="42" fillId="0" borderId="3" xfId="25" applyBorder="1" applyAlignment="1">
      <alignment vertical="center"/>
    </xf>
    <xf numFmtId="177" fontId="42" fillId="0" borderId="4" xfId="7" applyNumberFormat="1" applyFont="1" applyBorder="1" applyAlignment="1">
      <alignment horizontal="right" vertical="center"/>
    </xf>
    <xf numFmtId="9" fontId="48" fillId="28" borderId="109" xfId="1" applyFont="1" applyFill="1" applyBorder="1" applyAlignment="1">
      <alignment horizontal="right" vertical="center"/>
    </xf>
    <xf numFmtId="9" fontId="48" fillId="28" borderId="110" xfId="1" applyFont="1" applyFill="1" applyBorder="1" applyAlignment="1">
      <alignment horizontal="right" vertical="center"/>
    </xf>
    <xf numFmtId="0" fontId="20" fillId="25" borderId="3" xfId="0" applyFont="1" applyFill="1" applyBorder="1"/>
    <xf numFmtId="167" fontId="0" fillId="0" borderId="2" xfId="7" applyFont="1" applyBorder="1" applyAlignment="1">
      <alignment vertical="center"/>
    </xf>
    <xf numFmtId="0" fontId="42" fillId="0" borderId="48" xfId="25" applyBorder="1" applyAlignment="1">
      <alignment vertical="center" wrapText="1"/>
    </xf>
    <xf numFmtId="173" fontId="48" fillId="28" borderId="107" xfId="25" applyNumberFormat="1" applyFont="1" applyFill="1" applyBorder="1" applyAlignment="1">
      <alignment horizontal="center" vertical="center"/>
    </xf>
    <xf numFmtId="196" fontId="48" fillId="28" borderId="49" xfId="25" applyNumberFormat="1" applyFont="1" applyFill="1" applyBorder="1" applyAlignment="1">
      <alignment horizontal="right" vertical="center"/>
    </xf>
    <xf numFmtId="9" fontId="0" fillId="0" borderId="4" xfId="30" applyFont="1" applyBorder="1" applyAlignment="1">
      <alignment horizontal="center"/>
    </xf>
    <xf numFmtId="177" fontId="0" fillId="0" borderId="48" xfId="10" applyNumberFormat="1" applyFont="1" applyBorder="1" applyAlignment="1">
      <alignment horizontal="right" vertical="center"/>
    </xf>
    <xf numFmtId="177" fontId="0" fillId="0" borderId="0" xfId="10" applyNumberFormat="1" applyFont="1" applyBorder="1" applyAlignment="1">
      <alignment horizontal="right" vertical="center"/>
    </xf>
    <xf numFmtId="0" fontId="177" fillId="0" borderId="0" xfId="31"/>
    <xf numFmtId="0" fontId="177" fillId="0" borderId="0" xfId="31" applyAlignment="1">
      <alignment vertical="top"/>
    </xf>
    <xf numFmtId="0" fontId="177" fillId="0" borderId="48" xfId="31" applyBorder="1" applyAlignment="1">
      <alignment vertical="center"/>
    </xf>
    <xf numFmtId="173" fontId="177" fillId="0" borderId="48" xfId="31" applyNumberFormat="1" applyBorder="1" applyAlignment="1">
      <alignment horizontal="right" vertical="center"/>
    </xf>
    <xf numFmtId="0" fontId="177" fillId="0" borderId="0" xfId="31" applyAlignment="1">
      <alignment vertical="center"/>
    </xf>
    <xf numFmtId="173" fontId="177" fillId="0" borderId="0" xfId="31" applyNumberFormat="1" applyAlignment="1">
      <alignment horizontal="right" vertical="center"/>
    </xf>
    <xf numFmtId="0" fontId="178" fillId="0" borderId="0" xfId="31" applyFont="1"/>
    <xf numFmtId="0" fontId="179" fillId="0" borderId="0" xfId="31" applyFont="1"/>
    <xf numFmtId="0" fontId="180" fillId="0" borderId="0" xfId="31" applyFont="1"/>
    <xf numFmtId="167" fontId="42" fillId="22" borderId="0" xfId="7" applyFont="1" applyFill="1"/>
    <xf numFmtId="177" fontId="48" fillId="22" borderId="49" xfId="7" applyNumberFormat="1" applyFont="1" applyFill="1" applyBorder="1" applyAlignment="1">
      <alignment horizontal="right" vertical="center"/>
    </xf>
    <xf numFmtId="177" fontId="42" fillId="22" borderId="0" xfId="7" applyNumberFormat="1" applyFont="1" applyFill="1"/>
    <xf numFmtId="177" fontId="48" fillId="0" borderId="0" xfId="7" applyNumberFormat="1" applyFont="1" applyFill="1" applyBorder="1" applyAlignment="1">
      <alignment horizontal="right" vertical="center"/>
    </xf>
    <xf numFmtId="177" fontId="48" fillId="54" borderId="0" xfId="7" applyNumberFormat="1" applyFont="1" applyFill="1" applyBorder="1" applyAlignment="1">
      <alignment horizontal="right" vertical="center"/>
    </xf>
    <xf numFmtId="177" fontId="48" fillId="22" borderId="0" xfId="25" applyNumberFormat="1" applyFont="1" applyFill="1" applyAlignment="1">
      <alignment horizontal="right" vertical="center"/>
    </xf>
    <xf numFmtId="177" fontId="48" fillId="0" borderId="48" xfId="7" applyNumberFormat="1" applyFont="1" applyFill="1" applyBorder="1" applyAlignment="1">
      <alignment horizontal="right" vertical="center"/>
    </xf>
    <xf numFmtId="177" fontId="48" fillId="54" borderId="48" xfId="7" applyNumberFormat="1" applyFont="1" applyFill="1" applyBorder="1" applyAlignment="1">
      <alignment horizontal="right" vertical="center"/>
    </xf>
    <xf numFmtId="177" fontId="48" fillId="22" borderId="48" xfId="25" applyNumberFormat="1" applyFont="1" applyFill="1" applyBorder="1" applyAlignment="1">
      <alignment horizontal="right" vertical="center"/>
    </xf>
    <xf numFmtId="177" fontId="175" fillId="0" borderId="0" xfId="7" applyNumberFormat="1" applyFont="1" applyFill="1" applyAlignment="1">
      <alignment horizontal="right" vertical="center"/>
    </xf>
    <xf numFmtId="177" fontId="42" fillId="54" borderId="0" xfId="7" applyNumberFormat="1" applyFont="1" applyFill="1" applyAlignment="1">
      <alignment horizontal="right" vertical="center"/>
    </xf>
    <xf numFmtId="177" fontId="175" fillId="22" borderId="48" xfId="25" applyNumberFormat="1" applyFont="1" applyFill="1" applyBorder="1" applyAlignment="1">
      <alignment horizontal="right" vertical="center"/>
    </xf>
    <xf numFmtId="177" fontId="46" fillId="0" borderId="47" xfId="7" applyNumberFormat="1" applyFont="1" applyFill="1" applyBorder="1" applyAlignment="1">
      <alignment vertical="center"/>
    </xf>
    <xf numFmtId="177" fontId="46" fillId="54" borderId="47" xfId="7" applyNumberFormat="1" applyFont="1" applyFill="1" applyBorder="1" applyAlignment="1">
      <alignment vertical="center"/>
    </xf>
    <xf numFmtId="177" fontId="46" fillId="22" borderId="47" xfId="25" applyNumberFormat="1" applyFont="1" applyFill="1" applyBorder="1" applyAlignment="1">
      <alignment vertical="center"/>
    </xf>
    <xf numFmtId="177" fontId="42" fillId="54" borderId="0" xfId="7" applyNumberFormat="1" applyFont="1" applyFill="1"/>
    <xf numFmtId="177" fontId="48" fillId="22" borderId="48" xfId="7" applyNumberFormat="1" applyFont="1" applyFill="1" applyBorder="1" applyAlignment="1">
      <alignment horizontal="right" vertical="center"/>
    </xf>
    <xf numFmtId="177" fontId="42" fillId="22" borderId="48" xfId="7" applyNumberFormat="1" applyFont="1" applyFill="1" applyBorder="1" applyAlignment="1">
      <alignment horizontal="right" vertical="center"/>
    </xf>
    <xf numFmtId="177" fontId="42" fillId="22" borderId="0" xfId="7" applyNumberFormat="1" applyFont="1" applyFill="1" applyAlignment="1">
      <alignment horizontal="right" vertical="center"/>
    </xf>
    <xf numFmtId="177" fontId="46" fillId="22" borderId="47" xfId="7" applyNumberFormat="1" applyFont="1" applyFill="1" applyBorder="1" applyAlignment="1">
      <alignment vertical="center"/>
    </xf>
    <xf numFmtId="177" fontId="42" fillId="0" borderId="0" xfId="7" applyNumberFormat="1" applyFont="1" applyFill="1"/>
    <xf numFmtId="177" fontId="42" fillId="22" borderId="0" xfId="25" applyNumberFormat="1" applyFill="1"/>
    <xf numFmtId="177" fontId="175" fillId="0" borderId="48" xfId="7" applyNumberFormat="1" applyFont="1" applyFill="1" applyBorder="1" applyAlignment="1">
      <alignment horizontal="right" vertical="center"/>
    </xf>
    <xf numFmtId="177" fontId="42" fillId="22" borderId="48" xfId="25" applyNumberFormat="1" applyFill="1" applyBorder="1" applyAlignment="1">
      <alignment horizontal="right" vertical="center"/>
    </xf>
    <xf numFmtId="177" fontId="175" fillId="9" borderId="48" xfId="7" applyNumberFormat="1" applyFont="1" applyFill="1" applyBorder="1" applyAlignment="1">
      <alignment horizontal="right" vertical="center"/>
    </xf>
    <xf numFmtId="177" fontId="175" fillId="9" borderId="0" xfId="7" applyNumberFormat="1" applyFont="1" applyFill="1" applyAlignment="1">
      <alignment horizontal="right" vertical="center"/>
    </xf>
    <xf numFmtId="14" fontId="46" fillId="22" borderId="47" xfId="7" applyNumberFormat="1" applyFont="1" applyFill="1" applyBorder="1" applyAlignment="1">
      <alignment horizontal="right" vertical="center"/>
    </xf>
    <xf numFmtId="167" fontId="46" fillId="22" borderId="47" xfId="7" applyFont="1" applyFill="1" applyBorder="1" applyAlignment="1">
      <alignment horizontal="right" vertical="center"/>
    </xf>
    <xf numFmtId="167" fontId="45" fillId="0" borderId="0" xfId="7" applyFont="1" applyAlignment="1">
      <alignment vertical="center"/>
    </xf>
    <xf numFmtId="167" fontId="45" fillId="22" borderId="0" xfId="7" applyFont="1" applyFill="1" applyAlignment="1">
      <alignment vertical="center"/>
    </xf>
    <xf numFmtId="167" fontId="43" fillId="0" borderId="0" xfId="7" applyFont="1" applyAlignment="1">
      <alignment vertical="center"/>
    </xf>
    <xf numFmtId="167" fontId="43" fillId="22" borderId="0" xfId="7" applyFont="1" applyFill="1" applyAlignment="1">
      <alignment vertical="center"/>
    </xf>
    <xf numFmtId="177" fontId="144" fillId="9" borderId="0" xfId="9" applyNumberFormat="1" applyFont="1" applyFill="1"/>
    <xf numFmtId="177" fontId="47" fillId="0" borderId="0" xfId="7" applyNumberFormat="1" applyFont="1"/>
    <xf numFmtId="197" fontId="0" fillId="0" borderId="0" xfId="0" applyNumberFormat="1"/>
    <xf numFmtId="38" fontId="37" fillId="0" borderId="74" xfId="7" applyNumberFormat="1" applyFont="1" applyFill="1" applyBorder="1"/>
    <xf numFmtId="38" fontId="37" fillId="0" borderId="9" xfId="7" applyNumberFormat="1" applyFont="1" applyFill="1" applyBorder="1"/>
    <xf numFmtId="38" fontId="37" fillId="0" borderId="0" xfId="7" applyNumberFormat="1" applyFont="1" applyFill="1" applyBorder="1"/>
    <xf numFmtId="38" fontId="37" fillId="0" borderId="4" xfId="7" applyNumberFormat="1" applyFont="1" applyFill="1" applyBorder="1"/>
    <xf numFmtId="38" fontId="27" fillId="0" borderId="0" xfId="7" applyNumberFormat="1" applyFont="1" applyFill="1" applyBorder="1"/>
    <xf numFmtId="38" fontId="37" fillId="0" borderId="40" xfId="7" applyNumberFormat="1" applyFont="1" applyFill="1" applyBorder="1"/>
    <xf numFmtId="38" fontId="27" fillId="0" borderId="40" xfId="7" applyNumberFormat="1" applyFont="1" applyFill="1" applyBorder="1"/>
    <xf numFmtId="38" fontId="37" fillId="0" borderId="17" xfId="7" applyNumberFormat="1" applyFont="1" applyFill="1" applyBorder="1"/>
    <xf numFmtId="38" fontId="37" fillId="0" borderId="10" xfId="7" applyNumberFormat="1" applyFont="1" applyFill="1" applyBorder="1"/>
    <xf numFmtId="38" fontId="37" fillId="0" borderId="20" xfId="7" applyNumberFormat="1" applyFont="1" applyFill="1" applyBorder="1"/>
    <xf numFmtId="38" fontId="37" fillId="0" borderId="0" xfId="7" applyNumberFormat="1" applyFont="1" applyFill="1" applyBorder="1" applyAlignment="1">
      <alignment horizontal="right"/>
    </xf>
    <xf numFmtId="38" fontId="27" fillId="0" borderId="0" xfId="7" applyNumberFormat="1" applyFont="1" applyFill="1" applyBorder="1" applyAlignment="1">
      <alignment horizontal="right"/>
    </xf>
    <xf numFmtId="38" fontId="37" fillId="0" borderId="4" xfId="7" applyNumberFormat="1" applyFont="1" applyFill="1" applyBorder="1" applyAlignment="1">
      <alignment horizontal="right"/>
    </xf>
    <xf numFmtId="38" fontId="37" fillId="0" borderId="10" xfId="7" applyNumberFormat="1" applyFont="1" applyFill="1" applyBorder="1" applyAlignment="1">
      <alignment horizontal="right"/>
    </xf>
    <xf numFmtId="38" fontId="27" fillId="0" borderId="10" xfId="7" applyNumberFormat="1" applyFont="1" applyFill="1" applyBorder="1" applyAlignment="1">
      <alignment horizontal="right"/>
    </xf>
    <xf numFmtId="38" fontId="37" fillId="0" borderId="20" xfId="7" applyNumberFormat="1" applyFont="1" applyFill="1" applyBorder="1" applyAlignment="1">
      <alignment horizontal="right"/>
    </xf>
    <xf numFmtId="38" fontId="10" fillId="0" borderId="0" xfId="7" applyNumberFormat="1" applyFont="1" applyFill="1" applyBorder="1" applyAlignment="1">
      <alignment horizontal="right"/>
    </xf>
    <xf numFmtId="38" fontId="74" fillId="0" borderId="0" xfId="7" applyNumberFormat="1" applyFont="1" applyFill="1" applyBorder="1" applyAlignment="1">
      <alignment horizontal="right"/>
    </xf>
    <xf numFmtId="38" fontId="10" fillId="0" borderId="4" xfId="7" applyNumberFormat="1" applyFont="1" applyFill="1" applyBorder="1" applyAlignment="1">
      <alignment horizontal="right"/>
    </xf>
    <xf numFmtId="38" fontId="10" fillId="0" borderId="4" xfId="7" applyNumberFormat="1" applyFont="1" applyFill="1" applyBorder="1"/>
    <xf numFmtId="38" fontId="10" fillId="0" borderId="0" xfId="7" applyNumberFormat="1" applyFont="1" applyFill="1" applyBorder="1"/>
    <xf numFmtId="38" fontId="74" fillId="0" borderId="0" xfId="7" applyNumberFormat="1" applyFont="1" applyFill="1" applyBorder="1"/>
    <xf numFmtId="38" fontId="37" fillId="0" borderId="21" xfId="7" applyNumberFormat="1" applyFont="1" applyFill="1" applyBorder="1"/>
    <xf numFmtId="38" fontId="27" fillId="0" borderId="21" xfId="7" applyNumberFormat="1" applyFont="1" applyFill="1" applyBorder="1"/>
    <xf numFmtId="38" fontId="37" fillId="0" borderId="6" xfId="7" applyNumberFormat="1" applyFont="1" applyFill="1" applyBorder="1"/>
    <xf numFmtId="38" fontId="0" fillId="0" borderId="0" xfId="0" applyNumberFormat="1"/>
    <xf numFmtId="198" fontId="25" fillId="0" borderId="0" xfId="7" applyNumberFormat="1" applyFont="1"/>
    <xf numFmtId="177" fontId="25" fillId="0" borderId="15" xfId="7" applyNumberFormat="1" applyFont="1" applyBorder="1"/>
    <xf numFmtId="177" fontId="25" fillId="0" borderId="2" xfId="7" applyNumberFormat="1" applyFont="1" applyBorder="1"/>
    <xf numFmtId="177" fontId="25" fillId="0" borderId="0" xfId="7" applyNumberFormat="1" applyFont="1" applyBorder="1"/>
    <xf numFmtId="177" fontId="25" fillId="0" borderId="4" xfId="7" applyNumberFormat="1" applyFont="1" applyBorder="1"/>
    <xf numFmtId="177" fontId="25" fillId="0" borderId="21" xfId="7" applyNumberFormat="1" applyFont="1" applyBorder="1"/>
    <xf numFmtId="198" fontId="25" fillId="0" borderId="0" xfId="7" applyNumberFormat="1" applyFont="1" applyFill="1" applyBorder="1"/>
    <xf numFmtId="177" fontId="163" fillId="18" borderId="54" xfId="1" applyNumberFormat="1" applyFont="1" applyFill="1" applyBorder="1" applyAlignment="1">
      <alignment vertical="center"/>
    </xf>
    <xf numFmtId="3" fontId="163" fillId="18" borderId="54" xfId="7" applyNumberFormat="1" applyFont="1" applyFill="1" applyBorder="1" applyAlignment="1">
      <alignment vertical="center"/>
    </xf>
    <xf numFmtId="3" fontId="163" fillId="3" borderId="116" xfId="0" applyNumberFormat="1" applyFont="1" applyFill="1" applyBorder="1" applyAlignment="1">
      <alignment vertical="center"/>
    </xf>
    <xf numFmtId="0" fontId="163" fillId="18" borderId="3" xfId="0" applyFont="1" applyFill="1" applyBorder="1" applyAlignment="1">
      <alignment vertical="center"/>
    </xf>
    <xf numFmtId="0" fontId="162" fillId="18" borderId="0" xfId="0" applyFont="1" applyFill="1" applyAlignment="1">
      <alignment vertical="center"/>
    </xf>
    <xf numFmtId="3" fontId="162" fillId="18" borderId="0" xfId="0" applyNumberFormat="1" applyFont="1" applyFill="1" applyAlignment="1">
      <alignment vertical="center"/>
    </xf>
    <xf numFmtId="177" fontId="43" fillId="0" borderId="0" xfId="7" applyNumberFormat="1" applyFont="1" applyAlignment="1">
      <alignment vertical="center"/>
    </xf>
    <xf numFmtId="177" fontId="45" fillId="0" borderId="0" xfId="7" applyNumberFormat="1" applyFont="1" applyAlignment="1">
      <alignment vertical="center"/>
    </xf>
    <xf numFmtId="177" fontId="46" fillId="0" borderId="47" xfId="7" applyNumberFormat="1" applyFont="1" applyBorder="1" applyAlignment="1">
      <alignment horizontal="right" vertical="center"/>
    </xf>
    <xf numFmtId="177" fontId="48" fillId="0" borderId="0" xfId="7" applyNumberFormat="1" applyFont="1" applyBorder="1" applyAlignment="1">
      <alignment horizontal="right" vertical="center"/>
    </xf>
    <xf numFmtId="4" fontId="181" fillId="0" borderId="0" xfId="25" applyNumberFormat="1" applyFont="1"/>
    <xf numFmtId="167" fontId="48" fillId="28" borderId="49" xfId="10" applyFont="1" applyFill="1" applyBorder="1" applyAlignment="1">
      <alignment horizontal="right" vertical="center"/>
    </xf>
    <xf numFmtId="167" fontId="48" fillId="0" borderId="48" xfId="10" applyFont="1" applyBorder="1" applyAlignment="1">
      <alignment horizontal="right" vertical="center"/>
    </xf>
    <xf numFmtId="167" fontId="0" fillId="0" borderId="48" xfId="10" applyFont="1" applyBorder="1" applyAlignment="1">
      <alignment horizontal="right" vertical="center"/>
    </xf>
    <xf numFmtId="167" fontId="0" fillId="0" borderId="0" xfId="10" applyFont="1" applyAlignment="1">
      <alignment horizontal="right" vertical="center"/>
    </xf>
    <xf numFmtId="167" fontId="46" fillId="0" borderId="47" xfId="10" applyFont="1" applyBorder="1" applyAlignment="1">
      <alignment vertical="center"/>
    </xf>
    <xf numFmtId="167" fontId="46" fillId="0" borderId="47" xfId="10" applyFont="1" applyBorder="1" applyAlignment="1">
      <alignment horizontal="right" vertical="center"/>
    </xf>
    <xf numFmtId="167" fontId="45" fillId="0" borderId="0" xfId="10" applyFont="1" applyAlignment="1">
      <alignment vertical="center"/>
    </xf>
    <xf numFmtId="167" fontId="43" fillId="0" borderId="0" xfId="10" applyFont="1" applyAlignment="1">
      <alignment vertical="center"/>
    </xf>
    <xf numFmtId="10" fontId="48" fillId="28" borderId="109" xfId="25" applyNumberFormat="1" applyFont="1" applyFill="1" applyBorder="1" applyAlignment="1">
      <alignment horizontal="right" vertical="center"/>
    </xf>
    <xf numFmtId="177" fontId="48" fillId="28" borderId="49" xfId="10" applyNumberFormat="1" applyFont="1" applyFill="1" applyBorder="1" applyAlignment="1">
      <alignment horizontal="right" vertical="center"/>
    </xf>
    <xf numFmtId="177" fontId="0" fillId="0" borderId="0" xfId="10" applyNumberFormat="1" applyFont="1" applyBorder="1"/>
    <xf numFmtId="17" fontId="0" fillId="0" borderId="0" xfId="0" applyNumberFormat="1" applyAlignment="1">
      <alignment horizontal="center"/>
    </xf>
    <xf numFmtId="199" fontId="0" fillId="0" borderId="0" xfId="7" applyNumberFormat="1" applyFont="1"/>
    <xf numFmtId="177" fontId="0" fillId="0" borderId="0" xfId="7" applyNumberFormat="1" applyFont="1" applyAlignment="1">
      <alignment vertical="center"/>
    </xf>
    <xf numFmtId="167" fontId="0" fillId="9" borderId="15" xfId="7" applyFont="1" applyFill="1" applyBorder="1" applyAlignment="1">
      <alignment vertical="center"/>
    </xf>
    <xf numFmtId="177" fontId="48" fillId="0" borderId="41" xfId="7" applyNumberFormat="1" applyFont="1" applyBorder="1" applyAlignment="1">
      <alignment horizontal="right" vertical="center"/>
    </xf>
    <xf numFmtId="177" fontId="48" fillId="0" borderId="124" xfId="7" applyNumberFormat="1" applyFont="1" applyBorder="1" applyAlignment="1">
      <alignment horizontal="right" vertical="center"/>
    </xf>
    <xf numFmtId="177" fontId="175" fillId="22" borderId="48" xfId="7" applyNumberFormat="1" applyFont="1" applyFill="1" applyBorder="1" applyAlignment="1">
      <alignment horizontal="right" vertical="center"/>
    </xf>
    <xf numFmtId="177" fontId="46" fillId="0" borderId="125" xfId="7" applyNumberFormat="1" applyFont="1" applyBorder="1" applyAlignment="1">
      <alignment vertical="center"/>
    </xf>
    <xf numFmtId="177" fontId="0" fillId="0" borderId="41" xfId="7" applyNumberFormat="1" applyFont="1" applyBorder="1"/>
    <xf numFmtId="177" fontId="0" fillId="0" borderId="124" xfId="7" applyNumberFormat="1" applyFont="1" applyBorder="1" applyAlignment="1">
      <alignment horizontal="right" vertical="center"/>
    </xf>
    <xf numFmtId="177" fontId="0" fillId="0" borderId="48" xfId="7" applyNumberFormat="1" applyFont="1" applyBorder="1" applyAlignment="1">
      <alignment horizontal="right" vertical="center"/>
    </xf>
    <xf numFmtId="177" fontId="0" fillId="0" borderId="41" xfId="7" applyNumberFormat="1" applyFont="1" applyBorder="1" applyAlignment="1">
      <alignment horizontal="right" vertical="center"/>
    </xf>
    <xf numFmtId="177" fontId="0" fillId="0" borderId="0" xfId="7" applyNumberFormat="1" applyFont="1" applyAlignment="1">
      <alignment horizontal="right" vertical="center"/>
    </xf>
    <xf numFmtId="167" fontId="46" fillId="0" borderId="125" xfId="10" applyFont="1" applyBorder="1" applyAlignment="1">
      <alignment vertical="center"/>
    </xf>
    <xf numFmtId="14" fontId="46" fillId="22" borderId="125" xfId="7" applyNumberFormat="1" applyFont="1" applyFill="1" applyBorder="1" applyAlignment="1">
      <alignment horizontal="right" vertical="center"/>
    </xf>
    <xf numFmtId="167" fontId="45" fillId="0" borderId="41" xfId="10" applyFont="1" applyBorder="1" applyAlignment="1">
      <alignment vertical="center"/>
    </xf>
    <xf numFmtId="167" fontId="43" fillId="0" borderId="41" xfId="10" applyFont="1" applyBorder="1" applyAlignment="1">
      <alignment vertical="center"/>
    </xf>
    <xf numFmtId="167" fontId="144" fillId="3" borderId="0" xfId="9" applyNumberFormat="1" applyFont="1" applyFill="1"/>
    <xf numFmtId="177" fontId="48" fillId="0" borderId="0" xfId="25" applyNumberFormat="1" applyFont="1"/>
    <xf numFmtId="177" fontId="48" fillId="0" borderId="0" xfId="7" applyNumberFormat="1" applyFont="1"/>
    <xf numFmtId="167" fontId="42" fillId="0" borderId="0" xfId="25" applyNumberFormat="1"/>
    <xf numFmtId="167" fontId="0" fillId="22" borderId="0" xfId="10" applyFont="1" applyFill="1"/>
    <xf numFmtId="167" fontId="46" fillId="22" borderId="47" xfId="10" applyFont="1" applyFill="1" applyBorder="1" applyAlignment="1">
      <alignment vertical="center"/>
    </xf>
    <xf numFmtId="177" fontId="0" fillId="22" borderId="0" xfId="7" applyNumberFormat="1" applyFont="1" applyFill="1" applyAlignment="1">
      <alignment horizontal="right" vertical="center"/>
    </xf>
    <xf numFmtId="177" fontId="0" fillId="22" borderId="48" xfId="7" applyNumberFormat="1" applyFont="1" applyFill="1" applyBorder="1" applyAlignment="1">
      <alignment horizontal="right" vertical="center"/>
    </xf>
    <xf numFmtId="177" fontId="48" fillId="22" borderId="0" xfId="7" applyNumberFormat="1" applyFont="1" applyFill="1" applyBorder="1" applyAlignment="1">
      <alignment horizontal="right" vertical="center"/>
    </xf>
    <xf numFmtId="167" fontId="0" fillId="54" borderId="0" xfId="10" applyFont="1" applyFill="1"/>
    <xf numFmtId="167" fontId="46" fillId="54" borderId="47" xfId="10" applyFont="1" applyFill="1" applyBorder="1" applyAlignment="1">
      <alignment vertical="center"/>
    </xf>
    <xf numFmtId="177" fontId="0" fillId="54" borderId="0" xfId="7" applyNumberFormat="1" applyFont="1" applyFill="1"/>
    <xf numFmtId="177" fontId="0" fillId="54" borderId="0" xfId="7" applyNumberFormat="1" applyFont="1" applyFill="1" applyAlignment="1">
      <alignment horizontal="right" vertical="center"/>
    </xf>
    <xf numFmtId="177" fontId="48" fillId="54" borderId="49" xfId="7" applyNumberFormat="1" applyFont="1" applyFill="1" applyBorder="1" applyAlignment="1">
      <alignment horizontal="right" vertical="center"/>
    </xf>
    <xf numFmtId="0" fontId="48" fillId="0" borderId="0" xfId="25" applyFont="1"/>
    <xf numFmtId="167" fontId="42" fillId="9" borderId="0" xfId="25" applyNumberFormat="1" applyFill="1"/>
    <xf numFmtId="167" fontId="145" fillId="0" borderId="0" xfId="9" applyNumberFormat="1" applyFont="1"/>
    <xf numFmtId="9" fontId="0" fillId="0" borderId="0" xfId="0" applyNumberFormat="1" applyAlignment="1">
      <alignment horizontal="left"/>
    </xf>
    <xf numFmtId="0" fontId="48" fillId="0" borderId="40" xfId="25" applyFont="1" applyBorder="1"/>
    <xf numFmtId="167" fontId="48" fillId="0" borderId="40" xfId="10" applyFont="1" applyBorder="1"/>
    <xf numFmtId="167" fontId="42" fillId="0" borderId="0" xfId="10" applyFont="1" applyFill="1"/>
    <xf numFmtId="199" fontId="42" fillId="0" borderId="0" xfId="7" applyNumberFormat="1" applyFont="1"/>
    <xf numFmtId="38" fontId="42" fillId="0" borderId="0" xfId="25" applyNumberFormat="1"/>
    <xf numFmtId="9" fontId="43" fillId="0" borderId="0" xfId="1" applyFont="1" applyAlignment="1">
      <alignment horizontal="center" vertical="center"/>
    </xf>
    <xf numFmtId="9" fontId="45" fillId="0" borderId="0" xfId="1" applyFont="1" applyAlignment="1">
      <alignment horizontal="center" vertical="center"/>
    </xf>
    <xf numFmtId="9" fontId="46" fillId="0" borderId="103" xfId="1" applyFont="1" applyBorder="1" applyAlignment="1">
      <alignment horizontal="center" vertical="center"/>
    </xf>
    <xf numFmtId="9" fontId="0" fillId="0" borderId="4" xfId="1" applyFont="1" applyBorder="1" applyAlignment="1">
      <alignment horizontal="center" vertical="center"/>
    </xf>
    <xf numFmtId="9" fontId="0" fillId="0" borderId="105" xfId="1" applyFont="1" applyBorder="1" applyAlignment="1">
      <alignment horizontal="center" vertical="center"/>
    </xf>
    <xf numFmtId="9" fontId="0" fillId="0" borderId="4" xfId="1" applyFont="1" applyBorder="1" applyAlignment="1">
      <alignment horizontal="center"/>
    </xf>
    <xf numFmtId="9" fontId="42" fillId="0" borderId="4" xfId="1" applyFont="1" applyBorder="1" applyAlignment="1">
      <alignment horizontal="center"/>
    </xf>
    <xf numFmtId="9" fontId="48" fillId="28" borderId="110" xfId="1" applyFont="1" applyFill="1" applyBorder="1" applyAlignment="1">
      <alignment horizontal="center" vertical="center"/>
    </xf>
    <xf numFmtId="9" fontId="48" fillId="28" borderId="107" xfId="1" applyFont="1" applyFill="1" applyBorder="1" applyAlignment="1">
      <alignment horizontal="center" vertical="center"/>
    </xf>
    <xf numFmtId="38" fontId="163" fillId="18" borderId="54" xfId="0" applyNumberFormat="1" applyFont="1" applyFill="1" applyBorder="1" applyAlignment="1">
      <alignment vertical="center"/>
    </xf>
    <xf numFmtId="38" fontId="163" fillId="18" borderId="54" xfId="7" applyNumberFormat="1" applyFont="1" applyFill="1" applyBorder="1" applyAlignment="1">
      <alignment vertical="center"/>
    </xf>
    <xf numFmtId="38" fontId="163" fillId="3" borderId="116" xfId="0" applyNumberFormat="1" applyFont="1" applyFill="1" applyBorder="1" applyAlignment="1">
      <alignment vertical="center"/>
    </xf>
    <xf numFmtId="38" fontId="0" fillId="0" borderId="0" xfId="7" applyNumberFormat="1" applyFont="1" applyBorder="1" applyAlignment="1">
      <alignment vertical="center"/>
    </xf>
    <xf numFmtId="38" fontId="25" fillId="18" borderId="4" xfId="7" applyNumberFormat="1" applyFont="1" applyFill="1" applyBorder="1" applyAlignment="1">
      <alignment vertical="center"/>
    </xf>
    <xf numFmtId="38" fontId="0" fillId="0" borderId="4" xfId="7" applyNumberFormat="1" applyFont="1" applyBorder="1" applyAlignment="1">
      <alignment vertical="center"/>
    </xf>
    <xf numFmtId="38" fontId="163" fillId="3" borderId="116" xfId="7" applyNumberFormat="1" applyFont="1" applyFill="1" applyBorder="1" applyAlignment="1">
      <alignment vertical="center"/>
    </xf>
    <xf numFmtId="38" fontId="162" fillId="0" borderId="0" xfId="0" applyNumberFormat="1" applyFont="1" applyAlignment="1">
      <alignment vertical="center"/>
    </xf>
    <xf numFmtId="38" fontId="162" fillId="18" borderId="0" xfId="0" applyNumberFormat="1" applyFont="1" applyFill="1" applyAlignment="1">
      <alignment vertical="center"/>
    </xf>
    <xf numFmtId="38" fontId="111" fillId="18" borderId="0" xfId="0" applyNumberFormat="1" applyFont="1" applyFill="1" applyAlignment="1">
      <alignment vertical="center"/>
    </xf>
    <xf numFmtId="38" fontId="163" fillId="18" borderId="26" xfId="7" applyNumberFormat="1" applyFont="1" applyFill="1" applyBorder="1" applyAlignment="1">
      <alignment vertical="center"/>
    </xf>
    <xf numFmtId="38" fontId="163" fillId="3" borderId="123" xfId="7" applyNumberFormat="1" applyFont="1" applyFill="1" applyBorder="1" applyAlignment="1">
      <alignment vertical="center"/>
    </xf>
    <xf numFmtId="10" fontId="14" fillId="18" borderId="0" xfId="0" applyNumberFormat="1" applyFont="1" applyFill="1" applyAlignment="1">
      <alignment horizontal="center" vertical="center"/>
    </xf>
    <xf numFmtId="4" fontId="162" fillId="18" borderId="0" xfId="0" applyNumberFormat="1" applyFont="1" applyFill="1" applyAlignment="1">
      <alignment vertical="center"/>
    </xf>
    <xf numFmtId="14" fontId="162" fillId="18" borderId="0" xfId="0" applyNumberFormat="1" applyFont="1" applyFill="1" applyAlignment="1">
      <alignment vertical="center"/>
    </xf>
    <xf numFmtId="177" fontId="162" fillId="18" borderId="0" xfId="7" applyNumberFormat="1" applyFont="1" applyFill="1" applyBorder="1" applyAlignment="1">
      <alignment vertical="center"/>
    </xf>
    <xf numFmtId="177" fontId="0" fillId="18" borderId="0" xfId="7" applyNumberFormat="1" applyFont="1" applyFill="1" applyBorder="1" applyAlignment="1">
      <alignment vertical="center"/>
    </xf>
    <xf numFmtId="38" fontId="0" fillId="18" borderId="0" xfId="7" applyNumberFormat="1" applyFont="1" applyFill="1" applyBorder="1" applyAlignment="1">
      <alignment vertical="center"/>
    </xf>
    <xf numFmtId="38" fontId="25" fillId="0" borderId="4" xfId="7" applyNumberFormat="1" applyFont="1" applyFill="1" applyBorder="1" applyAlignment="1">
      <alignment vertical="center"/>
    </xf>
    <xf numFmtId="4" fontId="145" fillId="0" borderId="0" xfId="9" applyNumberFormat="1" applyFont="1"/>
    <xf numFmtId="167" fontId="144" fillId="0" borderId="0" xfId="9" applyNumberFormat="1" applyFont="1"/>
    <xf numFmtId="4" fontId="144" fillId="0" borderId="0" xfId="9" applyNumberFormat="1" applyFont="1"/>
    <xf numFmtId="43" fontId="0" fillId="0" borderId="0" xfId="1" applyNumberFormat="1" applyFont="1" applyAlignment="1">
      <alignment horizontal="center"/>
    </xf>
    <xf numFmtId="0" fontId="43" fillId="0" borderId="0" xfId="11" applyFont="1" applyAlignment="1">
      <alignment vertical="center"/>
    </xf>
    <xf numFmtId="0" fontId="45" fillId="0" borderId="0" xfId="11" applyFont="1" applyAlignment="1">
      <alignment vertical="center"/>
    </xf>
    <xf numFmtId="0" fontId="46" fillId="0" borderId="47" xfId="11" applyFont="1" applyBorder="1" applyAlignment="1">
      <alignment horizontal="left" vertical="center"/>
    </xf>
    <xf numFmtId="0" fontId="46" fillId="0" borderId="47" xfId="11" applyFont="1" applyBorder="1" applyAlignment="1">
      <alignment horizontal="right" vertical="center"/>
    </xf>
    <xf numFmtId="0" fontId="46" fillId="0" borderId="47" xfId="11" applyFont="1" applyBorder="1" applyAlignment="1">
      <alignment vertical="center"/>
    </xf>
    <xf numFmtId="0" fontId="48" fillId="0" borderId="48" xfId="11" applyFont="1" applyBorder="1" applyAlignment="1">
      <alignment vertical="center"/>
    </xf>
    <xf numFmtId="173" fontId="48" fillId="0" borderId="48" xfId="11" applyNumberFormat="1" applyFont="1" applyBorder="1" applyAlignment="1">
      <alignment horizontal="right" vertical="center"/>
    </xf>
    <xf numFmtId="0" fontId="48" fillId="28" borderId="49" xfId="11" applyFont="1" applyFill="1" applyBorder="1" applyAlignment="1">
      <alignment vertical="center"/>
    </xf>
    <xf numFmtId="173" fontId="48" fillId="28" borderId="49" xfId="11" applyNumberFormat="1" applyFont="1" applyFill="1" applyBorder="1" applyAlignment="1">
      <alignment horizontal="right" vertical="center"/>
    </xf>
    <xf numFmtId="10" fontId="48" fillId="28" borderId="49" xfId="11" applyNumberFormat="1" applyFont="1" applyFill="1" applyBorder="1" applyAlignment="1">
      <alignment horizontal="right" vertical="center"/>
    </xf>
    <xf numFmtId="0" fontId="48" fillId="0" borderId="0" xfId="11" applyFont="1" applyAlignment="1">
      <alignment vertical="center"/>
    </xf>
    <xf numFmtId="0" fontId="48" fillId="0" borderId="0" xfId="11" applyFont="1" applyAlignment="1">
      <alignment vertical="top"/>
    </xf>
    <xf numFmtId="0" fontId="43" fillId="0" borderId="0" xfId="12" applyFont="1" applyAlignment="1">
      <alignment vertical="center"/>
    </xf>
    <xf numFmtId="0" fontId="45" fillId="0" borderId="0" xfId="12" applyFont="1" applyAlignment="1">
      <alignment vertical="center"/>
    </xf>
    <xf numFmtId="0" fontId="46" fillId="0" borderId="47" xfId="12" applyFont="1" applyBorder="1" applyAlignment="1">
      <alignment vertical="center"/>
    </xf>
    <xf numFmtId="0" fontId="46" fillId="0" borderId="47" xfId="12" applyFont="1" applyBorder="1" applyAlignment="1">
      <alignment horizontal="left" vertical="center"/>
    </xf>
    <xf numFmtId="0" fontId="46" fillId="0" borderId="47" xfId="12" applyFont="1" applyBorder="1" applyAlignment="1">
      <alignment horizontal="right" vertical="center"/>
    </xf>
    <xf numFmtId="0" fontId="48" fillId="0" borderId="0" xfId="12" applyFont="1" applyAlignment="1">
      <alignment vertical="center"/>
    </xf>
    <xf numFmtId="0" fontId="48" fillId="0" borderId="48" xfId="12" applyFont="1" applyBorder="1" applyAlignment="1">
      <alignment vertical="center"/>
    </xf>
    <xf numFmtId="173" fontId="48" fillId="0" borderId="48" xfId="12" applyNumberFormat="1" applyFont="1" applyBorder="1" applyAlignment="1">
      <alignment horizontal="right" vertical="center"/>
    </xf>
    <xf numFmtId="0" fontId="48" fillId="28" borderId="49" xfId="12" applyFont="1" applyFill="1" applyBorder="1" applyAlignment="1">
      <alignment vertical="center"/>
    </xf>
    <xf numFmtId="173" fontId="48" fillId="28" borderId="49" xfId="12" applyNumberFormat="1" applyFont="1" applyFill="1" applyBorder="1" applyAlignment="1">
      <alignment horizontal="right" vertical="center"/>
    </xf>
    <xf numFmtId="0" fontId="48" fillId="0" borderId="0" xfId="12" applyFont="1" applyAlignment="1">
      <alignment vertical="top"/>
    </xf>
    <xf numFmtId="0" fontId="43" fillId="0" borderId="0" xfId="13" applyFont="1" applyAlignment="1">
      <alignment vertical="center"/>
    </xf>
    <xf numFmtId="0" fontId="45" fillId="0" borderId="0" xfId="13" applyFont="1" applyAlignment="1">
      <alignment vertical="center"/>
    </xf>
    <xf numFmtId="0" fontId="46" fillId="0" borderId="47" xfId="13" applyFont="1" applyBorder="1" applyAlignment="1">
      <alignment vertical="center"/>
    </xf>
    <xf numFmtId="0" fontId="46" fillId="0" borderId="47" xfId="13" applyFont="1" applyBorder="1" applyAlignment="1">
      <alignment horizontal="left" vertical="center"/>
    </xf>
    <xf numFmtId="0" fontId="48" fillId="0" borderId="0" xfId="13" applyFont="1" applyAlignment="1">
      <alignment vertical="center"/>
    </xf>
    <xf numFmtId="0" fontId="48" fillId="0" borderId="48" xfId="13" applyFont="1" applyBorder="1" applyAlignment="1">
      <alignment vertical="center"/>
    </xf>
    <xf numFmtId="173" fontId="48" fillId="0" borderId="48" xfId="13" applyNumberFormat="1" applyFont="1" applyBorder="1" applyAlignment="1">
      <alignment horizontal="right" vertical="center"/>
    </xf>
    <xf numFmtId="0" fontId="48" fillId="28" borderId="49" xfId="13" applyFont="1" applyFill="1" applyBorder="1" applyAlignment="1">
      <alignment vertical="center"/>
    </xf>
    <xf numFmtId="173" fontId="48" fillId="28" borderId="49" xfId="13" applyNumberFormat="1" applyFont="1" applyFill="1" applyBorder="1" applyAlignment="1">
      <alignment horizontal="right" vertical="center"/>
    </xf>
    <xf numFmtId="0" fontId="48" fillId="0" borderId="0" xfId="13" applyFont="1" applyAlignment="1">
      <alignment vertical="top"/>
    </xf>
    <xf numFmtId="0" fontId="43" fillId="0" borderId="0" xfId="13" applyFont="1" applyAlignment="1">
      <alignment vertical="center" wrapText="1"/>
    </xf>
    <xf numFmtId="0" fontId="44" fillId="0" borderId="0" xfId="13" applyFont="1" applyAlignment="1">
      <alignment wrapText="1"/>
    </xf>
    <xf numFmtId="0" fontId="45" fillId="0" borderId="0" xfId="13" applyFont="1"/>
    <xf numFmtId="0" fontId="47" fillId="0" borderId="0" xfId="13" applyFont="1"/>
    <xf numFmtId="173" fontId="48" fillId="0" borderId="0" xfId="13" applyNumberFormat="1" applyFont="1" applyAlignment="1">
      <alignment horizontal="right" vertical="center"/>
    </xf>
    <xf numFmtId="10" fontId="48" fillId="28" borderId="49" xfId="13" applyNumberFormat="1" applyFont="1" applyFill="1" applyBorder="1" applyAlignment="1">
      <alignment horizontal="right" vertical="center"/>
    </xf>
    <xf numFmtId="167" fontId="48" fillId="0" borderId="48" xfId="7" applyFont="1" applyBorder="1" applyAlignment="1">
      <alignment vertical="center"/>
    </xf>
    <xf numFmtId="167" fontId="42" fillId="0" borderId="48" xfId="7" applyFont="1" applyBorder="1" applyAlignment="1">
      <alignment vertical="center"/>
    </xf>
    <xf numFmtId="0" fontId="43" fillId="0" borderId="0" xfId="20" applyFont="1" applyAlignment="1">
      <alignment vertical="center"/>
    </xf>
    <xf numFmtId="0" fontId="45" fillId="0" borderId="0" xfId="20" applyFont="1" applyAlignment="1">
      <alignment vertical="center"/>
    </xf>
    <xf numFmtId="0" fontId="46" fillId="0" borderId="47" xfId="20" applyFont="1" applyBorder="1" applyAlignment="1">
      <alignment horizontal="left" vertical="center"/>
    </xf>
    <xf numFmtId="0" fontId="46" fillId="0" borderId="47" xfId="20" applyFont="1" applyBorder="1" applyAlignment="1">
      <alignment horizontal="right" vertical="center"/>
    </xf>
    <xf numFmtId="0" fontId="46" fillId="0" borderId="47" xfId="20" applyFont="1" applyBorder="1" applyAlignment="1">
      <alignment vertical="center"/>
    </xf>
    <xf numFmtId="0" fontId="48" fillId="0" borderId="48" xfId="20" applyFont="1" applyBorder="1" applyAlignment="1">
      <alignment vertical="center"/>
    </xf>
    <xf numFmtId="173" fontId="48" fillId="0" borderId="48" xfId="20" applyNumberFormat="1" applyFont="1" applyBorder="1" applyAlignment="1">
      <alignment horizontal="right" vertical="center"/>
    </xf>
    <xf numFmtId="0" fontId="48" fillId="28" borderId="49" xfId="20" applyFont="1" applyFill="1" applyBorder="1" applyAlignment="1">
      <alignment vertical="center"/>
    </xf>
    <xf numFmtId="173" fontId="48" fillId="28" borderId="49" xfId="20" applyNumberFormat="1" applyFont="1" applyFill="1" applyBorder="1" applyAlignment="1">
      <alignment horizontal="right" vertical="center"/>
    </xf>
    <xf numFmtId="173" fontId="48" fillId="0" borderId="49" xfId="20" applyNumberFormat="1" applyFont="1" applyBorder="1" applyAlignment="1">
      <alignment horizontal="right" vertical="center"/>
    </xf>
    <xf numFmtId="0" fontId="43" fillId="0" borderId="0" xfId="21" applyFont="1" applyAlignment="1">
      <alignment vertical="center"/>
    </xf>
    <xf numFmtId="0" fontId="45" fillId="0" borderId="0" xfId="21" applyFont="1" applyAlignment="1">
      <alignment vertical="center"/>
    </xf>
    <xf numFmtId="0" fontId="46" fillId="0" borderId="47" xfId="21" applyFont="1" applyBorder="1" applyAlignment="1">
      <alignment horizontal="left" vertical="center"/>
    </xf>
    <xf numFmtId="0" fontId="46" fillId="0" borderId="47" xfId="21" applyFont="1" applyBorder="1" applyAlignment="1">
      <alignment horizontal="right" vertical="center"/>
    </xf>
    <xf numFmtId="0" fontId="46" fillId="0" borderId="47" xfId="21" applyFont="1" applyBorder="1" applyAlignment="1">
      <alignment vertical="center"/>
    </xf>
    <xf numFmtId="0" fontId="48" fillId="0" borderId="48" xfId="21" applyFont="1" applyBorder="1" applyAlignment="1">
      <alignment vertical="center"/>
    </xf>
    <xf numFmtId="173" fontId="48" fillId="0" borderId="48" xfId="21" applyNumberFormat="1" applyFont="1" applyBorder="1" applyAlignment="1">
      <alignment horizontal="right" vertical="center"/>
    </xf>
    <xf numFmtId="0" fontId="47" fillId="0" borderId="0" xfId="21" applyFont="1"/>
    <xf numFmtId="0" fontId="48" fillId="28" borderId="49" xfId="21" applyFont="1" applyFill="1" applyBorder="1" applyAlignment="1">
      <alignment vertical="center"/>
    </xf>
    <xf numFmtId="173" fontId="48" fillId="28" borderId="49" xfId="21" applyNumberFormat="1" applyFont="1" applyFill="1" applyBorder="1" applyAlignment="1">
      <alignment horizontal="right" vertical="center"/>
    </xf>
    <xf numFmtId="177" fontId="126" fillId="18" borderId="7" xfId="7" applyNumberFormat="1" applyFont="1" applyFill="1" applyBorder="1" applyAlignment="1">
      <alignment horizontal="center" wrapText="1"/>
    </xf>
    <xf numFmtId="177" fontId="126" fillId="18" borderId="0" xfId="7" applyNumberFormat="1" applyFont="1" applyFill="1" applyBorder="1" applyAlignment="1">
      <alignment horizontal="center" wrapText="1"/>
    </xf>
    <xf numFmtId="0" fontId="44" fillId="0" borderId="0" xfId="21" applyFont="1"/>
    <xf numFmtId="0" fontId="45" fillId="0" borderId="0" xfId="21" applyFont="1"/>
    <xf numFmtId="167" fontId="46" fillId="0" borderId="47" xfId="7" applyFont="1" applyBorder="1" applyAlignment="1">
      <alignment vertical="center"/>
    </xf>
    <xf numFmtId="167" fontId="42" fillId="0" borderId="0" xfId="7" applyFont="1" applyAlignment="1">
      <alignment horizontal="right" vertical="center"/>
    </xf>
    <xf numFmtId="167" fontId="48" fillId="0" borderId="48" xfId="7" applyFont="1" applyBorder="1" applyAlignment="1">
      <alignment horizontal="right" vertical="center"/>
    </xf>
    <xf numFmtId="0" fontId="48" fillId="0" borderId="0" xfId="21" applyFont="1" applyAlignment="1">
      <alignment vertical="center"/>
    </xf>
    <xf numFmtId="167" fontId="48" fillId="0" borderId="0" xfId="7" applyFont="1" applyBorder="1" applyAlignment="1">
      <alignment horizontal="right" vertical="center"/>
    </xf>
    <xf numFmtId="173" fontId="48" fillId="0" borderId="0" xfId="21" applyNumberFormat="1" applyFont="1" applyAlignment="1">
      <alignment horizontal="right" vertical="center"/>
    </xf>
    <xf numFmtId="167" fontId="42" fillId="0" borderId="48" xfId="7" applyFont="1" applyBorder="1" applyAlignment="1">
      <alignment horizontal="right" vertical="center"/>
    </xf>
    <xf numFmtId="167" fontId="48" fillId="28" borderId="49" xfId="7" applyFont="1" applyFill="1" applyBorder="1" applyAlignment="1">
      <alignment horizontal="right" vertical="center"/>
    </xf>
    <xf numFmtId="0" fontId="48" fillId="28" borderId="47" xfId="21" applyFont="1" applyFill="1" applyBorder="1" applyAlignment="1">
      <alignment vertical="center"/>
    </xf>
    <xf numFmtId="173" fontId="48" fillId="28" borderId="47" xfId="21" applyNumberFormat="1" applyFont="1" applyFill="1" applyBorder="1" applyAlignment="1">
      <alignment horizontal="right" vertical="center"/>
    </xf>
    <xf numFmtId="0" fontId="43" fillId="0" borderId="0" xfId="24" applyFont="1" applyAlignment="1">
      <alignment vertical="center"/>
    </xf>
    <xf numFmtId="0" fontId="45" fillId="0" borderId="0" xfId="24" applyFont="1" applyAlignment="1">
      <alignment vertical="center"/>
    </xf>
    <xf numFmtId="0" fontId="46" fillId="0" borderId="47" xfId="24" applyFont="1" applyBorder="1" applyAlignment="1">
      <alignment horizontal="left" vertical="center"/>
    </xf>
    <xf numFmtId="0" fontId="46" fillId="0" borderId="47" xfId="24" applyFont="1" applyBorder="1" applyAlignment="1">
      <alignment horizontal="right" vertical="center"/>
    </xf>
    <xf numFmtId="0" fontId="46" fillId="0" borderId="47" xfId="24" applyFont="1" applyBorder="1" applyAlignment="1">
      <alignment vertical="center"/>
    </xf>
    <xf numFmtId="0" fontId="48" fillId="0" borderId="48" xfId="24" applyFont="1" applyBorder="1" applyAlignment="1">
      <alignment vertical="center"/>
    </xf>
    <xf numFmtId="173" fontId="48" fillId="0" borderId="48" xfId="24" applyNumberFormat="1" applyFont="1" applyBorder="1" applyAlignment="1">
      <alignment horizontal="right" vertical="center"/>
    </xf>
    <xf numFmtId="0" fontId="48" fillId="28" borderId="49" xfId="24" applyFont="1" applyFill="1" applyBorder="1" applyAlignment="1">
      <alignment vertical="center"/>
    </xf>
    <xf numFmtId="173" fontId="48" fillId="28" borderId="49" xfId="24" applyNumberFormat="1" applyFont="1" applyFill="1" applyBorder="1" applyAlignment="1">
      <alignment horizontal="right" vertical="center"/>
    </xf>
    <xf numFmtId="0" fontId="48" fillId="0" borderId="0" xfId="0" applyFont="1" applyAlignment="1">
      <alignment vertical="center"/>
    </xf>
    <xf numFmtId="0" fontId="48" fillId="0" borderId="0" xfId="0" applyFont="1" applyAlignment="1">
      <alignment vertical="top"/>
    </xf>
    <xf numFmtId="0" fontId="43" fillId="0" borderId="0" xfId="28" applyFont="1" applyAlignment="1">
      <alignment vertical="center"/>
    </xf>
    <xf numFmtId="0" fontId="45" fillId="0" borderId="0" xfId="28" applyFont="1" applyAlignment="1">
      <alignment vertical="center"/>
    </xf>
    <xf numFmtId="0" fontId="46" fillId="0" borderId="47" xfId="28" applyFont="1" applyBorder="1" applyAlignment="1">
      <alignment vertical="center"/>
    </xf>
    <xf numFmtId="0" fontId="46" fillId="0" borderId="47" xfId="28" applyFont="1" applyBorder="1" applyAlignment="1">
      <alignment horizontal="left" vertical="center"/>
    </xf>
    <xf numFmtId="0" fontId="46" fillId="0" borderId="47" xfId="28" applyFont="1" applyBorder="1" applyAlignment="1">
      <alignment horizontal="right" vertical="center"/>
    </xf>
    <xf numFmtId="0" fontId="48" fillId="0" borderId="0" xfId="28" applyFont="1" applyAlignment="1">
      <alignment vertical="center"/>
    </xf>
    <xf numFmtId="0" fontId="48" fillId="0" borderId="48" xfId="28" applyFont="1" applyBorder="1" applyAlignment="1">
      <alignment vertical="center"/>
    </xf>
    <xf numFmtId="173" fontId="48" fillId="0" borderId="48" xfId="28" applyNumberFormat="1" applyFont="1" applyBorder="1" applyAlignment="1">
      <alignment horizontal="right" vertical="center"/>
    </xf>
    <xf numFmtId="167" fontId="42" fillId="14" borderId="0" xfId="7" applyFont="1" applyFill="1"/>
    <xf numFmtId="0" fontId="48" fillId="28" borderId="49" xfId="28" applyFont="1" applyFill="1" applyBorder="1" applyAlignment="1">
      <alignment vertical="center"/>
    </xf>
    <xf numFmtId="173" fontId="48" fillId="28" borderId="49" xfId="28" applyNumberFormat="1" applyFont="1" applyFill="1" applyBorder="1" applyAlignment="1">
      <alignment horizontal="right" vertical="center"/>
    </xf>
    <xf numFmtId="0" fontId="47" fillId="0" borderId="0" xfId="28" applyFont="1"/>
    <xf numFmtId="0" fontId="48" fillId="0" borderId="0" xfId="28" applyFont="1" applyAlignment="1">
      <alignment vertical="top"/>
    </xf>
    <xf numFmtId="0" fontId="43" fillId="0" borderId="0" xfId="31" applyFont="1" applyAlignment="1">
      <alignment vertical="center"/>
    </xf>
    <xf numFmtId="0" fontId="44" fillId="0" borderId="0" xfId="31" applyFont="1"/>
    <xf numFmtId="0" fontId="45" fillId="0" borderId="0" xfId="31" applyFont="1" applyAlignment="1">
      <alignment vertical="center"/>
    </xf>
    <xf numFmtId="0" fontId="45" fillId="0" borderId="0" xfId="31" applyFont="1"/>
    <xf numFmtId="0" fontId="46" fillId="0" borderId="47" xfId="31" applyFont="1" applyBorder="1" applyAlignment="1">
      <alignment vertical="center"/>
    </xf>
    <xf numFmtId="0" fontId="46" fillId="0" borderId="47" xfId="31" applyFont="1" applyBorder="1" applyAlignment="1">
      <alignment horizontal="left" vertical="center"/>
    </xf>
    <xf numFmtId="0" fontId="46" fillId="0" borderId="47" xfId="31" applyFont="1" applyBorder="1" applyAlignment="1">
      <alignment horizontal="right" vertical="center"/>
    </xf>
    <xf numFmtId="0" fontId="47" fillId="0" borderId="0" xfId="31" applyFont="1"/>
    <xf numFmtId="0" fontId="48" fillId="0" borderId="0" xfId="31" applyFont="1" applyAlignment="1">
      <alignment vertical="center"/>
    </xf>
    <xf numFmtId="0" fontId="48" fillId="0" borderId="48" xfId="31" applyFont="1" applyBorder="1" applyAlignment="1">
      <alignment vertical="center"/>
    </xf>
    <xf numFmtId="173" fontId="48" fillId="0" borderId="48" xfId="31" applyNumberFormat="1" applyFont="1" applyBorder="1" applyAlignment="1">
      <alignment horizontal="right" vertical="center"/>
    </xf>
    <xf numFmtId="0" fontId="48" fillId="28" borderId="49" xfId="31" applyFont="1" applyFill="1" applyBorder="1" applyAlignment="1">
      <alignment vertical="center"/>
    </xf>
    <xf numFmtId="173" fontId="48" fillId="28" borderId="49" xfId="31" applyNumberFormat="1" applyFont="1" applyFill="1" applyBorder="1" applyAlignment="1">
      <alignment horizontal="right" vertical="center"/>
    </xf>
    <xf numFmtId="0" fontId="48" fillId="0" borderId="0" xfId="31" applyFont="1" applyAlignment="1">
      <alignment vertical="top"/>
    </xf>
    <xf numFmtId="177" fontId="42" fillId="0" borderId="0" xfId="9" applyNumberFormat="1"/>
    <xf numFmtId="167" fontId="46" fillId="0" borderId="47" xfId="7" applyFont="1" applyBorder="1" applyAlignment="1">
      <alignment horizontal="right" vertical="center"/>
    </xf>
    <xf numFmtId="167" fontId="42" fillId="0" borderId="0" xfId="7" applyFont="1" applyAlignment="1">
      <alignment vertical="center"/>
    </xf>
    <xf numFmtId="167" fontId="42" fillId="0" borderId="48" xfId="7" applyFont="1" applyFill="1" applyBorder="1" applyAlignment="1">
      <alignment vertical="center"/>
    </xf>
    <xf numFmtId="167" fontId="48" fillId="28" borderId="49" xfId="7" applyFont="1" applyFill="1" applyBorder="1" applyAlignment="1">
      <alignment vertical="center"/>
    </xf>
    <xf numFmtId="177" fontId="0" fillId="0" borderId="0" xfId="10" applyNumberFormat="1" applyFont="1" applyAlignment="1">
      <alignment horizontal="right" vertical="center"/>
    </xf>
    <xf numFmtId="177" fontId="0" fillId="0" borderId="0" xfId="10" applyNumberFormat="1" applyFont="1"/>
    <xf numFmtId="9" fontId="0" fillId="0" borderId="0" xfId="1" applyFont="1" applyAlignment="1">
      <alignment horizontal="center" vertical="center"/>
    </xf>
    <xf numFmtId="9" fontId="0" fillId="0" borderId="48" xfId="1" applyFont="1" applyBorder="1" applyAlignment="1">
      <alignment horizontal="center" vertical="center"/>
    </xf>
    <xf numFmtId="177" fontId="48" fillId="28" borderId="49" xfId="10" applyNumberFormat="1" applyFont="1" applyFill="1" applyBorder="1" applyAlignment="1">
      <alignment horizontal="center" vertical="center"/>
    </xf>
    <xf numFmtId="10" fontId="48" fillId="28" borderId="49" xfId="25" applyNumberFormat="1" applyFont="1" applyFill="1" applyBorder="1" applyAlignment="1">
      <alignment horizontal="center" vertical="center"/>
    </xf>
    <xf numFmtId="177" fontId="25" fillId="0" borderId="0" xfId="7" applyNumberFormat="1" applyFont="1" applyAlignment="1">
      <alignment horizontal="center" vertical="center" wrapText="1"/>
    </xf>
    <xf numFmtId="177" fontId="0" fillId="36" borderId="0" xfId="0" applyNumberFormat="1" applyFill="1"/>
    <xf numFmtId="0" fontId="173" fillId="0" borderId="0" xfId="0" applyFont="1" applyAlignment="1">
      <alignment horizontal="center" vertical="center" wrapText="1"/>
    </xf>
    <xf numFmtId="167" fontId="144" fillId="0" borderId="41" xfId="10" applyFont="1" applyFill="1" applyBorder="1"/>
    <xf numFmtId="167" fontId="73" fillId="0" borderId="41" xfId="10" applyFont="1" applyBorder="1"/>
    <xf numFmtId="167" fontId="73" fillId="0" borderId="41" xfId="10" applyFont="1" applyFill="1" applyBorder="1"/>
    <xf numFmtId="167" fontId="25" fillId="0" borderId="41" xfId="10" applyFont="1" applyBorder="1"/>
    <xf numFmtId="4" fontId="143" fillId="50" borderId="0" xfId="9" applyNumberFormat="1" applyFont="1" applyFill="1"/>
    <xf numFmtId="0" fontId="184" fillId="0" borderId="0" xfId="35"/>
    <xf numFmtId="0" fontId="184" fillId="0" borderId="0" xfId="35" applyAlignment="1">
      <alignment vertical="top"/>
    </xf>
    <xf numFmtId="0" fontId="185" fillId="0" borderId="0" xfId="35" applyFont="1" applyAlignment="1">
      <alignment vertical="top"/>
    </xf>
    <xf numFmtId="0" fontId="185" fillId="0" borderId="48" xfId="35" applyFont="1" applyBorder="1" applyAlignment="1">
      <alignment vertical="center"/>
    </xf>
    <xf numFmtId="173" fontId="185" fillId="0" borderId="48" xfId="35" applyNumberFormat="1" applyFont="1" applyBorder="1" applyAlignment="1">
      <alignment horizontal="right" vertical="center"/>
    </xf>
    <xf numFmtId="0" fontId="184" fillId="0" borderId="48" xfId="35" applyBorder="1" applyAlignment="1">
      <alignment vertical="center"/>
    </xf>
    <xf numFmtId="173" fontId="184" fillId="0" borderId="48" xfId="35" applyNumberFormat="1" applyBorder="1" applyAlignment="1">
      <alignment horizontal="right" vertical="center"/>
    </xf>
    <xf numFmtId="0" fontId="184" fillId="0" borderId="0" xfId="35" applyAlignment="1">
      <alignment vertical="center"/>
    </xf>
    <xf numFmtId="173" fontId="184" fillId="0" borderId="0" xfId="35" applyNumberFormat="1" applyAlignment="1">
      <alignment horizontal="right" vertical="center"/>
    </xf>
    <xf numFmtId="0" fontId="186" fillId="0" borderId="0" xfId="35" applyFont="1"/>
    <xf numFmtId="0" fontId="187" fillId="0" borderId="47" xfId="35" applyFont="1" applyBorder="1" applyAlignment="1">
      <alignment vertical="center"/>
    </xf>
    <xf numFmtId="0" fontId="185" fillId="28" borderId="49" xfId="35" applyFont="1" applyFill="1" applyBorder="1" applyAlignment="1">
      <alignment vertical="center"/>
    </xf>
    <xf numFmtId="173" fontId="185" fillId="28" borderId="49" xfId="35" applyNumberFormat="1" applyFont="1" applyFill="1" applyBorder="1" applyAlignment="1">
      <alignment horizontal="right" vertical="center"/>
    </xf>
    <xf numFmtId="0" fontId="185" fillId="0" borderId="0" xfId="35" applyFont="1" applyAlignment="1">
      <alignment vertical="center"/>
    </xf>
    <xf numFmtId="0" fontId="187" fillId="0" borderId="47" xfId="35" applyFont="1" applyBorder="1" applyAlignment="1">
      <alignment horizontal="right" vertical="center"/>
    </xf>
    <xf numFmtId="0" fontId="187" fillId="0" borderId="47" xfId="35" applyFont="1" applyBorder="1" applyAlignment="1">
      <alignment horizontal="left" vertical="center"/>
    </xf>
    <xf numFmtId="0" fontId="188" fillId="0" borderId="0" xfId="35" applyFont="1"/>
    <xf numFmtId="0" fontId="188" fillId="0" borderId="0" xfId="35" applyFont="1" applyAlignment="1">
      <alignment vertical="center"/>
    </xf>
    <xf numFmtId="0" fontId="189" fillId="0" borderId="0" xfId="35" applyFont="1"/>
    <xf numFmtId="0" fontId="190" fillId="0" borderId="0" xfId="35" applyFont="1" applyAlignment="1">
      <alignment vertical="center"/>
    </xf>
    <xf numFmtId="167" fontId="184" fillId="0" borderId="0" xfId="7" applyFont="1"/>
    <xf numFmtId="167" fontId="48" fillId="0" borderId="0" xfId="35" applyNumberFormat="1" applyFont="1"/>
    <xf numFmtId="167" fontId="46" fillId="22" borderId="47" xfId="7" applyFont="1" applyFill="1" applyBorder="1" applyAlignment="1">
      <alignment vertical="center"/>
    </xf>
    <xf numFmtId="167" fontId="42" fillId="22" borderId="0" xfId="7" applyFont="1" applyFill="1" applyAlignment="1">
      <alignment horizontal="right" vertical="center"/>
    </xf>
    <xf numFmtId="167" fontId="42" fillId="22" borderId="48" xfId="7" applyFont="1" applyFill="1" applyBorder="1" applyAlignment="1">
      <alignment horizontal="right" vertical="center"/>
    </xf>
    <xf numFmtId="167" fontId="48" fillId="22" borderId="49" xfId="7" applyFont="1" applyFill="1" applyBorder="1" applyAlignment="1">
      <alignment horizontal="right" vertical="center"/>
    </xf>
    <xf numFmtId="0" fontId="44" fillId="54" borderId="0" xfId="25" applyFont="1" applyFill="1"/>
    <xf numFmtId="0" fontId="45" fillId="54" borderId="0" xfId="25" applyFont="1" applyFill="1"/>
    <xf numFmtId="0" fontId="42" fillId="54" borderId="0" xfId="25" applyFill="1"/>
    <xf numFmtId="14" fontId="46" fillId="54" borderId="47" xfId="7" applyNumberFormat="1" applyFont="1" applyFill="1" applyBorder="1" applyAlignment="1">
      <alignment horizontal="right" vertical="center"/>
    </xf>
    <xf numFmtId="0" fontId="47" fillId="54" borderId="0" xfId="25" applyFont="1" applyFill="1"/>
    <xf numFmtId="167" fontId="42" fillId="54" borderId="48" xfId="7" applyFont="1" applyFill="1" applyBorder="1" applyAlignment="1">
      <alignment horizontal="right" vertical="center"/>
    </xf>
    <xf numFmtId="167" fontId="48" fillId="22" borderId="0" xfId="7" applyFont="1" applyFill="1" applyBorder="1" applyAlignment="1">
      <alignment horizontal="right" vertical="center"/>
    </xf>
    <xf numFmtId="167" fontId="48" fillId="54" borderId="0" xfId="7" applyFont="1" applyFill="1" applyBorder="1" applyAlignment="1">
      <alignment horizontal="right" vertical="center"/>
    </xf>
    <xf numFmtId="167" fontId="42" fillId="54" borderId="0" xfId="25" applyNumberFormat="1" applyFill="1"/>
    <xf numFmtId="177" fontId="44" fillId="0" borderId="0" xfId="7" applyNumberFormat="1" applyFont="1"/>
    <xf numFmtId="177" fontId="45" fillId="0" borderId="0" xfId="7" applyNumberFormat="1" applyFont="1"/>
    <xf numFmtId="177" fontId="0" fillId="0" borderId="21" xfId="7" applyNumberFormat="1" applyFont="1" applyBorder="1"/>
    <xf numFmtId="177" fontId="0" fillId="0" borderId="6" xfId="7" applyNumberFormat="1" applyFont="1" applyBorder="1"/>
    <xf numFmtId="177" fontId="27" fillId="9" borderId="0" xfId="7" applyNumberFormat="1" applyFont="1" applyFill="1" applyBorder="1" applyAlignment="1">
      <alignment horizontal="right"/>
    </xf>
    <xf numFmtId="0" fontId="46" fillId="0" borderId="0" xfId="25" applyFont="1"/>
    <xf numFmtId="177" fontId="48" fillId="9" borderId="0" xfId="25" applyNumberFormat="1" applyFont="1" applyFill="1"/>
    <xf numFmtId="4" fontId="191" fillId="9" borderId="0" xfId="9" applyNumberFormat="1" applyFont="1" applyFill="1"/>
    <xf numFmtId="38" fontId="14" fillId="18" borderId="0" xfId="0" applyNumberFormat="1" applyFont="1" applyFill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8" fillId="2" borderId="0" xfId="0" applyFont="1" applyFill="1" applyAlignment="1">
      <alignment horizontal="center" vertical="center" textRotation="90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8" fillId="2" borderId="30" xfId="0" applyFont="1" applyFill="1" applyBorder="1" applyAlignment="1">
      <alignment horizontal="center" vertical="center" wrapText="1"/>
    </xf>
    <xf numFmtId="0" fontId="18" fillId="2" borderId="3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/>
    </xf>
    <xf numFmtId="0" fontId="18" fillId="2" borderId="15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24" fillId="2" borderId="30" xfId="0" applyFont="1" applyFill="1" applyBorder="1" applyAlignment="1">
      <alignment horizontal="center" vertical="center" wrapText="1"/>
    </xf>
    <xf numFmtId="0" fontId="24" fillId="2" borderId="31" xfId="0" applyFont="1" applyFill="1" applyBorder="1" applyAlignment="1">
      <alignment horizontal="center" vertical="center" wrapText="1"/>
    </xf>
    <xf numFmtId="0" fontId="21" fillId="2" borderId="30" xfId="0" applyFont="1" applyFill="1" applyBorder="1" applyAlignment="1">
      <alignment horizontal="center" vertical="center" wrapText="1"/>
    </xf>
    <xf numFmtId="0" fontId="21" fillId="2" borderId="31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19" fillId="16" borderId="0" xfId="0" applyFont="1" applyFill="1" applyAlignment="1">
      <alignment horizontal="center" wrapText="1"/>
    </xf>
    <xf numFmtId="0" fontId="21" fillId="2" borderId="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1" fillId="2" borderId="4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17" fillId="2" borderId="30" xfId="0" applyFont="1" applyFill="1" applyBorder="1" applyAlignment="1">
      <alignment horizontal="center" vertical="center" wrapText="1"/>
    </xf>
    <xf numFmtId="0" fontId="17" fillId="2" borderId="3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21" fillId="9" borderId="30" xfId="0" applyFont="1" applyFill="1" applyBorder="1" applyAlignment="1">
      <alignment horizontal="center" vertical="center" wrapText="1"/>
    </xf>
    <xf numFmtId="0" fontId="21" fillId="9" borderId="31" xfId="0" applyFont="1" applyFill="1" applyBorder="1" applyAlignment="1">
      <alignment horizontal="center" vertical="center" wrapText="1"/>
    </xf>
    <xf numFmtId="0" fontId="35" fillId="0" borderId="47" xfId="0" applyFont="1" applyBorder="1" applyAlignment="1">
      <alignment vertical="center"/>
    </xf>
    <xf numFmtId="0" fontId="35" fillId="0" borderId="48" xfId="0" applyFont="1" applyBorder="1" applyAlignment="1">
      <alignment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6" fillId="0" borderId="0" xfId="0" applyFont="1"/>
    <xf numFmtId="0" fontId="36" fillId="0" borderId="50" xfId="0" applyFont="1" applyBorder="1"/>
    <xf numFmtId="0" fontId="17" fillId="30" borderId="30" xfId="0" applyFont="1" applyFill="1" applyBorder="1" applyAlignment="1">
      <alignment horizontal="center" vertical="center" wrapText="1"/>
    </xf>
    <xf numFmtId="0" fontId="17" fillId="30" borderId="31" xfId="0" applyFont="1" applyFill="1" applyBorder="1" applyAlignment="1">
      <alignment horizontal="center" vertical="center" wrapText="1"/>
    </xf>
    <xf numFmtId="0" fontId="59" fillId="30" borderId="30" xfId="0" applyFont="1" applyFill="1" applyBorder="1" applyAlignment="1">
      <alignment horizontal="center" vertical="center" wrapText="1"/>
    </xf>
    <xf numFmtId="0" fontId="59" fillId="30" borderId="31" xfId="0" applyFont="1" applyFill="1" applyBorder="1" applyAlignment="1">
      <alignment horizontal="center" vertical="center" wrapText="1"/>
    </xf>
    <xf numFmtId="0" fontId="79" fillId="4" borderId="42" xfId="4" applyFont="1" applyFill="1" applyBorder="1" applyAlignment="1">
      <alignment horizontal="left"/>
    </xf>
    <xf numFmtId="0" fontId="79" fillId="4" borderId="54" xfId="4" applyFont="1" applyFill="1" applyBorder="1" applyAlignment="1">
      <alignment horizontal="left"/>
    </xf>
    <xf numFmtId="0" fontId="79" fillId="4" borderId="75" xfId="4" applyFont="1" applyFill="1" applyBorder="1" applyAlignment="1">
      <alignment horizontal="left"/>
    </xf>
    <xf numFmtId="177" fontId="17" fillId="44" borderId="72" xfId="7" applyNumberFormat="1" applyFont="1" applyFill="1" applyBorder="1" applyAlignment="1">
      <alignment horizontal="center" vertical="center" wrapText="1"/>
    </xf>
    <xf numFmtId="177" fontId="17" fillId="44" borderId="92" xfId="7" applyNumberFormat="1" applyFont="1" applyFill="1" applyBorder="1" applyAlignment="1">
      <alignment horizontal="center" vertical="center" wrapText="1"/>
    </xf>
    <xf numFmtId="0" fontId="59" fillId="44" borderId="30" xfId="0" applyFont="1" applyFill="1" applyBorder="1" applyAlignment="1">
      <alignment horizontal="center" vertical="center" wrapText="1"/>
    </xf>
    <xf numFmtId="0" fontId="59" fillId="44" borderId="31" xfId="0" applyFont="1" applyFill="1" applyBorder="1" applyAlignment="1">
      <alignment horizontal="center" vertical="center" wrapText="1"/>
    </xf>
    <xf numFmtId="177" fontId="17" fillId="45" borderId="72" xfId="7" applyNumberFormat="1" applyFont="1" applyFill="1" applyBorder="1" applyAlignment="1">
      <alignment horizontal="center" vertical="center" wrapText="1"/>
    </xf>
    <xf numFmtId="177" fontId="17" fillId="45" borderId="92" xfId="7" applyNumberFormat="1" applyFont="1" applyFill="1" applyBorder="1" applyAlignment="1">
      <alignment horizontal="center" vertical="center" wrapText="1"/>
    </xf>
    <xf numFmtId="0" fontId="17" fillId="45" borderId="21" xfId="0" applyFont="1" applyFill="1" applyBorder="1" applyAlignment="1">
      <alignment horizontal="center"/>
    </xf>
    <xf numFmtId="0" fontId="25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45" fillId="0" borderId="0" xfId="9" applyFont="1" applyAlignment="1">
      <alignment horizontal="center" vertical="center" wrapText="1"/>
    </xf>
    <xf numFmtId="0" fontId="45" fillId="0" borderId="0" xfId="9" applyFont="1" applyAlignment="1">
      <alignment horizontal="center" vertical="center"/>
    </xf>
    <xf numFmtId="0" fontId="123" fillId="4" borderId="7" xfId="4" applyFont="1" applyFill="1" applyBorder="1" applyAlignment="1">
      <alignment horizontal="left" vertical="center" wrapText="1"/>
    </xf>
    <xf numFmtId="0" fontId="123" fillId="4" borderId="7" xfId="4" applyFont="1" applyFill="1" applyBorder="1" applyAlignment="1">
      <alignment horizontal="center" vertical="center" wrapText="1"/>
    </xf>
    <xf numFmtId="4" fontId="134" fillId="0" borderId="42" xfId="4" applyNumberFormat="1" applyFont="1" applyBorder="1" applyAlignment="1">
      <alignment horizontal="center" wrapText="1"/>
    </xf>
    <xf numFmtId="4" fontId="134" fillId="0" borderId="54" xfId="4" applyNumberFormat="1" applyFont="1" applyBorder="1" applyAlignment="1">
      <alignment horizontal="center" wrapText="1"/>
    </xf>
    <xf numFmtId="4" fontId="134" fillId="0" borderId="75" xfId="4" applyNumberFormat="1" applyFont="1" applyBorder="1" applyAlignment="1">
      <alignment horizontal="center" wrapText="1"/>
    </xf>
    <xf numFmtId="0" fontId="123" fillId="4" borderId="42" xfId="4" applyFont="1" applyFill="1" applyBorder="1" applyAlignment="1">
      <alignment horizontal="left"/>
    </xf>
    <xf numFmtId="0" fontId="123" fillId="4" borderId="54" xfId="4" applyFont="1" applyFill="1" applyBorder="1" applyAlignment="1">
      <alignment horizontal="left"/>
    </xf>
    <xf numFmtId="0" fontId="123" fillId="4" borderId="75" xfId="4" applyFont="1" applyFill="1" applyBorder="1" applyAlignment="1">
      <alignment horizontal="left"/>
    </xf>
    <xf numFmtId="17" fontId="123" fillId="4" borderId="42" xfId="4" applyNumberFormat="1" applyFont="1" applyFill="1" applyBorder="1" applyAlignment="1">
      <alignment horizontal="center"/>
    </xf>
    <xf numFmtId="0" fontId="123" fillId="4" borderId="75" xfId="4" applyFont="1" applyFill="1" applyBorder="1" applyAlignment="1">
      <alignment horizontal="center"/>
    </xf>
    <xf numFmtId="0" fontId="123" fillId="4" borderId="42" xfId="4" applyFont="1" applyFill="1" applyBorder="1" applyAlignment="1">
      <alignment horizontal="center"/>
    </xf>
    <xf numFmtId="0" fontId="47" fillId="0" borderId="0" xfId="21" applyFont="1" applyAlignment="1">
      <alignment horizontal="center" vertical="center" wrapText="1"/>
    </xf>
    <xf numFmtId="0" fontId="48" fillId="0" borderId="0" xfId="21" applyFont="1" applyAlignment="1">
      <alignment horizontal="center" vertical="center"/>
    </xf>
    <xf numFmtId="0" fontId="152" fillId="0" borderId="0" xfId="21" applyFont="1" applyAlignment="1">
      <alignment horizontal="center" vertical="center"/>
    </xf>
    <xf numFmtId="0" fontId="4" fillId="0" borderId="0" xfId="25" applyFont="1" applyAlignment="1">
      <alignment horizontal="center" vertical="center"/>
    </xf>
    <xf numFmtId="0" fontId="152" fillId="0" borderId="0" xfId="25" applyFont="1" applyAlignment="1">
      <alignment horizontal="center" vertical="center"/>
    </xf>
    <xf numFmtId="0" fontId="45" fillId="0" borderId="0" xfId="25" applyFont="1" applyAlignment="1">
      <alignment horizontal="center" vertical="center" wrapText="1"/>
    </xf>
    <xf numFmtId="0" fontId="45" fillId="0" borderId="0" xfId="25" applyFont="1" applyAlignment="1">
      <alignment horizontal="center" vertical="center"/>
    </xf>
    <xf numFmtId="0" fontId="47" fillId="0" borderId="0" xfId="25" applyFont="1" applyAlignment="1">
      <alignment horizontal="center" vertical="center" wrapText="1"/>
    </xf>
    <xf numFmtId="0" fontId="47" fillId="0" borderId="0" xfId="25" applyFont="1" applyAlignment="1">
      <alignment horizontal="center" vertical="center"/>
    </xf>
    <xf numFmtId="0" fontId="43" fillId="0" borderId="0" xfId="9" applyFont="1" applyAlignment="1">
      <alignment horizontal="center" vertical="center"/>
    </xf>
    <xf numFmtId="177" fontId="25" fillId="0" borderId="0" xfId="0" applyNumberFormat="1" applyFont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177" fontId="17" fillId="44" borderId="30" xfId="7" applyNumberFormat="1" applyFont="1" applyFill="1" applyBorder="1" applyAlignment="1">
      <alignment horizontal="center" vertical="center" wrapText="1"/>
    </xf>
    <xf numFmtId="177" fontId="17" fillId="44" borderId="31" xfId="7" applyNumberFormat="1" applyFont="1" applyFill="1" applyBorder="1" applyAlignment="1">
      <alignment horizontal="center" vertical="center" wrapText="1"/>
    </xf>
    <xf numFmtId="177" fontId="17" fillId="44" borderId="4" xfId="7" applyNumberFormat="1" applyFont="1" applyFill="1" applyBorder="1" applyAlignment="1">
      <alignment horizontal="center" vertical="center" wrapText="1"/>
    </xf>
    <xf numFmtId="0" fontId="61" fillId="0" borderId="4" xfId="0" applyFont="1" applyBorder="1" applyAlignment="1">
      <alignment horizontal="center" vertical="center" wrapText="1"/>
    </xf>
    <xf numFmtId="177" fontId="25" fillId="36" borderId="0" xfId="0" applyNumberFormat="1" applyFont="1" applyFill="1" applyAlignment="1">
      <alignment horizontal="center" vertical="center"/>
    </xf>
    <xf numFmtId="0" fontId="25" fillId="17" borderId="1" xfId="0" applyFont="1" applyFill="1" applyBorder="1" applyAlignment="1">
      <alignment horizontal="center"/>
    </xf>
    <xf numFmtId="0" fontId="25" fillId="17" borderId="15" xfId="0" applyFont="1" applyFill="1" applyBorder="1" applyAlignment="1">
      <alignment horizontal="center"/>
    </xf>
    <xf numFmtId="0" fontId="25" fillId="17" borderId="2" xfId="0" applyFont="1" applyFill="1" applyBorder="1" applyAlignment="1">
      <alignment horizontal="center"/>
    </xf>
  </cellXfs>
  <cellStyles count="36">
    <cellStyle name="Currency 3" xfId="3" xr:uid="{686233B8-9FED-4C73-8821-2A5D99C7EC2C}"/>
    <cellStyle name="Hipervínculo" xfId="22" builtinId="8"/>
    <cellStyle name="Millares" xfId="7" builtinId="3"/>
    <cellStyle name="Millares 2" xfId="10" xr:uid="{5DD6B488-478C-4755-B686-EA7FEA783DE8}"/>
    <cellStyle name="Millares 3" xfId="16" xr:uid="{BDF099DE-249C-4BDF-A3FF-41E1482D1785}"/>
    <cellStyle name="Millares 4" xfId="19" xr:uid="{D4C77A3D-5480-4D58-B02C-946F7467DBED}"/>
    <cellStyle name="Millares 5" xfId="23" xr:uid="{23D1AA9D-C521-4CAB-97C8-81DB304AB707}"/>
    <cellStyle name="Millares 6" xfId="34" xr:uid="{FF04C429-B98B-4114-8CCF-18064ACC8AD4}"/>
    <cellStyle name="Moneda" xfId="6" builtinId="4"/>
    <cellStyle name="Moneda 2" xfId="33" xr:uid="{C1209BC3-28C0-4185-BD68-4D9CD20472AE}"/>
    <cellStyle name="Normal" xfId="0" builtinId="0"/>
    <cellStyle name="Normal 10" xfId="4" xr:uid="{1E83CB1F-015D-4466-AA64-6CBEC3DE1F6A}"/>
    <cellStyle name="Normal 11" xfId="24" xr:uid="{88398EBC-1EAA-43FC-98E8-9033A51ACCCF}"/>
    <cellStyle name="Normal 11 2" xfId="25" xr:uid="{01136693-3531-4F41-B33A-DCABCE9D6BA6}"/>
    <cellStyle name="Normal 12" xfId="27" xr:uid="{6A166006-4014-4571-9AE0-9664A01ADCDF}"/>
    <cellStyle name="Normal 13" xfId="28" xr:uid="{84586E5C-4C65-4B0F-8429-54350E7E6E91}"/>
    <cellStyle name="Normal 13 2" xfId="29" xr:uid="{FC48A709-9A8A-4478-B27B-EA9AF372B3BB}"/>
    <cellStyle name="Normal 14" xfId="31" xr:uid="{FA2AE43C-566A-4BB1-A213-5BA178235FEE}"/>
    <cellStyle name="Normal 15" xfId="35" xr:uid="{8B9E1AC5-E2A6-490C-91F1-E5C990334EF1}"/>
    <cellStyle name="Normal 2" xfId="2" xr:uid="{A31BBD74-E38D-4896-BEE4-9F7DAFE79FD9}"/>
    <cellStyle name="Normal 2 2" xfId="9" xr:uid="{60458A27-1B86-4EA8-A880-0785DFF42224}"/>
    <cellStyle name="Normal 3" xfId="8" xr:uid="{9087325A-B10E-428D-BB39-684725C768BA}"/>
    <cellStyle name="Normal 4" xfId="11" xr:uid="{EA83237E-16FA-4F55-8A85-79A41394E591}"/>
    <cellStyle name="Normal 5" xfId="12" xr:uid="{1AEF69F0-FA04-46C4-B0E8-25F9C06758F2}"/>
    <cellStyle name="Normal 6" xfId="13" xr:uid="{832B7314-97F8-4A7E-A997-3FDD87527586}"/>
    <cellStyle name="Normal 6 2" xfId="14" xr:uid="{D10CC195-7A23-44B4-A88C-94882159D6F9}"/>
    <cellStyle name="Normal 7" xfId="15" xr:uid="{A827C2CA-5F91-4BBA-8D61-EE54F78031FB}"/>
    <cellStyle name="Normal 8" xfId="20" xr:uid="{1F50F186-EEB6-42FE-A987-44E906DE6D89}"/>
    <cellStyle name="Normal 9" xfId="21" xr:uid="{46E1C3B4-9ECA-4486-A45D-9FFD6DF727F4}"/>
    <cellStyle name="Normal 9 2" xfId="26" xr:uid="{2278468B-B3F4-4E89-B609-CB2E6EC3B1F1}"/>
    <cellStyle name="Percent 4" xfId="18" xr:uid="{676C3A21-F2ED-48F6-A844-899278661BDE}"/>
    <cellStyle name="Percent 6" xfId="5" xr:uid="{E06879C1-AB25-44A9-91C6-A564343F7F2D}"/>
    <cellStyle name="Porcentaje" xfId="1" builtinId="5"/>
    <cellStyle name="Porcentaje 2" xfId="17" xr:uid="{ADB5798D-BE3A-4842-BE52-E0697B5A8FF6}"/>
    <cellStyle name="Porcentaje 3" xfId="30" xr:uid="{395E14C2-EE3C-40EE-9D18-439AA1437120}"/>
    <cellStyle name="Porcentaje 4" xfId="32" xr:uid="{F77D0184-8E26-4D56-83A7-CE6619909144}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/>
    </dxf>
    <dxf>
      <alignment horizontal="general"/>
    </dxf>
    <dxf>
      <numFmt numFmtId="177" formatCode="_(* #,##0_);_(* \(#,##0\);_(* &quot;-&quot;??_);_(@_)"/>
    </dxf>
    <dxf>
      <numFmt numFmtId="177" formatCode="_(* #,##0_);_(* \(#,##0\);_(* &quot;-&quot;??_);_(@_)"/>
    </dxf>
    <dxf>
      <alignment wrapText="1"/>
    </dxf>
    <dxf>
      <alignment wrapText="1"/>
    </dxf>
    <dxf>
      <font>
        <color rgb="FFFF0000"/>
      </font>
    </dxf>
    <dxf>
      <font>
        <color rgb="FFFF0000"/>
      </font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247" Type="http://schemas.openxmlformats.org/officeDocument/2006/relationships/sharedStrings" Target="sharedStrings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sheetMetadata" Target="metadata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worksheet" Target="worksheets/sheet166.xml"/><Relationship Id="rId182" Type="http://schemas.openxmlformats.org/officeDocument/2006/relationships/worksheet" Target="worksheets/sheet182.xml"/><Relationship Id="rId187" Type="http://schemas.openxmlformats.org/officeDocument/2006/relationships/worksheet" Target="worksheets/sheet187.xml"/><Relationship Id="rId217" Type="http://schemas.openxmlformats.org/officeDocument/2006/relationships/worksheet" Target="worksheets/sheet2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38" Type="http://schemas.openxmlformats.org/officeDocument/2006/relationships/worksheet" Target="worksheets/sheet238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2" Type="http://schemas.openxmlformats.org/officeDocument/2006/relationships/worksheet" Target="worksheets/sheet202.xml"/><Relationship Id="rId207" Type="http://schemas.openxmlformats.org/officeDocument/2006/relationships/worksheet" Target="worksheets/sheet207.xml"/><Relationship Id="rId223" Type="http://schemas.openxmlformats.org/officeDocument/2006/relationships/worksheet" Target="worksheets/sheet223.xml"/><Relationship Id="rId228" Type="http://schemas.openxmlformats.org/officeDocument/2006/relationships/worksheet" Target="worksheets/sheet228.xml"/><Relationship Id="rId244" Type="http://schemas.openxmlformats.org/officeDocument/2006/relationships/pivotCacheDefinition" Target="pivotCache/pivotCacheDefinition3.xml"/><Relationship Id="rId249" Type="http://schemas.openxmlformats.org/officeDocument/2006/relationships/calcChain" Target="calcChain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3" Type="http://schemas.openxmlformats.org/officeDocument/2006/relationships/worksheet" Target="worksheets/sheet213.xml"/><Relationship Id="rId218" Type="http://schemas.openxmlformats.org/officeDocument/2006/relationships/worksheet" Target="worksheets/sheet218.xml"/><Relationship Id="rId234" Type="http://schemas.openxmlformats.org/officeDocument/2006/relationships/worksheet" Target="worksheets/sheet234.xml"/><Relationship Id="rId239" Type="http://schemas.openxmlformats.org/officeDocument/2006/relationships/worksheet" Target="worksheets/sheet239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0" Type="http://schemas.microsoft.com/office/2017/10/relationships/person" Target="persons/person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0" Type="http://schemas.openxmlformats.org/officeDocument/2006/relationships/worksheet" Target="worksheets/sheet240.xml"/><Relationship Id="rId245" Type="http://schemas.openxmlformats.org/officeDocument/2006/relationships/theme" Target="theme/theme1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219" Type="http://schemas.openxmlformats.org/officeDocument/2006/relationships/worksheet" Target="worksheets/sheet21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0" Type="http://schemas.openxmlformats.org/officeDocument/2006/relationships/worksheet" Target="worksheets/sheet230.xml"/><Relationship Id="rId235" Type="http://schemas.openxmlformats.org/officeDocument/2006/relationships/worksheet" Target="worksheets/sheet235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0" Type="http://schemas.openxmlformats.org/officeDocument/2006/relationships/worksheet" Target="worksheets/sheet220.xml"/><Relationship Id="rId225" Type="http://schemas.openxmlformats.org/officeDocument/2006/relationships/worksheet" Target="worksheets/sheet225.xml"/><Relationship Id="rId241" Type="http://schemas.openxmlformats.org/officeDocument/2006/relationships/worksheet" Target="worksheets/sheet241.xml"/><Relationship Id="rId246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pivotCacheDefinition" Target="pivotCache/pivotCacheDefinition1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'REPORTE MES 1 (2)'!$D$2</c:f>
              <c:strCache>
                <c:ptCount val="1"/>
                <c:pt idx="0">
                  <c:v>VENTAS ESPERADAS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'REPORTE MES 1 (2)'!$C$3:$C$14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'REPORTE MES 1 (2)'!$D$3:$D$14</c:f>
              <c:numCache>
                <c:formatCode>General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85-437E-BB71-2F7663903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59962799"/>
        <c:axId val="1438607887"/>
      </c:barChart>
      <c:lineChart>
        <c:grouping val="standard"/>
        <c:varyColors val="0"/>
        <c:ser>
          <c:idx val="1"/>
          <c:order val="1"/>
          <c:tx>
            <c:strRef>
              <c:f>'REPORTE MES 1 (2)'!$E$2</c:f>
              <c:strCache>
                <c:ptCount val="1"/>
                <c:pt idx="0">
                  <c:v>V. ACUMULADAS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'REPORTE MES 1 (2)'!$C$3:$C$14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'REPORTE MES 1 (2)'!$E$3:$E$14</c:f>
              <c:numCache>
                <c:formatCode>General</c:formatCode>
                <c:ptCount val="12"/>
                <c:pt idx="0">
                  <c:v>5</c:v>
                </c:pt>
                <c:pt idx="1">
                  <c:v>10</c:v>
                </c:pt>
                <c:pt idx="2">
                  <c:v>16</c:v>
                </c:pt>
                <c:pt idx="3">
                  <c:v>22</c:v>
                </c:pt>
                <c:pt idx="4">
                  <c:v>29</c:v>
                </c:pt>
                <c:pt idx="5">
                  <c:v>36</c:v>
                </c:pt>
                <c:pt idx="6">
                  <c:v>43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85-437E-BB71-2F7663903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5621151"/>
        <c:axId val="1545617791"/>
      </c:lineChart>
      <c:dateAx>
        <c:axId val="1545621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545617791"/>
        <c:crosses val="autoZero"/>
        <c:auto val="1"/>
        <c:lblOffset val="100"/>
        <c:baseTimeUnit val="months"/>
      </c:dateAx>
      <c:valAx>
        <c:axId val="154561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545621151"/>
        <c:crosses val="autoZero"/>
        <c:crossBetween val="between"/>
      </c:valAx>
      <c:valAx>
        <c:axId val="143860788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759962799"/>
        <c:crosses val="max"/>
        <c:crossBetween val="between"/>
      </c:valAx>
      <c:dateAx>
        <c:axId val="17599627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438607887"/>
        <c:crosses val="autoZero"/>
        <c:auto val="1"/>
        <c:lblOffset val="100"/>
        <c:baseTimeUnit val="months"/>
        <c:majorUnit val="1"/>
        <c:minorUnit val="1"/>
      </c:date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415331682814443E-2"/>
          <c:y val="9.9415204678362568E-2"/>
          <c:w val="0.86625256325111777"/>
          <c:h val="0.607510747638573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'REPORTE MES 1 (2)'!$F$2</c:f>
              <c:strCache>
                <c:ptCount val="1"/>
                <c:pt idx="0">
                  <c:v>VENTAS REALES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'REPORTE MES 1 (2)'!$C$3:$C$14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'REPORTE MES 1 (2)'!$F$3:$F$14</c:f>
              <c:numCache>
                <c:formatCode>General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DB-46D6-A17E-67F197399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59962799"/>
        <c:axId val="1438607887"/>
      </c:barChart>
      <c:lineChart>
        <c:grouping val="standard"/>
        <c:varyColors val="0"/>
        <c:ser>
          <c:idx val="1"/>
          <c:order val="1"/>
          <c:tx>
            <c:strRef>
              <c:f>'REPORTE MES 1 (2)'!$G$2</c:f>
              <c:strCache>
                <c:ptCount val="1"/>
                <c:pt idx="0">
                  <c:v>VENTAS ACUMULADAS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'REPORTE MES 1 (2)'!$C$3:$C$14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'REPORTE MES 1 (2)'!$G$3:$G$14</c:f>
              <c:numCache>
                <c:formatCode>General</c:formatCode>
                <c:ptCount val="12"/>
                <c:pt idx="0">
                  <c:v>4</c:v>
                </c:pt>
                <c:pt idx="1">
                  <c:v>9</c:v>
                </c:pt>
                <c:pt idx="2">
                  <c:v>14</c:v>
                </c:pt>
                <c:pt idx="3">
                  <c:v>19</c:v>
                </c:pt>
                <c:pt idx="4">
                  <c:v>26</c:v>
                </c:pt>
                <c:pt idx="5">
                  <c:v>35</c:v>
                </c:pt>
                <c:pt idx="6">
                  <c:v>38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DB-46D6-A17E-67F197399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5621151"/>
        <c:axId val="1545617791"/>
      </c:lineChart>
      <c:dateAx>
        <c:axId val="1545621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545617791"/>
        <c:crosses val="autoZero"/>
        <c:auto val="1"/>
        <c:lblOffset val="100"/>
        <c:baseTimeUnit val="months"/>
      </c:dateAx>
      <c:valAx>
        <c:axId val="154561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545621151"/>
        <c:crosses val="autoZero"/>
        <c:crossBetween val="between"/>
      </c:valAx>
      <c:valAx>
        <c:axId val="143860788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759962799"/>
        <c:crosses val="max"/>
        <c:crossBetween val="between"/>
      </c:valAx>
      <c:dateAx>
        <c:axId val="17599627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438607887"/>
        <c:crosses val="autoZero"/>
        <c:auto val="1"/>
        <c:lblOffset val="100"/>
        <c:baseTimeUnit val="months"/>
        <c:majorUnit val="1"/>
        <c:minorUnit val="1"/>
      </c:date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151372985248856"/>
          <c:y val="0.24356184155197691"/>
          <c:w val="0.58542853314645782"/>
          <c:h val="0.5928675880569390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FEE-4CB5-A746-ECE9614FE7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FEE-4CB5-A746-ECE9614FE75E}"/>
              </c:ext>
            </c:extLst>
          </c:dPt>
          <c:cat>
            <c:strRef>
              <c:f>'REPORTE MES 1 (2)'!$L$18:$L$19</c:f>
              <c:strCache>
                <c:ptCount val="2"/>
                <c:pt idx="0">
                  <c:v>Ejecutado</c:v>
                </c:pt>
                <c:pt idx="1">
                  <c:v>Por ejecutar</c:v>
                </c:pt>
              </c:strCache>
            </c:strRef>
          </c:cat>
          <c:val>
            <c:numRef>
              <c:f>'REPORTE MES 1 (2)'!$M$18:$M$19</c:f>
              <c:numCache>
                <c:formatCode>0%</c:formatCode>
                <c:ptCount val="2"/>
                <c:pt idx="0">
                  <c:v>0.69000000000000006</c:v>
                </c:pt>
                <c:pt idx="1">
                  <c:v>0.30999999999999994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2B-4334-8738-56843E991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1"/>
          <c:order val="0"/>
          <c:cat>
            <c:strRef>
              <c:f>'REPORTE MES 1 (2)'!$L$25:$L$26</c:f>
              <c:strCache>
                <c:ptCount val="2"/>
                <c:pt idx="0">
                  <c:v>Ejecutado</c:v>
                </c:pt>
                <c:pt idx="1">
                  <c:v>por ejecutar</c:v>
                </c:pt>
              </c:strCache>
            </c:strRef>
          </c:cat>
          <c:val>
            <c:numRef>
              <c:f>'REPORTE MES 1 (2)'!$M$25:$M$26</c:f>
              <c:numCache>
                <c:formatCode>"$"#,##0</c:formatCode>
                <c:ptCount val="2"/>
                <c:pt idx="0">
                  <c:v>119500000</c:v>
                </c:pt>
                <c:pt idx="1">
                  <c:v>11500000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01B-4409-9D4E-B024DAF39CC1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1B-4409-9D4E-B024DAF39C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01B-4409-9D4E-B024DAF39CC1}"/>
              </c:ext>
            </c:extLst>
          </c:dPt>
          <c:cat>
            <c:strRef>
              <c:f>'REPORTE MES 1 (2)'!$L$25:$L$26</c:f>
              <c:strCache>
                <c:ptCount val="2"/>
                <c:pt idx="0">
                  <c:v>Ejecutado</c:v>
                </c:pt>
                <c:pt idx="1">
                  <c:v>por ejecutar</c:v>
                </c:pt>
              </c:strCache>
            </c:strRef>
          </c:cat>
          <c:val>
            <c:numRef>
              <c:f>'REPORTE MES 1 (2)'!$M$25:$M$26</c:f>
              <c:numCache>
                <c:formatCode>"$"#,##0</c:formatCode>
                <c:ptCount val="2"/>
                <c:pt idx="0">
                  <c:v>119500000</c:v>
                </c:pt>
                <c:pt idx="1">
                  <c:v>11500000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1B-4409-9D4E-B024DAF39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ARAYA!$E$2</c:f>
              <c:strCache>
                <c:ptCount val="1"/>
                <c:pt idx="0">
                  <c:v>VENTAS ESPERADAS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ARAYA!$D$3:$D$14</c:f>
              <c:numCache>
                <c:formatCode>mmm\-yy</c:formatCode>
                <c:ptCount val="12"/>
                <c:pt idx="0">
                  <c:v>45231</c:v>
                </c:pt>
                <c:pt idx="1">
                  <c:v>45261</c:v>
                </c:pt>
                <c:pt idx="2">
                  <c:v>45292</c:v>
                </c:pt>
                <c:pt idx="3">
                  <c:v>45323</c:v>
                </c:pt>
                <c:pt idx="4">
                  <c:v>45352</c:v>
                </c:pt>
                <c:pt idx="5">
                  <c:v>45383</c:v>
                </c:pt>
                <c:pt idx="6">
                  <c:v>45413</c:v>
                </c:pt>
                <c:pt idx="7">
                  <c:v>45444</c:v>
                </c:pt>
                <c:pt idx="8">
                  <c:v>45474</c:v>
                </c:pt>
                <c:pt idx="9">
                  <c:v>45505</c:v>
                </c:pt>
                <c:pt idx="10">
                  <c:v>45536</c:v>
                </c:pt>
                <c:pt idx="11">
                  <c:v>45566</c:v>
                </c:pt>
              </c:numCache>
            </c:numRef>
          </c:cat>
          <c:val>
            <c:numRef>
              <c:f>ARAYA!$E$3:$E$14</c:f>
              <c:numCache>
                <c:formatCode>General</c:formatCode>
                <c:ptCount val="12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AE-468F-BFC1-9DA0FA83E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59962799"/>
        <c:axId val="1438607887"/>
      </c:barChart>
      <c:lineChart>
        <c:grouping val="standard"/>
        <c:varyColors val="0"/>
        <c:ser>
          <c:idx val="1"/>
          <c:order val="1"/>
          <c:tx>
            <c:strRef>
              <c:f>ARAYA!$F$2</c:f>
              <c:strCache>
                <c:ptCount val="1"/>
                <c:pt idx="0">
                  <c:v>V. ACUMULADAS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ARAYA!$D$3:$D$14</c:f>
              <c:numCache>
                <c:formatCode>mmm\-yy</c:formatCode>
                <c:ptCount val="12"/>
                <c:pt idx="0">
                  <c:v>45231</c:v>
                </c:pt>
                <c:pt idx="1">
                  <c:v>45261</c:v>
                </c:pt>
                <c:pt idx="2">
                  <c:v>45292</c:v>
                </c:pt>
                <c:pt idx="3">
                  <c:v>45323</c:v>
                </c:pt>
                <c:pt idx="4">
                  <c:v>45352</c:v>
                </c:pt>
                <c:pt idx="5">
                  <c:v>45383</c:v>
                </c:pt>
                <c:pt idx="6">
                  <c:v>45413</c:v>
                </c:pt>
                <c:pt idx="7">
                  <c:v>45444</c:v>
                </c:pt>
                <c:pt idx="8">
                  <c:v>45474</c:v>
                </c:pt>
                <c:pt idx="9">
                  <c:v>45505</c:v>
                </c:pt>
                <c:pt idx="10">
                  <c:v>45536</c:v>
                </c:pt>
                <c:pt idx="11">
                  <c:v>45566</c:v>
                </c:pt>
              </c:numCache>
            </c:numRef>
          </c:cat>
          <c:val>
            <c:numRef>
              <c:f>ARAYA!$F$3:$F$14</c:f>
              <c:numCache>
                <c:formatCode>General</c:formatCode>
                <c:ptCount val="12"/>
                <c:pt idx="0">
                  <c:v>8</c:v>
                </c:pt>
                <c:pt idx="1">
                  <c:v>16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  <c:pt idx="6">
                  <c:v>72</c:v>
                </c:pt>
                <c:pt idx="7">
                  <c:v>87</c:v>
                </c:pt>
                <c:pt idx="8">
                  <c:v>102</c:v>
                </c:pt>
                <c:pt idx="9">
                  <c:v>117</c:v>
                </c:pt>
                <c:pt idx="10">
                  <c:v>132</c:v>
                </c:pt>
                <c:pt idx="11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AE-468F-BFC1-9DA0FA83E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5621151"/>
        <c:axId val="1545617791"/>
      </c:lineChart>
      <c:dateAx>
        <c:axId val="1545621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545617791"/>
        <c:crosses val="autoZero"/>
        <c:auto val="1"/>
        <c:lblOffset val="100"/>
        <c:baseTimeUnit val="months"/>
      </c:dateAx>
      <c:valAx>
        <c:axId val="154561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545621151"/>
        <c:crosses val="autoZero"/>
        <c:crossBetween val="between"/>
      </c:valAx>
      <c:valAx>
        <c:axId val="143860788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759962799"/>
        <c:crosses val="max"/>
        <c:crossBetween val="between"/>
      </c:valAx>
      <c:dateAx>
        <c:axId val="17599627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438607887"/>
        <c:crosses val="autoZero"/>
        <c:auto val="1"/>
        <c:lblOffset val="100"/>
        <c:baseTimeUnit val="months"/>
        <c:majorUnit val="1"/>
        <c:minorUnit val="1"/>
      </c:date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415331682814443E-2"/>
          <c:y val="9.9415204678362568E-2"/>
          <c:w val="0.86625256325111777"/>
          <c:h val="0.607510747638573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ARAYA!$G$2</c:f>
              <c:strCache>
                <c:ptCount val="1"/>
                <c:pt idx="0">
                  <c:v>VENTAS REALES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ARAYA!$D$3:$D$14</c:f>
              <c:numCache>
                <c:formatCode>mmm\-yy</c:formatCode>
                <c:ptCount val="12"/>
                <c:pt idx="0">
                  <c:v>45231</c:v>
                </c:pt>
                <c:pt idx="1">
                  <c:v>45261</c:v>
                </c:pt>
                <c:pt idx="2">
                  <c:v>45292</c:v>
                </c:pt>
                <c:pt idx="3">
                  <c:v>45323</c:v>
                </c:pt>
                <c:pt idx="4">
                  <c:v>45352</c:v>
                </c:pt>
                <c:pt idx="5">
                  <c:v>45383</c:v>
                </c:pt>
                <c:pt idx="6">
                  <c:v>45413</c:v>
                </c:pt>
                <c:pt idx="7">
                  <c:v>45444</c:v>
                </c:pt>
                <c:pt idx="8">
                  <c:v>45474</c:v>
                </c:pt>
                <c:pt idx="9">
                  <c:v>45505</c:v>
                </c:pt>
                <c:pt idx="10">
                  <c:v>45536</c:v>
                </c:pt>
                <c:pt idx="11">
                  <c:v>45566</c:v>
                </c:pt>
              </c:numCache>
            </c:numRef>
          </c:cat>
          <c:val>
            <c:numRef>
              <c:f>ARAYA!$G$3:$G$14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68-4960-B02A-480543651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59962799"/>
        <c:axId val="1438607887"/>
      </c:barChart>
      <c:lineChart>
        <c:grouping val="standard"/>
        <c:varyColors val="0"/>
        <c:ser>
          <c:idx val="1"/>
          <c:order val="1"/>
          <c:tx>
            <c:strRef>
              <c:f>ARAYA!$H$2</c:f>
              <c:strCache>
                <c:ptCount val="1"/>
                <c:pt idx="0">
                  <c:v>VENTAS ACUMULADAS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ARAYA!$D$3:$D$14</c:f>
              <c:numCache>
                <c:formatCode>mmm\-yy</c:formatCode>
                <c:ptCount val="12"/>
                <c:pt idx="0">
                  <c:v>45231</c:v>
                </c:pt>
                <c:pt idx="1">
                  <c:v>45261</c:v>
                </c:pt>
                <c:pt idx="2">
                  <c:v>45292</c:v>
                </c:pt>
                <c:pt idx="3">
                  <c:v>45323</c:v>
                </c:pt>
                <c:pt idx="4">
                  <c:v>45352</c:v>
                </c:pt>
                <c:pt idx="5">
                  <c:v>45383</c:v>
                </c:pt>
                <c:pt idx="6">
                  <c:v>45413</c:v>
                </c:pt>
                <c:pt idx="7">
                  <c:v>45444</c:v>
                </c:pt>
                <c:pt idx="8">
                  <c:v>45474</c:v>
                </c:pt>
                <c:pt idx="9">
                  <c:v>45505</c:v>
                </c:pt>
                <c:pt idx="10">
                  <c:v>45536</c:v>
                </c:pt>
                <c:pt idx="11">
                  <c:v>45566</c:v>
                </c:pt>
              </c:numCache>
            </c:numRef>
          </c:cat>
          <c:val>
            <c:numRef>
              <c:f>ARAYA!$H$3:$H$14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68-4960-B02A-480543651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5621151"/>
        <c:axId val="1545617791"/>
      </c:lineChart>
      <c:dateAx>
        <c:axId val="1545621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545617791"/>
        <c:crosses val="autoZero"/>
        <c:auto val="1"/>
        <c:lblOffset val="100"/>
        <c:baseTimeUnit val="months"/>
      </c:dateAx>
      <c:valAx>
        <c:axId val="154561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545621151"/>
        <c:crosses val="autoZero"/>
        <c:crossBetween val="between"/>
      </c:valAx>
      <c:valAx>
        <c:axId val="143860788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759962799"/>
        <c:crosses val="max"/>
        <c:crossBetween val="between"/>
      </c:valAx>
      <c:dateAx>
        <c:axId val="17599627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438607887"/>
        <c:crosses val="autoZero"/>
        <c:auto val="1"/>
        <c:lblOffset val="100"/>
        <c:baseTimeUnit val="months"/>
        <c:majorUnit val="1"/>
        <c:minorUnit val="1"/>
      </c:date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151372985248856"/>
          <c:y val="0.24356184155197691"/>
          <c:w val="0.58542853314645782"/>
          <c:h val="0.5928675880569390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D3-454E-8E1C-85DF159D910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D3-454E-8E1C-85DF159D910A}"/>
              </c:ext>
            </c:extLst>
          </c:dPt>
          <c:cat>
            <c:strRef>
              <c:f>ARAYA!$M$18:$M$19</c:f>
              <c:strCache>
                <c:ptCount val="2"/>
                <c:pt idx="0">
                  <c:v>Ejecutado</c:v>
                </c:pt>
                <c:pt idx="1">
                  <c:v>Por ejecutar</c:v>
                </c:pt>
              </c:strCache>
            </c:strRef>
          </c:cat>
          <c:val>
            <c:numRef>
              <c:f>ARAYA!$N$18:$N$19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D3-454E-8E1C-85DF159D9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1"/>
          <c:order val="0"/>
          <c:cat>
            <c:strRef>
              <c:f>ARAYA!$M$25:$M$26</c:f>
              <c:strCache>
                <c:ptCount val="2"/>
                <c:pt idx="0">
                  <c:v>Ejecutado</c:v>
                </c:pt>
                <c:pt idx="1">
                  <c:v>por ejecutar</c:v>
                </c:pt>
              </c:strCache>
            </c:strRef>
          </c:cat>
          <c:val>
            <c:numRef>
              <c:f>ARAYA!$N$25:$N$26</c:f>
              <c:numCache>
                <c:formatCode>"$"#,##0</c:formatCode>
                <c:ptCount val="2"/>
                <c:pt idx="0">
                  <c:v>0</c:v>
                </c:pt>
                <c:pt idx="1">
                  <c:v>522076698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57-46D7-93AE-2E5B00F8E364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757-46D7-93AE-2E5B00F8E3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757-46D7-93AE-2E5B00F8E364}"/>
              </c:ext>
            </c:extLst>
          </c:dPt>
          <c:cat>
            <c:strRef>
              <c:f>ARAYA!$M$25:$M$26</c:f>
              <c:strCache>
                <c:ptCount val="2"/>
                <c:pt idx="0">
                  <c:v>Ejecutado</c:v>
                </c:pt>
                <c:pt idx="1">
                  <c:v>por ejecutar</c:v>
                </c:pt>
              </c:strCache>
            </c:strRef>
          </c:cat>
          <c:val>
            <c:numRef>
              <c:f>ARAYA!$N$25:$N$26</c:f>
              <c:numCache>
                <c:formatCode>"$"#,##0</c:formatCode>
                <c:ptCount val="2"/>
                <c:pt idx="0">
                  <c:v>0</c:v>
                </c:pt>
                <c:pt idx="1">
                  <c:v>522076698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57-46D7-93AE-2E5B00F8E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4F-457B-973C-BECCCFE68788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E4F-457B-973C-BECCCFE68788}"/>
              </c:ext>
            </c:extLst>
          </c:dPt>
          <c:cat>
            <c:strRef>
              <c:f>'PRESENTACIÓN MARZO 24'!$I$26:$I$27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MARZO 24'!$J$26:$J$27</c:f>
              <c:numCache>
                <c:formatCode>"$"#,##0.00</c:formatCode>
                <c:ptCount val="2"/>
                <c:pt idx="0">
                  <c:v>143426016.75</c:v>
                </c:pt>
                <c:pt idx="1">
                  <c:v>16573983.25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4F-457B-973C-BECCCFE68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90-4817-BA5C-514BF6AC2A93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390-4817-BA5C-514BF6AC2A93}"/>
              </c:ext>
            </c:extLst>
          </c:dPt>
          <c:cat>
            <c:strRef>
              <c:f>'PRESENTACIÓN ABRIL 24 v0'!$B$31:$B$32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ABRIL 24 v0'!$D$31:$D$32</c:f>
              <c:numCache>
                <c:formatCode>"$"#,##0.00_);[Red]\("$"#,##0.00\)</c:formatCode>
                <c:ptCount val="2"/>
                <c:pt idx="0" formatCode="&quot;$&quot;#,##0.00">
                  <c:v>271937711.06999999</c:v>
                </c:pt>
                <c:pt idx="1">
                  <c:v>-111937711.06999999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90-4817-BA5C-514BF6AC2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980414032"/>
        <c:axId val="1104884976"/>
      </c:barChart>
      <c:catAx>
        <c:axId val="980414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4884976"/>
        <c:crosses val="autoZero"/>
        <c:auto val="1"/>
        <c:lblAlgn val="ctr"/>
        <c:lblOffset val="100"/>
        <c:noMultiLvlLbl val="0"/>
      </c:catAx>
      <c:valAx>
        <c:axId val="110488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980414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E57-4DDD-8109-4E19775DEC99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E57-4DDD-8109-4E19775DEC99}"/>
              </c:ext>
            </c:extLst>
          </c:dPt>
          <c:cat>
            <c:strRef>
              <c:f>'PRESENTACIÓN ABRIL 24 v1'!$B$31:$B$32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ABRIL 24 v1'!$D$31:$D$32</c:f>
              <c:numCache>
                <c:formatCode>"$"#,##0.00_);[Red]\("$"#,##0.00\)</c:formatCode>
                <c:ptCount val="2"/>
                <c:pt idx="1">
                  <c:v>160000000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57-4DDD-8109-4E19775DE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980414032"/>
        <c:axId val="1104884976"/>
      </c:barChart>
      <c:catAx>
        <c:axId val="980414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4884976"/>
        <c:crosses val="autoZero"/>
        <c:auto val="1"/>
        <c:lblAlgn val="ctr"/>
        <c:lblOffset val="100"/>
        <c:noMultiLvlLbl val="0"/>
      </c:catAx>
      <c:valAx>
        <c:axId val="110488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980414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957-498B-A9AB-CE939B5342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957-498B-A9AB-CE939B534292}"/>
              </c:ext>
            </c:extLst>
          </c:dPt>
          <c:cat>
            <c:strRef>
              <c:f>'PRESENTACIÓN Al 29 de mayo'!$B$40:$B$41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Al 29 de mayo'!$C$40:$C$41</c:f>
              <c:numCache>
                <c:formatCode>_("$"* #,##0.00_);_("$"* \(#,##0.00\);_("$"* "-"??_);_(@_)</c:formatCode>
                <c:ptCount val="2"/>
                <c:pt idx="0">
                  <c:v>146318100.14000002</c:v>
                </c:pt>
                <c:pt idx="1">
                  <c:v>13681899.859999985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D5-400E-BA19-000E3DB58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988-41E6-AE93-3966BAC78B97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88-41E6-AE93-3966BAC78B97}"/>
              </c:ext>
            </c:extLst>
          </c:dPt>
          <c:cat>
            <c:strRef>
              <c:f>'PRESENTACIÓN290524 ajuste'!$B$31:$B$32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'PRESENTACIÓN290524 ajuste'!$C$31:$C$32</c:f>
              <c:numCache>
                <c:formatCode>"$"#,##0.00_);[Red]\("$"#,##0.00\)</c:formatCode>
                <c:ptCount val="2"/>
                <c:pt idx="1">
                  <c:v>160000000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88-41E6-AE93-3966BAC78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980414032"/>
        <c:axId val="1104884976"/>
      </c:barChart>
      <c:catAx>
        <c:axId val="980414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4884976"/>
        <c:crosses val="autoZero"/>
        <c:auto val="1"/>
        <c:lblAlgn val="ctr"/>
        <c:lblOffset val="100"/>
        <c:noMultiLvlLbl val="0"/>
      </c:catAx>
      <c:valAx>
        <c:axId val="110488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980414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75-4D96-8756-D0DDB2B47F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375-4D96-8756-D0DDB2B47F73}"/>
              </c:ext>
            </c:extLst>
          </c:dPt>
          <c:cat>
            <c:strRef>
              <c:f>'PRESENTACIÓN Al 30062024'!$B$40:$B$41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Al 30062024'!$C$40:$C$41</c:f>
              <c:numCache>
                <c:formatCode>_("$"* #,##0.00_);_("$"* \(#,##0.00\);_("$"* "-"??_);_(@_)</c:formatCode>
                <c:ptCount val="2"/>
                <c:pt idx="0" formatCode="&quot;$&quot;#,##0.00">
                  <c:v>146371308.09999999</c:v>
                </c:pt>
                <c:pt idx="1">
                  <c:v>13628691.900000006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75-4D96-8756-D0DDB2B47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C03-4116-AE71-CD3B36D953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C03-4116-AE71-CD3B36D9538A}"/>
              </c:ext>
            </c:extLst>
          </c:dPt>
          <c:cat>
            <c:strRef>
              <c:f>'PRESENTACIÓN Al 31072024'!$B$42:$B$43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Al 31072024'!$C$42:$C$43</c:f>
              <c:numCache>
                <c:formatCode>_("$"* #,##0.00_);_("$"* \(#,##0.00\);_("$"* "-"??_);_(@_)</c:formatCode>
                <c:ptCount val="2"/>
                <c:pt idx="0" formatCode="&quot;$&quot;#,##0.00">
                  <c:v>150988679.19</c:v>
                </c:pt>
                <c:pt idx="1">
                  <c:v>9011320.8100000024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03-4116-AE71-CD3B36D95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5DE-449D-9A80-7CC9F5D1DD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5DE-449D-9A80-7CC9F5D1DD45}"/>
              </c:ext>
            </c:extLst>
          </c:dPt>
          <c:cat>
            <c:strRef>
              <c:f>'PRESENTACIÓN Al 31082024'!$B$42:$B$43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Al 31082024'!$C$42:$C$43</c:f>
              <c:numCache>
                <c:formatCode>_("$"* #,##0.00_);_("$"* \(#,##0.00\);_("$"* "-"??_);_(@_)</c:formatCode>
                <c:ptCount val="2"/>
                <c:pt idx="0" formatCode="&quot;$&quot;#,##0.00">
                  <c:v>156135026</c:v>
                </c:pt>
                <c:pt idx="1">
                  <c:v>3864974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DE-449D-9A80-7CC9F5D1D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C46-4041-A1E6-809A39F6B76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C46-4041-A1E6-809A39F6B762}"/>
              </c:ext>
            </c:extLst>
          </c:dPt>
          <c:cat>
            <c:strRef>
              <c:f>'PRESENTACIÓN Al 30092024'!$B$43:$B$44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Al 30092024'!$C$43:$C$44</c:f>
              <c:numCache>
                <c:formatCode>_("$"* #,##0.00_);_("$"* \(#,##0.00\);_("$"* "-"??_);_(@_)</c:formatCode>
                <c:ptCount val="2"/>
                <c:pt idx="0" formatCode="&quot;$&quot;#,##0.00">
                  <c:v>153788167.88</c:v>
                </c:pt>
                <c:pt idx="1">
                  <c:v>6211832.1200000048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46-4041-A1E6-809A39F6B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68-4507-BA19-CE4FF33476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68-4507-BA19-CE4FF3347663}"/>
              </c:ext>
            </c:extLst>
          </c:dPt>
          <c:cat>
            <c:strRef>
              <c:f>'PRESENTACIÓN 11-24'!$B$44:$B$45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11-24'!$C$44:$C$45</c:f>
              <c:numCache>
                <c:formatCode>_("$"* #,##0.00_);_("$"* \(#,##0.00\);_("$"* "-"??_);_(@_)</c:formatCode>
                <c:ptCount val="2"/>
                <c:pt idx="0" formatCode="&quot;$&quot;#,##0.00">
                  <c:v>157510112.31999999</c:v>
                </c:pt>
                <c:pt idx="1">
                  <c:v>2489887.6800000072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68-4507-BA19-CE4FF3347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FD7-4CE7-9E17-250BB90CDE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FD7-4CE7-9E17-250BB90CDE24}"/>
              </c:ext>
            </c:extLst>
          </c:dPt>
          <c:cat>
            <c:strRef>
              <c:f>'PRESENTACIÓN 12-24'!$B$44:$B$45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12-24'!$C$44:$C$45</c:f>
              <c:numCache>
                <c:formatCode>_("$"* #,##0.00_);_("$"* \(#,##0.00\);_("$"* "-"??_);_(@_)</c:formatCode>
                <c:ptCount val="2"/>
                <c:pt idx="0" formatCode="&quot;$&quot;#,##0.00">
                  <c:v>158983244.56999999</c:v>
                </c:pt>
                <c:pt idx="1">
                  <c:v>1016755.4300000072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D7-4CE7-9E17-250BB90CD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7F3-446A-9D1A-DE6D281BC2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7F3-446A-9D1A-DE6D281BC211}"/>
              </c:ext>
            </c:extLst>
          </c:dPt>
          <c:cat>
            <c:strRef>
              <c:f>'PRESENTACIÓN 01-25'!$B$44:$B$45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01-25'!$C$44:$C$45</c:f>
              <c:numCache>
                <c:formatCode>_("$"* #,##0.00_);_("$"* \(#,##0.00\);_("$"* "-"??_);_(@_)</c:formatCode>
                <c:ptCount val="2"/>
                <c:pt idx="0" formatCode="&quot;$&quot;#,##0.00">
                  <c:v>161943325.82999998</c:v>
                </c:pt>
                <c:pt idx="1">
                  <c:v>-1943325.8299999833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F3-446A-9D1A-DE6D281BC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1DA-47D0-8644-80DEB8AB220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1DA-47D0-8644-80DEB8AB220A}"/>
              </c:ext>
            </c:extLst>
          </c:dPt>
          <c:cat>
            <c:strRef>
              <c:f>'PRESENTACIÓN 02-25'!$B$46:$B$47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02-25'!$C$46:$C$47</c:f>
              <c:numCache>
                <c:formatCode>_("$"* #,##0.00_);_("$"* \(#,##0.00\);_("$"* "-"??_);_(@_)</c:formatCode>
                <c:ptCount val="2"/>
                <c:pt idx="0" formatCode="&quot;$&quot;#,##0.00">
                  <c:v>164205068.93000001</c:v>
                </c:pt>
                <c:pt idx="1">
                  <c:v>-4205068.9300000072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DA-47D0-8644-80DEB8AB2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F48-432E-9136-A20FC4C0CF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F48-432E-9136-A20FC4C0CF4A}"/>
              </c:ext>
            </c:extLst>
          </c:dPt>
          <c:cat>
            <c:strRef>
              <c:f>'PRESENTACIÓN 25-03-25'!$B$46:$B$47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25-03-25'!$C$46:$C$47</c:f>
              <c:numCache>
                <c:formatCode>_("$"* #,##0.00_);_("$"* \(#,##0.00\);_("$"* "-"??_);_(@_)</c:formatCode>
                <c:ptCount val="2"/>
                <c:pt idx="0" formatCode="&quot;$&quot;#,##0.00">
                  <c:v>164536552.52000001</c:v>
                </c:pt>
                <c:pt idx="1">
                  <c:v>-4536552.5200000107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48-432E-9136-A20FC4C0C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00-4AA3-AF65-3971BD0564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00-4AA3-AF65-3971BD056491}"/>
              </c:ext>
            </c:extLst>
          </c:dPt>
          <c:cat>
            <c:strRef>
              <c:f>'PRESENTACIÓN 03-25'!$B$46:$B$47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03-25'!$C$46:$C$47</c:f>
              <c:numCache>
                <c:formatCode>_("$"* #,##0.00_);_("$"* \(#,##0.00\);_("$"* "-"??_);_(@_)</c:formatCode>
                <c:ptCount val="2"/>
                <c:pt idx="0" formatCode="&quot;$&quot;#,##0.00">
                  <c:v>165677679.25000003</c:v>
                </c:pt>
                <c:pt idx="1">
                  <c:v>-5677679.2500000298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00-4AA3-AF65-3971BD056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A2-492E-9541-0ACCE506D51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A2-492E-9541-0ACCE506D51A}"/>
              </c:ext>
            </c:extLst>
          </c:dPt>
          <c:cat>
            <c:strRef>
              <c:f>'PRESENTACIÓN 04-25'!$B$48:$B$49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04-25'!$C$48:$C$49</c:f>
              <c:numCache>
                <c:formatCode>_("$"* #,##0.00_);_("$"* \(#,##0.00\);_("$"* "-"??_);_(@_)</c:formatCode>
                <c:ptCount val="2"/>
                <c:pt idx="0" formatCode="&quot;$&quot;#,##0.00">
                  <c:v>202812460.76999998</c:v>
                </c:pt>
                <c:pt idx="1">
                  <c:v>-27812460.769999981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A2-492E-9541-0ACCE506D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BB-4A29-AB7C-7565F23A08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BB-4A29-AB7C-7565F23A0879}"/>
              </c:ext>
            </c:extLst>
          </c:dPt>
          <c:cat>
            <c:strRef>
              <c:f>'PRESENTACIÓN 05-25'!$B$48:$B$49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05-25'!$C$48:$C$49</c:f>
              <c:numCache>
                <c:formatCode>_("$"* #,##0.00_);_("$"* \(#,##0.00\);_("$"* "-"??_);_(@_)</c:formatCode>
                <c:ptCount val="2"/>
                <c:pt idx="0" formatCode="&quot;$&quot;#,##0.00">
                  <c:v>212612215.72</c:v>
                </c:pt>
                <c:pt idx="1">
                  <c:v>-30412215.719999999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BB-4A29-AB7C-7565F23A0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cat>
            <c:strRef>
              <c:f>'PRESENTACIÓN 06-25'!$B$48:$B$49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06-25'!$C$48:$C$49</c:f>
            </c:numRef>
          </c:val>
          <c:extLst>
            <c:ext xmlns:c16="http://schemas.microsoft.com/office/drawing/2014/chart" uri="{C3380CC4-5D6E-409C-BE32-E72D297353CC}">
              <c16:uniqueId val="{00000004-679F-4E32-B224-67849E1D0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cat>
            <c:strRef>
              <c:f>'PRESENTACIÓN 06-25'!$B$48:$B$49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06-25'!$C$48:$C$49</c:f>
            </c:numRef>
          </c:val>
          <c:extLst>
            <c:ext xmlns:c16="http://schemas.microsoft.com/office/drawing/2014/chart" uri="{C3380CC4-5D6E-409C-BE32-E72D297353CC}">
              <c16:uniqueId val="{00000000-9FDA-481C-B420-B63B3BD01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cat>
            <c:strRef>
              <c:f>'PRESENTACIÓN 06-25'!$B$48:$B$49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06-25'!$C$48:$C$49</c:f>
            </c:numRef>
          </c:val>
          <c:extLst>
            <c:ext xmlns:c16="http://schemas.microsoft.com/office/drawing/2014/chart" uri="{C3380CC4-5D6E-409C-BE32-E72D297353CC}">
              <c16:uniqueId val="{00000000-CDF2-4DB2-8C83-21F1CC2A1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cat>
            <c:strRef>
              <c:f>'PRESENTACIÓN 06-25'!$B$48:$B$49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06-25'!$C$48:$C$49</c:f>
            </c:numRef>
          </c:val>
          <c:extLst>
            <c:ext xmlns:c16="http://schemas.microsoft.com/office/drawing/2014/chart" uri="{C3380CC4-5D6E-409C-BE32-E72D297353CC}">
              <c16:uniqueId val="{00000000-4217-42DC-A627-0303F85A5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cat>
            <c:strRef>
              <c:f>'PRESENTACIÓN 06-25'!$B$48:$B$49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06-25'!$C$48:$C$49</c:f>
            </c:numRef>
          </c:val>
          <c:extLst>
            <c:ext xmlns:c16="http://schemas.microsoft.com/office/drawing/2014/chart" uri="{C3380CC4-5D6E-409C-BE32-E72D297353CC}">
              <c16:uniqueId val="{00000000-4AE8-49F8-AB41-C0F631FD1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cat>
            <c:strRef>
              <c:f>'PRESENTACIÓN 06-25'!$B$48:$B$49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06-25'!$C$48:$C$49</c:f>
            </c:numRef>
          </c:val>
          <c:extLst>
            <c:ext xmlns:c16="http://schemas.microsoft.com/office/drawing/2014/chart" uri="{C3380CC4-5D6E-409C-BE32-E72D297353CC}">
              <c16:uniqueId val="{00000000-132D-4F61-90A1-969E3DC0B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cat>
            <c:strRef>
              <c:f>'PRESENTACIÓN 06-25'!$B$48:$B$49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06-25'!$C$48:$C$49</c:f>
            </c:numRef>
          </c:val>
          <c:extLst>
            <c:ext xmlns:c16="http://schemas.microsoft.com/office/drawing/2014/chart" uri="{C3380CC4-5D6E-409C-BE32-E72D297353CC}">
              <c16:uniqueId val="{00000000-61C6-4432-A619-95F03594A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cat>
            <c:strRef>
              <c:f>'PRESENTACIÓN 06-25'!$B$48:$B$49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06-25'!$C$48:$C$49</c:f>
            </c:numRef>
          </c:val>
          <c:extLst>
            <c:ext xmlns:c16="http://schemas.microsoft.com/office/drawing/2014/chart" uri="{C3380CC4-5D6E-409C-BE32-E72D297353CC}">
              <c16:uniqueId val="{00000000-3496-49CB-BA9B-D00D315A8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cat>
            <c:strRef>
              <c:f>'PRESENTACIÓN 06-25'!$B$48:$B$49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06-25'!$C$48:$C$49</c:f>
            </c:numRef>
          </c:val>
          <c:extLst>
            <c:ext xmlns:c16="http://schemas.microsoft.com/office/drawing/2014/chart" uri="{C3380CC4-5D6E-409C-BE32-E72D297353CC}">
              <c16:uniqueId val="{00000000-AF4E-48B3-AF26-809DC96FC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cat>
            <c:strRef>
              <c:f>'PRESENTACIÓN 06-25'!$B$48:$B$49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06-25'!$C$48:$C$49</c:f>
            </c:numRef>
          </c:val>
          <c:extLst>
            <c:ext xmlns:c16="http://schemas.microsoft.com/office/drawing/2014/chart" uri="{C3380CC4-5D6E-409C-BE32-E72D297353CC}">
              <c16:uniqueId val="{00000000-536C-4BAF-ABEE-D70CCB8DF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cat>
            <c:strRef>
              <c:f>'PRESENTACIÓN 06-25'!$B$48:$B$49</c:f>
              <c:strCache>
                <c:ptCount val="2"/>
                <c:pt idx="0">
                  <c:v>Gastado y comprometido</c:v>
                </c:pt>
                <c:pt idx="1">
                  <c:v>Disponible</c:v>
                </c:pt>
              </c:strCache>
            </c:strRef>
          </c:cat>
          <c:val>
            <c:numRef>
              <c:f>'PRESENTACIÓN 06-25'!$C$48:$C$49</c:f>
            </c:numRef>
          </c:val>
          <c:extLst>
            <c:ext xmlns:c16="http://schemas.microsoft.com/office/drawing/2014/chart" uri="{C3380CC4-5D6E-409C-BE32-E72D297353CC}">
              <c16:uniqueId val="{00000000-8975-4667-ADB5-B21134E8B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17.xml"/><Relationship Id="rId1" Type="http://schemas.openxmlformats.org/officeDocument/2006/relationships/image" Target="../media/image1.emf"/><Relationship Id="rId4" Type="http://schemas.openxmlformats.org/officeDocument/2006/relationships/image" Target="cid:94bae2a5-a824-4e60-b0fc-a794a5d6fde8" TargetMode="Externa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18.xml"/><Relationship Id="rId1" Type="http://schemas.openxmlformats.org/officeDocument/2006/relationships/image" Target="../media/image1.emf"/><Relationship Id="rId4" Type="http://schemas.openxmlformats.org/officeDocument/2006/relationships/image" Target="cid:94bae2a5-a824-4e60-b0fc-a794a5d6fde8" TargetMode="Externa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19.xml"/><Relationship Id="rId1" Type="http://schemas.openxmlformats.org/officeDocument/2006/relationships/image" Target="../media/image1.emf"/><Relationship Id="rId4" Type="http://schemas.openxmlformats.org/officeDocument/2006/relationships/image" Target="cid:94bae2a5-a824-4e60-b0fc-a794a5d6fde8" TargetMode="Externa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20.xml"/><Relationship Id="rId1" Type="http://schemas.openxmlformats.org/officeDocument/2006/relationships/image" Target="../media/image1.emf"/><Relationship Id="rId4" Type="http://schemas.openxmlformats.org/officeDocument/2006/relationships/image" Target="cid:94bae2a5-a824-4e60-b0fc-a794a5d6fde8" TargetMode="Externa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21.xml"/><Relationship Id="rId1" Type="http://schemas.openxmlformats.org/officeDocument/2006/relationships/image" Target="../media/image1.emf"/><Relationship Id="rId4" Type="http://schemas.openxmlformats.org/officeDocument/2006/relationships/image" Target="cid:94bae2a5-a824-4e60-b0fc-a794a5d6fde8" TargetMode="Externa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22.xml"/><Relationship Id="rId1" Type="http://schemas.openxmlformats.org/officeDocument/2006/relationships/image" Target="../media/image1.emf"/><Relationship Id="rId4" Type="http://schemas.openxmlformats.org/officeDocument/2006/relationships/image" Target="cid:94bae2a5-a824-4e60-b0fc-a794a5d6fde8" TargetMode="Externa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23.xml"/><Relationship Id="rId1" Type="http://schemas.openxmlformats.org/officeDocument/2006/relationships/image" Target="../media/image1.emf"/><Relationship Id="rId4" Type="http://schemas.openxmlformats.org/officeDocument/2006/relationships/image" Target="cid:94bae2a5-a824-4e60-b0fc-a794a5d6fde8" TargetMode="Externa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24.xml"/><Relationship Id="rId1" Type="http://schemas.openxmlformats.org/officeDocument/2006/relationships/image" Target="../media/image1.emf"/><Relationship Id="rId4" Type="http://schemas.openxmlformats.org/officeDocument/2006/relationships/image" Target="cid:94bae2a5-a824-4e60-b0fc-a794a5d6fde8" TargetMode="Externa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25.xml"/><Relationship Id="rId1" Type="http://schemas.openxmlformats.org/officeDocument/2006/relationships/image" Target="../media/image1.emf"/><Relationship Id="rId4" Type="http://schemas.openxmlformats.org/officeDocument/2006/relationships/image" Target="cid:94bae2a5-a824-4e60-b0fc-a794a5d6fde8" TargetMode="Externa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26.xml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cid:94bae2a5-a824-4e60-b0fc-a794a5d6fde8" TargetMode="Externa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cid:image004.png@01DBF183.AB5AB560" TargetMode="External"/><Relationship Id="rId1" Type="http://schemas.openxmlformats.org/officeDocument/2006/relationships/image" Target="../media/image6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27.xml"/><Relationship Id="rId1" Type="http://schemas.openxmlformats.org/officeDocument/2006/relationships/image" Target="../media/image1.emf"/><Relationship Id="rId6" Type="http://schemas.openxmlformats.org/officeDocument/2006/relationships/image" Target="../media/image9.emf"/><Relationship Id="rId5" Type="http://schemas.openxmlformats.org/officeDocument/2006/relationships/image" Target="../media/image8.emf"/><Relationship Id="rId4" Type="http://schemas.openxmlformats.org/officeDocument/2006/relationships/image" Target="cid:94bae2a5-a824-4e60-b0fc-a794a5d6fde8" TargetMode="Externa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28.xml"/><Relationship Id="rId1" Type="http://schemas.openxmlformats.org/officeDocument/2006/relationships/image" Target="../media/image1.emf"/><Relationship Id="rId6" Type="http://schemas.openxmlformats.org/officeDocument/2006/relationships/image" Target="../media/image9.emf"/><Relationship Id="rId5" Type="http://schemas.openxmlformats.org/officeDocument/2006/relationships/image" Target="../media/image8.emf"/><Relationship Id="rId4" Type="http://schemas.openxmlformats.org/officeDocument/2006/relationships/image" Target="cid:94bae2a5-a824-4e60-b0fc-a794a5d6fde8" TargetMode="Externa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29.xml"/><Relationship Id="rId1" Type="http://schemas.openxmlformats.org/officeDocument/2006/relationships/image" Target="../media/image1.emf"/><Relationship Id="rId6" Type="http://schemas.openxmlformats.org/officeDocument/2006/relationships/image" Target="../media/image9.emf"/><Relationship Id="rId5" Type="http://schemas.openxmlformats.org/officeDocument/2006/relationships/image" Target="../media/image8.emf"/><Relationship Id="rId4" Type="http://schemas.openxmlformats.org/officeDocument/2006/relationships/image" Target="cid:94bae2a5-a824-4e60-b0fc-a794a5d6fde8" TargetMode="Externa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30.xml"/><Relationship Id="rId1" Type="http://schemas.openxmlformats.org/officeDocument/2006/relationships/image" Target="../media/image1.emf"/><Relationship Id="rId6" Type="http://schemas.openxmlformats.org/officeDocument/2006/relationships/image" Target="../media/image9.emf"/><Relationship Id="rId5" Type="http://schemas.openxmlformats.org/officeDocument/2006/relationships/image" Target="../media/image8.emf"/><Relationship Id="rId4" Type="http://schemas.openxmlformats.org/officeDocument/2006/relationships/image" Target="cid:94bae2a5-a824-4e60-b0fc-a794a5d6fde8" TargetMode="Externa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31.xml"/><Relationship Id="rId1" Type="http://schemas.openxmlformats.org/officeDocument/2006/relationships/image" Target="../media/image1.emf"/><Relationship Id="rId6" Type="http://schemas.openxmlformats.org/officeDocument/2006/relationships/image" Target="../media/image9.emf"/><Relationship Id="rId5" Type="http://schemas.openxmlformats.org/officeDocument/2006/relationships/image" Target="../media/image8.emf"/><Relationship Id="rId4" Type="http://schemas.openxmlformats.org/officeDocument/2006/relationships/image" Target="cid:94bae2a5-a824-4e60-b0fc-a794a5d6fde8" TargetMode="Externa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32.xml"/><Relationship Id="rId1" Type="http://schemas.openxmlformats.org/officeDocument/2006/relationships/image" Target="../media/image1.emf"/><Relationship Id="rId6" Type="http://schemas.openxmlformats.org/officeDocument/2006/relationships/image" Target="../media/image9.emf"/><Relationship Id="rId5" Type="http://schemas.openxmlformats.org/officeDocument/2006/relationships/image" Target="../media/image8.emf"/><Relationship Id="rId4" Type="http://schemas.openxmlformats.org/officeDocument/2006/relationships/image" Target="cid:94bae2a5-a824-4e60-b0fc-a794a5d6fde8" TargetMode="Externa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33.xml"/><Relationship Id="rId1" Type="http://schemas.openxmlformats.org/officeDocument/2006/relationships/image" Target="../media/image1.emf"/><Relationship Id="rId6" Type="http://schemas.openxmlformats.org/officeDocument/2006/relationships/image" Target="../media/image9.emf"/><Relationship Id="rId5" Type="http://schemas.openxmlformats.org/officeDocument/2006/relationships/image" Target="../media/image8.emf"/><Relationship Id="rId4" Type="http://schemas.openxmlformats.org/officeDocument/2006/relationships/image" Target="cid:94bae2a5-a824-4e60-b0fc-a794a5d6fde8" TargetMode="Externa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jpe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34.xml"/><Relationship Id="rId1" Type="http://schemas.openxmlformats.org/officeDocument/2006/relationships/image" Target="../media/image1.emf"/><Relationship Id="rId6" Type="http://schemas.openxmlformats.org/officeDocument/2006/relationships/image" Target="../media/image9.emf"/><Relationship Id="rId5" Type="http://schemas.openxmlformats.org/officeDocument/2006/relationships/image" Target="../media/image8.emf"/><Relationship Id="rId4" Type="http://schemas.openxmlformats.org/officeDocument/2006/relationships/image" Target="cid:94bae2a5-a824-4e60-b0fc-a794a5d6fde8" TargetMode="Externa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35.xml"/><Relationship Id="rId1" Type="http://schemas.openxmlformats.org/officeDocument/2006/relationships/image" Target="../media/image1.emf"/><Relationship Id="rId6" Type="http://schemas.openxmlformats.org/officeDocument/2006/relationships/image" Target="../media/image9.emf"/><Relationship Id="rId5" Type="http://schemas.openxmlformats.org/officeDocument/2006/relationships/image" Target="../media/image8.emf"/><Relationship Id="rId4" Type="http://schemas.openxmlformats.org/officeDocument/2006/relationships/image" Target="cid:94bae2a5-a824-4e60-b0fc-a794a5d6fde8" TargetMode="External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36.xml"/><Relationship Id="rId1" Type="http://schemas.openxmlformats.org/officeDocument/2006/relationships/image" Target="../media/image1.emf"/><Relationship Id="rId6" Type="http://schemas.openxmlformats.org/officeDocument/2006/relationships/image" Target="../media/image9.emf"/><Relationship Id="rId5" Type="http://schemas.openxmlformats.org/officeDocument/2006/relationships/image" Target="../media/image8.emf"/><Relationship Id="rId4" Type="http://schemas.openxmlformats.org/officeDocument/2006/relationships/image" Target="cid:94bae2a5-a824-4e60-b0fc-a794a5d6fde8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26837</xdr:colOff>
      <xdr:row>2</xdr:row>
      <xdr:rowOff>17749</xdr:rowOff>
    </xdr:from>
    <xdr:to>
      <xdr:col>14</xdr:col>
      <xdr:colOff>335747</xdr:colOff>
      <xdr:row>7</xdr:row>
      <xdr:rowOff>109483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42139</xdr:colOff>
      <xdr:row>7</xdr:row>
      <xdr:rowOff>113352</xdr:rowOff>
    </xdr:from>
    <xdr:to>
      <xdr:col>14</xdr:col>
      <xdr:colOff>343574</xdr:colOff>
      <xdr:row>14</xdr:row>
      <xdr:rowOff>7385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68792</xdr:colOff>
      <xdr:row>15</xdr:row>
      <xdr:rowOff>240314</xdr:rowOff>
    </xdr:from>
    <xdr:to>
      <xdr:col>14</xdr:col>
      <xdr:colOff>217203</xdr:colOff>
      <xdr:row>20</xdr:row>
      <xdr:rowOff>121708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211666</xdr:colOff>
      <xdr:row>21</xdr:row>
      <xdr:rowOff>179917</xdr:rowOff>
    </xdr:from>
    <xdr:to>
      <xdr:col>14</xdr:col>
      <xdr:colOff>224472</xdr:colOff>
      <xdr:row>28</xdr:row>
      <xdr:rowOff>10584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26837</xdr:colOff>
      <xdr:row>2</xdr:row>
      <xdr:rowOff>17749</xdr:rowOff>
    </xdr:from>
    <xdr:to>
      <xdr:col>13</xdr:col>
      <xdr:colOff>783167</xdr:colOff>
      <xdr:row>7</xdr:row>
      <xdr:rowOff>109483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42139</xdr:colOff>
      <xdr:row>7</xdr:row>
      <xdr:rowOff>113352</xdr:rowOff>
    </xdr:from>
    <xdr:to>
      <xdr:col>13</xdr:col>
      <xdr:colOff>790223</xdr:colOff>
      <xdr:row>14</xdr:row>
      <xdr:rowOff>7385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68792</xdr:colOff>
      <xdr:row>15</xdr:row>
      <xdr:rowOff>240314</xdr:rowOff>
    </xdr:from>
    <xdr:to>
      <xdr:col>15</xdr:col>
      <xdr:colOff>217203</xdr:colOff>
      <xdr:row>20</xdr:row>
      <xdr:rowOff>121708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211666</xdr:colOff>
      <xdr:row>21</xdr:row>
      <xdr:rowOff>179917</xdr:rowOff>
    </xdr:from>
    <xdr:to>
      <xdr:col>15</xdr:col>
      <xdr:colOff>224472</xdr:colOff>
      <xdr:row>28</xdr:row>
      <xdr:rowOff>10584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22</xdr:row>
      <xdr:rowOff>15876</xdr:rowOff>
    </xdr:from>
    <xdr:to>
      <xdr:col>10</xdr:col>
      <xdr:colOff>1150937</xdr:colOff>
      <xdr:row>27</xdr:row>
      <xdr:rowOff>111125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223222</xdr:colOff>
      <xdr:row>28</xdr:row>
      <xdr:rowOff>6480</xdr:rowOff>
    </xdr:from>
    <xdr:to>
      <xdr:col>6</xdr:col>
      <xdr:colOff>430115</xdr:colOff>
      <xdr:row>32</xdr:row>
      <xdr:rowOff>158751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260350</xdr:colOff>
      <xdr:row>2</xdr:row>
      <xdr:rowOff>19050</xdr:rowOff>
    </xdr:from>
    <xdr:to>
      <xdr:col>12</xdr:col>
      <xdr:colOff>230544</xdr:colOff>
      <xdr:row>21</xdr:row>
      <xdr:rowOff>221074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69750" y="393700"/>
          <a:ext cx="3365500" cy="3748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257246</xdr:colOff>
      <xdr:row>8</xdr:row>
      <xdr:rowOff>85226</xdr:rowOff>
    </xdr:from>
    <xdr:to>
      <xdr:col>17</xdr:col>
      <xdr:colOff>139129</xdr:colOff>
      <xdr:row>14</xdr:row>
      <xdr:rowOff>96713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15475842" y="1604945"/>
          <a:ext cx="4879832" cy="11138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DO" sz="4000"/>
            <a:t>borrador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223222</xdr:colOff>
      <xdr:row>28</xdr:row>
      <xdr:rowOff>6480</xdr:rowOff>
    </xdr:from>
    <xdr:to>
      <xdr:col>6</xdr:col>
      <xdr:colOff>430115</xdr:colOff>
      <xdr:row>32</xdr:row>
      <xdr:rowOff>158751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243032</xdr:colOff>
      <xdr:row>2</xdr:row>
      <xdr:rowOff>19050</xdr:rowOff>
    </xdr:from>
    <xdr:to>
      <xdr:col>13</xdr:col>
      <xdr:colOff>213227</xdr:colOff>
      <xdr:row>21</xdr:row>
      <xdr:rowOff>221074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27032" y="394277"/>
          <a:ext cx="3578149" cy="37637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45562</xdr:colOff>
      <xdr:row>2</xdr:row>
      <xdr:rowOff>27298</xdr:rowOff>
    </xdr:from>
    <xdr:to>
      <xdr:col>12</xdr:col>
      <xdr:colOff>144394</xdr:colOff>
      <xdr:row>22</xdr:row>
      <xdr:rowOff>125039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08171" y="1619399"/>
          <a:ext cx="3700018" cy="3892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523875</xdr:colOff>
      <xdr:row>34</xdr:row>
      <xdr:rowOff>177800</xdr:rowOff>
    </xdr:from>
    <xdr:to>
      <xdr:col>6</xdr:col>
      <xdr:colOff>590550</xdr:colOff>
      <xdr:row>41</xdr:row>
      <xdr:rowOff>146050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223222</xdr:colOff>
      <xdr:row>28</xdr:row>
      <xdr:rowOff>6480</xdr:rowOff>
    </xdr:from>
    <xdr:to>
      <xdr:col>5</xdr:col>
      <xdr:colOff>430115</xdr:colOff>
      <xdr:row>32</xdr:row>
      <xdr:rowOff>158751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119185</xdr:colOff>
      <xdr:row>2</xdr:row>
      <xdr:rowOff>27298</xdr:rowOff>
    </xdr:from>
    <xdr:to>
      <xdr:col>12</xdr:col>
      <xdr:colOff>89379</xdr:colOff>
      <xdr:row>22</xdr:row>
      <xdr:rowOff>722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88935" y="401948"/>
          <a:ext cx="3576994" cy="3758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45562</xdr:colOff>
      <xdr:row>2</xdr:row>
      <xdr:rowOff>27298</xdr:rowOff>
    </xdr:from>
    <xdr:to>
      <xdr:col>12</xdr:col>
      <xdr:colOff>144394</xdr:colOff>
      <xdr:row>22</xdr:row>
      <xdr:rowOff>125039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97482" y="492118"/>
          <a:ext cx="3642132" cy="38772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523875</xdr:colOff>
      <xdr:row>34</xdr:row>
      <xdr:rowOff>177800</xdr:rowOff>
    </xdr:from>
    <xdr:to>
      <xdr:col>6</xdr:col>
      <xdr:colOff>590550</xdr:colOff>
      <xdr:row>41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45562</xdr:colOff>
      <xdr:row>2</xdr:row>
      <xdr:rowOff>27298</xdr:rowOff>
    </xdr:from>
    <xdr:to>
      <xdr:col>15</xdr:col>
      <xdr:colOff>144394</xdr:colOff>
      <xdr:row>22</xdr:row>
      <xdr:rowOff>132659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97482" y="492118"/>
          <a:ext cx="3642132" cy="38772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523875</xdr:colOff>
      <xdr:row>36</xdr:row>
      <xdr:rowOff>177800</xdr:rowOff>
    </xdr:from>
    <xdr:to>
      <xdr:col>9</xdr:col>
      <xdr:colOff>590550</xdr:colOff>
      <xdr:row>43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45562</xdr:colOff>
      <xdr:row>2</xdr:row>
      <xdr:rowOff>27298</xdr:rowOff>
    </xdr:from>
    <xdr:to>
      <xdr:col>15</xdr:col>
      <xdr:colOff>149474</xdr:colOff>
      <xdr:row>22</xdr:row>
      <xdr:rowOff>149169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91767" y="492118"/>
          <a:ext cx="3638322" cy="38639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523875</xdr:colOff>
      <xdr:row>36</xdr:row>
      <xdr:rowOff>177800</xdr:rowOff>
    </xdr:from>
    <xdr:to>
      <xdr:col>9</xdr:col>
      <xdr:colOff>590550</xdr:colOff>
      <xdr:row>43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434340</xdr:colOff>
      <xdr:row>3</xdr:row>
      <xdr:rowOff>0</xdr:rowOff>
    </xdr:from>
    <xdr:to>
      <xdr:col>28</xdr:col>
      <xdr:colOff>199241</xdr:colOff>
      <xdr:row>46</xdr:row>
      <xdr:rowOff>8155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1980" y="571500"/>
          <a:ext cx="12932261" cy="617273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26301</xdr:colOff>
      <xdr:row>2</xdr:row>
      <xdr:rowOff>4226</xdr:rowOff>
    </xdr:from>
    <xdr:to>
      <xdr:col>15</xdr:col>
      <xdr:colOff>148629</xdr:colOff>
      <xdr:row>22</xdr:row>
      <xdr:rowOff>79742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30884" y="469893"/>
          <a:ext cx="3647424" cy="38406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523875</xdr:colOff>
      <xdr:row>37</xdr:row>
      <xdr:rowOff>177800</xdr:rowOff>
    </xdr:from>
    <xdr:to>
      <xdr:col>10</xdr:col>
      <xdr:colOff>590550</xdr:colOff>
      <xdr:row>44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5713</xdr:colOff>
      <xdr:row>0</xdr:row>
      <xdr:rowOff>84667</xdr:rowOff>
    </xdr:from>
    <xdr:to>
      <xdr:col>20</xdr:col>
      <xdr:colOff>403734</xdr:colOff>
      <xdr:row>23</xdr:row>
      <xdr:rowOff>84667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2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4046" y="84667"/>
          <a:ext cx="4292688" cy="4328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0</xdr:rowOff>
    </xdr:from>
    <xdr:ext cx="6972300" cy="6267663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14700" y="0"/>
          <a:ext cx="6972300" cy="6267663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26301</xdr:colOff>
      <xdr:row>2</xdr:row>
      <xdr:rowOff>4226</xdr:rowOff>
    </xdr:from>
    <xdr:to>
      <xdr:col>15</xdr:col>
      <xdr:colOff>148629</xdr:colOff>
      <xdr:row>22</xdr:row>
      <xdr:rowOff>79742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8541" y="469046"/>
          <a:ext cx="3665628" cy="38778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523875</xdr:colOff>
      <xdr:row>38</xdr:row>
      <xdr:rowOff>177800</xdr:rowOff>
    </xdr:from>
    <xdr:to>
      <xdr:col>10</xdr:col>
      <xdr:colOff>590550</xdr:colOff>
      <xdr:row>45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5713</xdr:colOff>
      <xdr:row>0</xdr:row>
      <xdr:rowOff>84667</xdr:rowOff>
    </xdr:from>
    <xdr:to>
      <xdr:col>20</xdr:col>
      <xdr:colOff>403734</xdr:colOff>
      <xdr:row>23</xdr:row>
      <xdr:rowOff>84667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2C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20433" y="84667"/>
          <a:ext cx="4291841" cy="4503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26301</xdr:colOff>
      <xdr:row>2</xdr:row>
      <xdr:rowOff>4226</xdr:rowOff>
    </xdr:from>
    <xdr:to>
      <xdr:col>15</xdr:col>
      <xdr:colOff>148629</xdr:colOff>
      <xdr:row>22</xdr:row>
      <xdr:rowOff>79742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2881" y="469046"/>
          <a:ext cx="3665628" cy="38778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523875</xdr:colOff>
      <xdr:row>38</xdr:row>
      <xdr:rowOff>177800</xdr:rowOff>
    </xdr:from>
    <xdr:to>
      <xdr:col>10</xdr:col>
      <xdr:colOff>590550</xdr:colOff>
      <xdr:row>45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3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5713</xdr:colOff>
      <xdr:row>0</xdr:row>
      <xdr:rowOff>84667</xdr:rowOff>
    </xdr:from>
    <xdr:to>
      <xdr:col>20</xdr:col>
      <xdr:colOff>403734</xdr:colOff>
      <xdr:row>23</xdr:row>
      <xdr:rowOff>84667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3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54773" y="84667"/>
          <a:ext cx="4291841" cy="4503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26301</xdr:colOff>
      <xdr:row>2</xdr:row>
      <xdr:rowOff>4226</xdr:rowOff>
    </xdr:from>
    <xdr:to>
      <xdr:col>15</xdr:col>
      <xdr:colOff>148629</xdr:colOff>
      <xdr:row>22</xdr:row>
      <xdr:rowOff>79742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2881" y="469046"/>
          <a:ext cx="3665628" cy="38778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523875</xdr:colOff>
      <xdr:row>38</xdr:row>
      <xdr:rowOff>177800</xdr:rowOff>
    </xdr:from>
    <xdr:to>
      <xdr:col>10</xdr:col>
      <xdr:colOff>590550</xdr:colOff>
      <xdr:row>45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3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5713</xdr:colOff>
      <xdr:row>0</xdr:row>
      <xdr:rowOff>84667</xdr:rowOff>
    </xdr:from>
    <xdr:to>
      <xdr:col>20</xdr:col>
      <xdr:colOff>403734</xdr:colOff>
      <xdr:row>23</xdr:row>
      <xdr:rowOff>84667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3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54773" y="84667"/>
          <a:ext cx="4291841" cy="4503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26301</xdr:colOff>
      <xdr:row>2</xdr:row>
      <xdr:rowOff>4226</xdr:rowOff>
    </xdr:from>
    <xdr:to>
      <xdr:col>15</xdr:col>
      <xdr:colOff>148629</xdr:colOff>
      <xdr:row>22</xdr:row>
      <xdr:rowOff>79742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2881" y="469046"/>
          <a:ext cx="3665628" cy="38778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523875</xdr:colOff>
      <xdr:row>40</xdr:row>
      <xdr:rowOff>177800</xdr:rowOff>
    </xdr:from>
    <xdr:to>
      <xdr:col>10</xdr:col>
      <xdr:colOff>590550</xdr:colOff>
      <xdr:row>47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3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5713</xdr:colOff>
      <xdr:row>0</xdr:row>
      <xdr:rowOff>84667</xdr:rowOff>
    </xdr:from>
    <xdr:to>
      <xdr:col>20</xdr:col>
      <xdr:colOff>403734</xdr:colOff>
      <xdr:row>23</xdr:row>
      <xdr:rowOff>84667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3E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54773" y="84667"/>
          <a:ext cx="4291841" cy="4503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26301</xdr:colOff>
      <xdr:row>2</xdr:row>
      <xdr:rowOff>4226</xdr:rowOff>
    </xdr:from>
    <xdr:to>
      <xdr:col>15</xdr:col>
      <xdr:colOff>148629</xdr:colOff>
      <xdr:row>22</xdr:row>
      <xdr:rowOff>79742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2881" y="469046"/>
          <a:ext cx="3665628" cy="38778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523875</xdr:colOff>
      <xdr:row>40</xdr:row>
      <xdr:rowOff>177800</xdr:rowOff>
    </xdr:from>
    <xdr:to>
      <xdr:col>10</xdr:col>
      <xdr:colOff>590550</xdr:colOff>
      <xdr:row>47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4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5713</xdr:colOff>
      <xdr:row>0</xdr:row>
      <xdr:rowOff>84667</xdr:rowOff>
    </xdr:from>
    <xdr:to>
      <xdr:col>20</xdr:col>
      <xdr:colOff>403734</xdr:colOff>
      <xdr:row>23</xdr:row>
      <xdr:rowOff>84667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4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54773" y="84667"/>
          <a:ext cx="4291841" cy="4503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26301</xdr:colOff>
      <xdr:row>2</xdr:row>
      <xdr:rowOff>4226</xdr:rowOff>
    </xdr:from>
    <xdr:to>
      <xdr:col>15</xdr:col>
      <xdr:colOff>148629</xdr:colOff>
      <xdr:row>22</xdr:row>
      <xdr:rowOff>79742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4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2881" y="469046"/>
          <a:ext cx="3665628" cy="38778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523875</xdr:colOff>
      <xdr:row>40</xdr:row>
      <xdr:rowOff>177800</xdr:rowOff>
    </xdr:from>
    <xdr:to>
      <xdr:col>10</xdr:col>
      <xdr:colOff>590550</xdr:colOff>
      <xdr:row>47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4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5713</xdr:colOff>
      <xdr:row>0</xdr:row>
      <xdr:rowOff>84667</xdr:rowOff>
    </xdr:from>
    <xdr:to>
      <xdr:col>20</xdr:col>
      <xdr:colOff>403734</xdr:colOff>
      <xdr:row>23</xdr:row>
      <xdr:rowOff>84667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4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54773" y="84667"/>
          <a:ext cx="4291841" cy="4503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26301</xdr:colOff>
      <xdr:row>2</xdr:row>
      <xdr:rowOff>4226</xdr:rowOff>
    </xdr:from>
    <xdr:to>
      <xdr:col>15</xdr:col>
      <xdr:colOff>148629</xdr:colOff>
      <xdr:row>22</xdr:row>
      <xdr:rowOff>194042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5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0981" y="469046"/>
          <a:ext cx="3665628" cy="38778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523875</xdr:colOff>
      <xdr:row>41</xdr:row>
      <xdr:rowOff>177800</xdr:rowOff>
    </xdr:from>
    <xdr:to>
      <xdr:col>10</xdr:col>
      <xdr:colOff>590550</xdr:colOff>
      <xdr:row>49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5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5713</xdr:colOff>
      <xdr:row>0</xdr:row>
      <xdr:rowOff>84667</xdr:rowOff>
    </xdr:from>
    <xdr:to>
      <xdr:col>20</xdr:col>
      <xdr:colOff>403734</xdr:colOff>
      <xdr:row>23</xdr:row>
      <xdr:rowOff>84667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5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92873" y="84667"/>
          <a:ext cx="4291841" cy="4503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134251</xdr:colOff>
      <xdr:row>1</xdr:row>
      <xdr:rowOff>182026</xdr:rowOff>
    </xdr:from>
    <xdr:to>
      <xdr:col>15</xdr:col>
      <xdr:colOff>256579</xdr:colOff>
      <xdr:row>22</xdr:row>
      <xdr:rowOff>181342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5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18151" y="455076"/>
          <a:ext cx="3665628" cy="39045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523875</xdr:colOff>
      <xdr:row>41</xdr:row>
      <xdr:rowOff>177800</xdr:rowOff>
    </xdr:from>
    <xdr:to>
      <xdr:col>10</xdr:col>
      <xdr:colOff>590550</xdr:colOff>
      <xdr:row>49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5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5713</xdr:colOff>
      <xdr:row>0</xdr:row>
      <xdr:rowOff>84667</xdr:rowOff>
    </xdr:from>
    <xdr:to>
      <xdr:col>20</xdr:col>
      <xdr:colOff>403734</xdr:colOff>
      <xdr:row>23</xdr:row>
      <xdr:rowOff>84667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5C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97173" y="84667"/>
          <a:ext cx="4291841" cy="4389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134251</xdr:colOff>
      <xdr:row>1</xdr:row>
      <xdr:rowOff>182026</xdr:rowOff>
    </xdr:from>
    <xdr:to>
      <xdr:col>18</xdr:col>
      <xdr:colOff>254674</xdr:colOff>
      <xdr:row>22</xdr:row>
      <xdr:rowOff>171817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6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23231" y="456346"/>
          <a:ext cx="3665628" cy="38778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523875</xdr:colOff>
      <xdr:row>41</xdr:row>
      <xdr:rowOff>177800</xdr:rowOff>
    </xdr:from>
    <xdr:to>
      <xdr:col>13</xdr:col>
      <xdr:colOff>590550</xdr:colOff>
      <xdr:row>49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6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36193</xdr:colOff>
      <xdr:row>0</xdr:row>
      <xdr:rowOff>0</xdr:rowOff>
    </xdr:from>
    <xdr:to>
      <xdr:col>24</xdr:col>
      <xdr:colOff>129540</xdr:colOff>
      <xdr:row>25</xdr:row>
      <xdr:rowOff>110070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6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7653" y="0"/>
          <a:ext cx="4772027" cy="4880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312420</xdr:colOff>
      <xdr:row>0</xdr:row>
      <xdr:rowOff>30480</xdr:rowOff>
    </xdr:from>
    <xdr:to>
      <xdr:col>32</xdr:col>
      <xdr:colOff>19252</xdr:colOff>
      <xdr:row>43</xdr:row>
      <xdr:rowOff>137160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6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70040" y="30480"/>
          <a:ext cx="5985712" cy="8328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327200</xdr:colOff>
      <xdr:row>26</xdr:row>
      <xdr:rowOff>156966</xdr:rowOff>
    </xdr:from>
    <xdr:to>
      <xdr:col>14</xdr:col>
      <xdr:colOff>819574</xdr:colOff>
      <xdr:row>31</xdr:row>
      <xdr:rowOff>95288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00000000-0008-0000-6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0840" y="2694426"/>
          <a:ext cx="4690994" cy="928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357717</xdr:colOff>
      <xdr:row>15</xdr:row>
      <xdr:rowOff>49954</xdr:rowOff>
    </xdr:from>
    <xdr:to>
      <xdr:col>14</xdr:col>
      <xdr:colOff>318953</xdr:colOff>
      <xdr:row>25</xdr:row>
      <xdr:rowOff>117529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6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24584" y="244687"/>
          <a:ext cx="4160702" cy="1989509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134251</xdr:colOff>
      <xdr:row>1</xdr:row>
      <xdr:rowOff>182026</xdr:rowOff>
    </xdr:from>
    <xdr:to>
      <xdr:col>20</xdr:col>
      <xdr:colOff>250863</xdr:colOff>
      <xdr:row>22</xdr:row>
      <xdr:rowOff>188789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6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4991" y="456346"/>
          <a:ext cx="3663723" cy="38759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523875</xdr:colOff>
      <xdr:row>42</xdr:row>
      <xdr:rowOff>177800</xdr:rowOff>
    </xdr:from>
    <xdr:to>
      <xdr:col>15</xdr:col>
      <xdr:colOff>590550</xdr:colOff>
      <xdr:row>50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6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36193</xdr:colOff>
      <xdr:row>0</xdr:row>
      <xdr:rowOff>0</xdr:rowOff>
    </xdr:from>
    <xdr:to>
      <xdr:col>26</xdr:col>
      <xdr:colOff>129540</xdr:colOff>
      <xdr:row>26</xdr:row>
      <xdr:rowOff>110070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6E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79413" y="0"/>
          <a:ext cx="4772027" cy="48573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387268</xdr:colOff>
      <xdr:row>0</xdr:row>
      <xdr:rowOff>145473</xdr:rowOff>
    </xdr:from>
    <xdr:to>
      <xdr:col>35</xdr:col>
      <xdr:colOff>552104</xdr:colOff>
      <xdr:row>39</xdr:row>
      <xdr:rowOff>40871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6E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89577" y="145473"/>
          <a:ext cx="7217492" cy="7286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410501</xdr:colOff>
      <xdr:row>0</xdr:row>
      <xdr:rowOff>41562</xdr:rowOff>
    </xdr:from>
    <xdr:to>
      <xdr:col>42</xdr:col>
      <xdr:colOff>607521</xdr:colOff>
      <xdr:row>38</xdr:row>
      <xdr:rowOff>99058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6E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57846" y="41562"/>
          <a:ext cx="5676493" cy="72687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134251</xdr:colOff>
      <xdr:row>1</xdr:row>
      <xdr:rowOff>182026</xdr:rowOff>
    </xdr:from>
    <xdr:to>
      <xdr:col>20</xdr:col>
      <xdr:colOff>250862</xdr:colOff>
      <xdr:row>22</xdr:row>
      <xdr:rowOff>188789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7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86571" y="456346"/>
          <a:ext cx="3659913" cy="3877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523875</xdr:colOff>
      <xdr:row>42</xdr:row>
      <xdr:rowOff>177800</xdr:rowOff>
    </xdr:from>
    <xdr:to>
      <xdr:col>15</xdr:col>
      <xdr:colOff>590550</xdr:colOff>
      <xdr:row>50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7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36193</xdr:colOff>
      <xdr:row>0</xdr:row>
      <xdr:rowOff>0</xdr:rowOff>
    </xdr:from>
    <xdr:to>
      <xdr:col>26</xdr:col>
      <xdr:colOff>129540</xdr:colOff>
      <xdr:row>26</xdr:row>
      <xdr:rowOff>110070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7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90993" y="0"/>
          <a:ext cx="4772027" cy="5032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387268</xdr:colOff>
      <xdr:row>0</xdr:row>
      <xdr:rowOff>145473</xdr:rowOff>
    </xdr:from>
    <xdr:to>
      <xdr:col>35</xdr:col>
      <xdr:colOff>552105</xdr:colOff>
      <xdr:row>39</xdr:row>
      <xdr:rowOff>40871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7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20748" y="145473"/>
          <a:ext cx="7228576" cy="73248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410501</xdr:colOff>
      <xdr:row>0</xdr:row>
      <xdr:rowOff>41562</xdr:rowOff>
    </xdr:from>
    <xdr:to>
      <xdr:col>42</xdr:col>
      <xdr:colOff>607521</xdr:colOff>
      <xdr:row>38</xdr:row>
      <xdr:rowOff>99058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7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07721" y="41562"/>
          <a:ext cx="5691040" cy="73041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22860</xdr:rowOff>
    </xdr:from>
    <xdr:to>
      <xdr:col>4</xdr:col>
      <xdr:colOff>57850</xdr:colOff>
      <xdr:row>43</xdr:row>
      <xdr:rowOff>38577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8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97580"/>
          <a:ext cx="7540690" cy="4404837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197616</xdr:colOff>
      <xdr:row>17</xdr:row>
      <xdr:rowOff>137160</xdr:rowOff>
    </xdr:from>
    <xdr:to>
      <xdr:col>13</xdr:col>
      <xdr:colOff>190897</xdr:colOff>
      <xdr:row>34</xdr:row>
      <xdr:rowOff>289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8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13116" y="739140"/>
          <a:ext cx="3879481" cy="2827309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134251</xdr:colOff>
      <xdr:row>1</xdr:row>
      <xdr:rowOff>182026</xdr:rowOff>
    </xdr:from>
    <xdr:to>
      <xdr:col>20</xdr:col>
      <xdr:colOff>250862</xdr:colOff>
      <xdr:row>22</xdr:row>
      <xdr:rowOff>188789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8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65491" y="456346"/>
          <a:ext cx="3659911" cy="3877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523875</xdr:colOff>
      <xdr:row>42</xdr:row>
      <xdr:rowOff>177800</xdr:rowOff>
    </xdr:from>
    <xdr:to>
      <xdr:col>15</xdr:col>
      <xdr:colOff>590550</xdr:colOff>
      <xdr:row>50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8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36193</xdr:colOff>
      <xdr:row>0</xdr:row>
      <xdr:rowOff>0</xdr:rowOff>
    </xdr:from>
    <xdr:to>
      <xdr:col>26</xdr:col>
      <xdr:colOff>129540</xdr:colOff>
      <xdr:row>26</xdr:row>
      <xdr:rowOff>110070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8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69913" y="0"/>
          <a:ext cx="4772027" cy="5032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387268</xdr:colOff>
      <xdr:row>0</xdr:row>
      <xdr:rowOff>145473</xdr:rowOff>
    </xdr:from>
    <xdr:to>
      <xdr:col>35</xdr:col>
      <xdr:colOff>552105</xdr:colOff>
      <xdr:row>39</xdr:row>
      <xdr:rowOff>40871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8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99668" y="145473"/>
          <a:ext cx="7228577" cy="73248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410501</xdr:colOff>
      <xdr:row>0</xdr:row>
      <xdr:rowOff>41562</xdr:rowOff>
    </xdr:from>
    <xdr:to>
      <xdr:col>42</xdr:col>
      <xdr:colOff>607521</xdr:colOff>
      <xdr:row>38</xdr:row>
      <xdr:rowOff>99058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8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6641" y="41562"/>
          <a:ext cx="5691040" cy="73041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136376</xdr:colOff>
      <xdr:row>0</xdr:row>
      <xdr:rowOff>80682</xdr:rowOff>
    </xdr:from>
    <xdr:to>
      <xdr:col>12</xdr:col>
      <xdr:colOff>713255</xdr:colOff>
      <xdr:row>24</xdr:row>
      <xdr:rowOff>37107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8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40352" y="80682"/>
          <a:ext cx="5695726" cy="5837272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134251</xdr:colOff>
      <xdr:row>1</xdr:row>
      <xdr:rowOff>182026</xdr:rowOff>
    </xdr:from>
    <xdr:to>
      <xdr:col>20</xdr:col>
      <xdr:colOff>247052</xdr:colOff>
      <xdr:row>22</xdr:row>
      <xdr:rowOff>188789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9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65491" y="456346"/>
          <a:ext cx="3659911" cy="3877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523875</xdr:colOff>
      <xdr:row>42</xdr:row>
      <xdr:rowOff>177800</xdr:rowOff>
    </xdr:from>
    <xdr:to>
      <xdr:col>15</xdr:col>
      <xdr:colOff>590550</xdr:colOff>
      <xdr:row>50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9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36193</xdr:colOff>
      <xdr:row>0</xdr:row>
      <xdr:rowOff>0</xdr:rowOff>
    </xdr:from>
    <xdr:to>
      <xdr:col>26</xdr:col>
      <xdr:colOff>129540</xdr:colOff>
      <xdr:row>26</xdr:row>
      <xdr:rowOff>110070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9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69913" y="0"/>
          <a:ext cx="4772027" cy="5032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387268</xdr:colOff>
      <xdr:row>0</xdr:row>
      <xdr:rowOff>145473</xdr:rowOff>
    </xdr:from>
    <xdr:to>
      <xdr:col>35</xdr:col>
      <xdr:colOff>555913</xdr:colOff>
      <xdr:row>39</xdr:row>
      <xdr:rowOff>40871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9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99668" y="145473"/>
          <a:ext cx="7228577" cy="73248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410501</xdr:colOff>
      <xdr:row>0</xdr:row>
      <xdr:rowOff>41562</xdr:rowOff>
    </xdr:from>
    <xdr:to>
      <xdr:col>42</xdr:col>
      <xdr:colOff>607523</xdr:colOff>
      <xdr:row>38</xdr:row>
      <xdr:rowOff>95248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9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6641" y="41562"/>
          <a:ext cx="5691040" cy="73041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423766</xdr:colOff>
      <xdr:row>0</xdr:row>
      <xdr:rowOff>98611</xdr:rowOff>
    </xdr:from>
    <xdr:to>
      <xdr:col>12</xdr:col>
      <xdr:colOff>457271</xdr:colOff>
      <xdr:row>19</xdr:row>
      <xdr:rowOff>193679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9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96684" y="98611"/>
          <a:ext cx="5152352" cy="4864292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134251</xdr:colOff>
      <xdr:row>1</xdr:row>
      <xdr:rowOff>182026</xdr:rowOff>
    </xdr:from>
    <xdr:to>
      <xdr:col>20</xdr:col>
      <xdr:colOff>247052</xdr:colOff>
      <xdr:row>22</xdr:row>
      <xdr:rowOff>188789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A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73111" y="456346"/>
          <a:ext cx="3656101" cy="3877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523875</xdr:colOff>
      <xdr:row>42</xdr:row>
      <xdr:rowOff>177800</xdr:rowOff>
    </xdr:from>
    <xdr:to>
      <xdr:col>15</xdr:col>
      <xdr:colOff>590550</xdr:colOff>
      <xdr:row>50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A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36193</xdr:colOff>
      <xdr:row>0</xdr:row>
      <xdr:rowOff>0</xdr:rowOff>
    </xdr:from>
    <xdr:to>
      <xdr:col>26</xdr:col>
      <xdr:colOff>129540</xdr:colOff>
      <xdr:row>26</xdr:row>
      <xdr:rowOff>110070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A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77533" y="0"/>
          <a:ext cx="4772027" cy="5032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387268</xdr:colOff>
      <xdr:row>0</xdr:row>
      <xdr:rowOff>145473</xdr:rowOff>
    </xdr:from>
    <xdr:to>
      <xdr:col>35</xdr:col>
      <xdr:colOff>555913</xdr:colOff>
      <xdr:row>39</xdr:row>
      <xdr:rowOff>40871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A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07288" y="145473"/>
          <a:ext cx="7232385" cy="73248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410501</xdr:colOff>
      <xdr:row>0</xdr:row>
      <xdr:rowOff>41562</xdr:rowOff>
    </xdr:from>
    <xdr:to>
      <xdr:col>42</xdr:col>
      <xdr:colOff>607523</xdr:colOff>
      <xdr:row>38</xdr:row>
      <xdr:rowOff>95248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A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94261" y="41562"/>
          <a:ext cx="5691042" cy="73003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159123</xdr:colOff>
      <xdr:row>0</xdr:row>
      <xdr:rowOff>114300</xdr:rowOff>
    </xdr:from>
    <xdr:to>
      <xdr:col>17</xdr:col>
      <xdr:colOff>11542</xdr:colOff>
      <xdr:row>40</xdr:row>
      <xdr:rowOff>24673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A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32041" y="114300"/>
          <a:ext cx="8915736" cy="8444773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21</xdr:col>
      <xdr:colOff>26524</xdr:colOff>
      <xdr:row>16</xdr:row>
      <xdr:rowOff>74658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A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95909" y="1233055"/>
          <a:ext cx="5499069" cy="1383912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134251</xdr:colOff>
      <xdr:row>1</xdr:row>
      <xdr:rowOff>182026</xdr:rowOff>
    </xdr:from>
    <xdr:to>
      <xdr:col>20</xdr:col>
      <xdr:colOff>250862</xdr:colOff>
      <xdr:row>22</xdr:row>
      <xdr:rowOff>188789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B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50716" y="456346"/>
          <a:ext cx="3663721" cy="3837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523875</xdr:colOff>
      <xdr:row>42</xdr:row>
      <xdr:rowOff>177800</xdr:rowOff>
    </xdr:from>
    <xdr:to>
      <xdr:col>15</xdr:col>
      <xdr:colOff>590550</xdr:colOff>
      <xdr:row>50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B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36193</xdr:colOff>
      <xdr:row>0</xdr:row>
      <xdr:rowOff>0</xdr:rowOff>
    </xdr:from>
    <xdr:to>
      <xdr:col>26</xdr:col>
      <xdr:colOff>129540</xdr:colOff>
      <xdr:row>26</xdr:row>
      <xdr:rowOff>110070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B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57043" y="0"/>
          <a:ext cx="4764407" cy="4994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387268</xdr:colOff>
      <xdr:row>0</xdr:row>
      <xdr:rowOff>145473</xdr:rowOff>
    </xdr:from>
    <xdr:to>
      <xdr:col>35</xdr:col>
      <xdr:colOff>552103</xdr:colOff>
      <xdr:row>39</xdr:row>
      <xdr:rowOff>40871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B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77273" y="143568"/>
          <a:ext cx="7192380" cy="72791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410501</xdr:colOff>
      <xdr:row>0</xdr:row>
      <xdr:rowOff>41562</xdr:rowOff>
    </xdr:from>
    <xdr:to>
      <xdr:col>42</xdr:col>
      <xdr:colOff>607523</xdr:colOff>
      <xdr:row>38</xdr:row>
      <xdr:rowOff>99058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B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26146" y="41562"/>
          <a:ext cx="5666277" cy="7258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607408</xdr:colOff>
      <xdr:row>0</xdr:row>
      <xdr:rowOff>281940</xdr:rowOff>
    </xdr:from>
    <xdr:to>
      <xdr:col>24</xdr:col>
      <xdr:colOff>434340</xdr:colOff>
      <xdr:row>39</xdr:row>
      <xdr:rowOff>15240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B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00688" y="281940"/>
          <a:ext cx="15127892" cy="707136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134251</xdr:colOff>
      <xdr:row>1</xdr:row>
      <xdr:rowOff>182026</xdr:rowOff>
    </xdr:from>
    <xdr:to>
      <xdr:col>21</xdr:col>
      <xdr:colOff>250863</xdr:colOff>
      <xdr:row>22</xdr:row>
      <xdr:rowOff>78723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C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18831" y="456346"/>
          <a:ext cx="3659911" cy="3877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523875</xdr:colOff>
      <xdr:row>42</xdr:row>
      <xdr:rowOff>177800</xdr:rowOff>
    </xdr:from>
    <xdr:to>
      <xdr:col>16</xdr:col>
      <xdr:colOff>590550</xdr:colOff>
      <xdr:row>50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C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36193</xdr:colOff>
      <xdr:row>0</xdr:row>
      <xdr:rowOff>0</xdr:rowOff>
    </xdr:from>
    <xdr:to>
      <xdr:col>27</xdr:col>
      <xdr:colOff>129540</xdr:colOff>
      <xdr:row>26</xdr:row>
      <xdr:rowOff>110070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C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23253" y="0"/>
          <a:ext cx="4772027" cy="5032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234868</xdr:colOff>
      <xdr:row>0</xdr:row>
      <xdr:rowOff>214746</xdr:rowOff>
    </xdr:from>
    <xdr:to>
      <xdr:col>36</xdr:col>
      <xdr:colOff>399702</xdr:colOff>
      <xdr:row>39</xdr:row>
      <xdr:rowOff>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C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68886" y="214746"/>
          <a:ext cx="7209871" cy="7286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396646</xdr:colOff>
      <xdr:row>0</xdr:row>
      <xdr:rowOff>0</xdr:rowOff>
    </xdr:from>
    <xdr:to>
      <xdr:col>43</xdr:col>
      <xdr:colOff>593669</xdr:colOff>
      <xdr:row>37</xdr:row>
      <xdr:rowOff>133696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C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75701" y="0"/>
          <a:ext cx="5676495" cy="72687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967740</xdr:colOff>
      <xdr:row>1</xdr:row>
      <xdr:rowOff>38100</xdr:rowOff>
    </xdr:from>
    <xdr:to>
      <xdr:col>22</xdr:col>
      <xdr:colOff>686989</xdr:colOff>
      <xdr:row>35</xdr:row>
      <xdr:rowOff>152950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C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1980" y="411480"/>
          <a:ext cx="13724809" cy="634801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342899</xdr:colOff>
      <xdr:row>39</xdr:row>
      <xdr:rowOff>60960</xdr:rowOff>
    </xdr:from>
    <xdr:to>
      <xdr:col>22</xdr:col>
      <xdr:colOff>77288</xdr:colOff>
      <xdr:row>71</xdr:row>
      <xdr:rowOff>5343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F0BAE99-B5C8-9AF6-0E1F-02D599223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95559" y="5798820"/>
          <a:ext cx="11263449" cy="4333503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134251</xdr:colOff>
      <xdr:row>1</xdr:row>
      <xdr:rowOff>182026</xdr:rowOff>
    </xdr:from>
    <xdr:to>
      <xdr:col>21</xdr:col>
      <xdr:colOff>247052</xdr:colOff>
      <xdr:row>22</xdr:row>
      <xdr:rowOff>78723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3278636-F4C2-4845-AF61-2EED35AF4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1231" y="456346"/>
          <a:ext cx="3659912" cy="3874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523875</xdr:colOff>
      <xdr:row>42</xdr:row>
      <xdr:rowOff>177800</xdr:rowOff>
    </xdr:from>
    <xdr:to>
      <xdr:col>16</xdr:col>
      <xdr:colOff>590550</xdr:colOff>
      <xdr:row>50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CC3AABF-2A1A-4556-9329-13D1B0CA9C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36193</xdr:colOff>
      <xdr:row>0</xdr:row>
      <xdr:rowOff>0</xdr:rowOff>
    </xdr:from>
    <xdr:to>
      <xdr:col>27</xdr:col>
      <xdr:colOff>129540</xdr:colOff>
      <xdr:row>26</xdr:row>
      <xdr:rowOff>110070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7E307DE-9008-4F49-9B30-3F2D2E09A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5653" y="0"/>
          <a:ext cx="4772027" cy="51392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234868</xdr:colOff>
      <xdr:row>0</xdr:row>
      <xdr:rowOff>214746</xdr:rowOff>
    </xdr:from>
    <xdr:to>
      <xdr:col>36</xdr:col>
      <xdr:colOff>403510</xdr:colOff>
      <xdr:row>39</xdr:row>
      <xdr:rowOff>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6867418-049C-4340-A9D8-DB77F6C69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43008" y="214746"/>
          <a:ext cx="7228574" cy="7321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396646</xdr:colOff>
      <xdr:row>0</xdr:row>
      <xdr:rowOff>0</xdr:rowOff>
    </xdr:from>
    <xdr:to>
      <xdr:col>43</xdr:col>
      <xdr:colOff>589861</xdr:colOff>
      <xdr:row>37</xdr:row>
      <xdr:rowOff>129886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02EACB9-082C-4CBD-8769-54284EAD7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8526" y="0"/>
          <a:ext cx="5691043" cy="73041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91440</xdr:colOff>
      <xdr:row>0</xdr:row>
      <xdr:rowOff>220980</xdr:rowOff>
    </xdr:from>
    <xdr:to>
      <xdr:col>18</xdr:col>
      <xdr:colOff>488602</xdr:colOff>
      <xdr:row>28</xdr:row>
      <xdr:rowOff>15684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2B42E9-95AA-3285-DD2A-D0CCA5308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45680" y="220980"/>
          <a:ext cx="10638442" cy="5121084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2286000</xdr:colOff>
      <xdr:row>23</xdr:row>
      <xdr:rowOff>103910</xdr:rowOff>
    </xdr:from>
    <xdr:to>
      <xdr:col>8</xdr:col>
      <xdr:colOff>1011327</xdr:colOff>
      <xdr:row>27</xdr:row>
      <xdr:rowOff>168927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E00E55-2B38-D77A-7124-6B36AED75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63591" y="3636819"/>
          <a:ext cx="4588571" cy="786666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106680</xdr:colOff>
      <xdr:row>0</xdr:row>
      <xdr:rowOff>76200</xdr:rowOff>
    </xdr:from>
    <xdr:to>
      <xdr:col>21</xdr:col>
      <xdr:colOff>303744</xdr:colOff>
      <xdr:row>21</xdr:row>
      <xdr:rowOff>2558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F129DE-B012-FE95-B931-75262F4DB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46080" y="76200"/>
          <a:ext cx="8091384" cy="3103898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134251</xdr:colOff>
      <xdr:row>1</xdr:row>
      <xdr:rowOff>182026</xdr:rowOff>
    </xdr:from>
    <xdr:to>
      <xdr:col>21</xdr:col>
      <xdr:colOff>247052</xdr:colOff>
      <xdr:row>22</xdr:row>
      <xdr:rowOff>78723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F5FE7D-4BB8-40C7-9B4F-6C8F1E650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29811" y="456346"/>
          <a:ext cx="3656101" cy="3874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523875</xdr:colOff>
      <xdr:row>42</xdr:row>
      <xdr:rowOff>177800</xdr:rowOff>
    </xdr:from>
    <xdr:to>
      <xdr:col>16</xdr:col>
      <xdr:colOff>590550</xdr:colOff>
      <xdr:row>50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514FD6D-F1B4-4755-85DB-ACF2D59ED8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36193</xdr:colOff>
      <xdr:row>0</xdr:row>
      <xdr:rowOff>0</xdr:rowOff>
    </xdr:from>
    <xdr:to>
      <xdr:col>27</xdr:col>
      <xdr:colOff>129540</xdr:colOff>
      <xdr:row>26</xdr:row>
      <xdr:rowOff>110070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40E6C1B-85E4-4BC9-84F4-12F5208BD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34233" y="0"/>
          <a:ext cx="4772027" cy="51392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234868</xdr:colOff>
      <xdr:row>0</xdr:row>
      <xdr:rowOff>214746</xdr:rowOff>
    </xdr:from>
    <xdr:to>
      <xdr:col>36</xdr:col>
      <xdr:colOff>403510</xdr:colOff>
      <xdr:row>39</xdr:row>
      <xdr:rowOff>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6F91F7D-1FB9-4B07-A0C8-2DAD453CC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11588" y="214746"/>
          <a:ext cx="7232382" cy="7321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396646</xdr:colOff>
      <xdr:row>0</xdr:row>
      <xdr:rowOff>0</xdr:rowOff>
    </xdr:from>
    <xdr:to>
      <xdr:col>43</xdr:col>
      <xdr:colOff>589861</xdr:colOff>
      <xdr:row>37</xdr:row>
      <xdr:rowOff>129886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E884062-0E0B-4F42-9806-B29AA40F3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37106" y="0"/>
          <a:ext cx="5687235" cy="73003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91440</xdr:colOff>
      <xdr:row>0</xdr:row>
      <xdr:rowOff>53340</xdr:rowOff>
    </xdr:from>
    <xdr:to>
      <xdr:col>23</xdr:col>
      <xdr:colOff>702259</xdr:colOff>
      <xdr:row>36</xdr:row>
      <xdr:rowOff>46276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CE8024-EEE4-E32A-48A2-18436F7F4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70520" y="53340"/>
          <a:ext cx="14067739" cy="6416596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320388</xdr:colOff>
      <xdr:row>4</xdr:row>
      <xdr:rowOff>50800</xdr:rowOff>
    </xdr:from>
    <xdr:to>
      <xdr:col>35</xdr:col>
      <xdr:colOff>480159</xdr:colOff>
      <xdr:row>100</xdr:row>
      <xdr:rowOff>1262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252DF57-E0AC-49F4-8DF9-10DEEC891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68638" y="806450"/>
          <a:ext cx="10535671" cy="4126222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2286000</xdr:colOff>
      <xdr:row>23</xdr:row>
      <xdr:rowOff>103910</xdr:rowOff>
    </xdr:from>
    <xdr:to>
      <xdr:col>8</xdr:col>
      <xdr:colOff>1011327</xdr:colOff>
      <xdr:row>27</xdr:row>
      <xdr:rowOff>168927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FADAA1C-9CB9-4357-8184-17A49EEFF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6060" y="3647210"/>
          <a:ext cx="4577487" cy="796537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134251</xdr:colOff>
      <xdr:row>1</xdr:row>
      <xdr:rowOff>182026</xdr:rowOff>
    </xdr:from>
    <xdr:to>
      <xdr:col>21</xdr:col>
      <xdr:colOff>247052</xdr:colOff>
      <xdr:row>22</xdr:row>
      <xdr:rowOff>78723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E81CF79-D4B8-4669-ACB4-A302729F6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14571" y="456346"/>
          <a:ext cx="3656101" cy="3874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523875</xdr:colOff>
      <xdr:row>42</xdr:row>
      <xdr:rowOff>177800</xdr:rowOff>
    </xdr:from>
    <xdr:to>
      <xdr:col>16</xdr:col>
      <xdr:colOff>590550</xdr:colOff>
      <xdr:row>50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C4D1C90-77C0-4C0F-9A3C-1E4F78A70C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36193</xdr:colOff>
      <xdr:row>0</xdr:row>
      <xdr:rowOff>0</xdr:rowOff>
    </xdr:from>
    <xdr:to>
      <xdr:col>27</xdr:col>
      <xdr:colOff>129540</xdr:colOff>
      <xdr:row>26</xdr:row>
      <xdr:rowOff>110070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BAF0BBB-D381-4CD3-83A5-C6373475B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18993" y="0"/>
          <a:ext cx="4772027" cy="51392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234868</xdr:colOff>
      <xdr:row>0</xdr:row>
      <xdr:rowOff>214746</xdr:rowOff>
    </xdr:from>
    <xdr:to>
      <xdr:col>36</xdr:col>
      <xdr:colOff>403510</xdr:colOff>
      <xdr:row>39</xdr:row>
      <xdr:rowOff>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D604027-3E61-45A9-9F97-CCB873C7A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96348" y="214746"/>
          <a:ext cx="7232382" cy="7321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396646</xdr:colOff>
      <xdr:row>0</xdr:row>
      <xdr:rowOff>0</xdr:rowOff>
    </xdr:from>
    <xdr:to>
      <xdr:col>43</xdr:col>
      <xdr:colOff>589861</xdr:colOff>
      <xdr:row>37</xdr:row>
      <xdr:rowOff>129886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06E3804-FE1E-43AF-94DF-FE2DBC586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21866" y="0"/>
          <a:ext cx="5687235" cy="73003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icardo" id="{E8EF4B31-D042-41E9-9717-72007196D90B}" userId="Ricardo" providerId="None"/>
  <person displayName="Antonely Villalona" id="{23D7CFF5-7C81-4BC7-8225-04E4ECFC668B}" userId="S::a.villalona@grupobak.com::26acd9b0-757c-45d2-bdf1-b43b683da2a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microsoft.com/office/2006/relationships/xlExternalLinkPath/xlPathMissing" Target="RF%202024%20con%20ADI%20AGOSTO%20mayo%202025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ely Villalona" refreshedDate="45488.527103935186" createdVersion="8" refreshedVersion="8" minRefreshableVersion="3" recordCount="53" xr:uid="{8EC90C2A-5C10-4869-B6C6-F5819DCE6B9F}">
  <cacheSource type="worksheet">
    <worksheetSource ref="A1:Y54" sheet="budget"/>
  </cacheSource>
  <cacheFields count="25">
    <cacheField name="Subproyecto" numFmtId="0">
      <sharedItems/>
    </cacheField>
    <cacheField name="Código de costo Nivel 1" numFmtId="0">
      <sharedItems/>
    </cacheField>
    <cacheField name="Código de costo Nivel 2" numFmtId="0">
      <sharedItems containsBlank="1" count="16">
        <s v="1-1 - TERRENO"/>
        <s v="1-2 - DISEÑO Y PROYECTO"/>
        <s v="1-3 - PRELIMINARES DE OBRA."/>
        <s v="1-4 - URBANISMO"/>
        <s v="1-5 - EDIFICACIONES"/>
        <s v="1-6 - GERENCIA DE CONSTRUCCION"/>
        <s v="1-7 - INDIRECTOS DE OBRA"/>
        <s v="2-1 - GERENCIA DE LA PROMOTORA"/>
        <s v="2-2 - GERENCIA DE VENTAS"/>
        <s v="2-3 - ADMINISTRACION DE FIDUCIARIA"/>
        <s v="2-4 - PUBLICIDAD Y PROMOCION"/>
        <s v="2-5 - POST-VENTAS"/>
        <s v="3-1 - PERMISOS LEGALES Y PRELIMINARES"/>
        <s v="3-2 - IMPREVISTOS"/>
        <s v="3-3 - GASTOS FINANCIEROS"/>
        <m u="1"/>
      </sharedItems>
    </cacheField>
    <cacheField name="Código de costo Nivel 3" numFmtId="0">
      <sharedItems/>
    </cacheField>
    <cacheField name="Código de costo Nivel 4" numFmtId="0">
      <sharedItems/>
    </cacheField>
    <cacheField name="Código de costo Nivel 5" numFmtId="0">
      <sharedItems/>
    </cacheField>
    <cacheField name="Tipo de costo" numFmtId="0">
      <sharedItems/>
    </cacheField>
    <cacheField name="Budget Code" numFmtId="0">
      <sharedItems/>
    </cacheField>
    <cacheField name="Budget Code Description" numFmtId="0">
      <sharedItems/>
    </cacheField>
    <cacheField name="Presupuesto Original" numFmtId="167">
      <sharedItems containsSemiMixedTypes="0" containsString="0" containsNumber="1" minValue="0" maxValue="283042948.64999998"/>
    </cacheField>
    <cacheField name="Modificaciones de Presupuesto" numFmtId="167">
      <sharedItems containsSemiMixedTypes="0" containsString="0" containsNumber="1" containsInteger="1" minValue="0" maxValue="0"/>
    </cacheField>
    <cacheField name="OC Aprobadas" numFmtId="167">
      <sharedItems containsSemiMixedTypes="0" containsString="0" containsNumber="1" containsInteger="1" minValue="0" maxValue="0"/>
    </cacheField>
    <cacheField name="Presupuesto Revisado" numFmtId="167">
      <sharedItems containsSemiMixedTypes="0" containsString="0" containsNumber="1" minValue="0" maxValue="283042948.64999998"/>
    </cacheField>
    <cacheField name="Cambios Pendientes al Presupuesto" numFmtId="167">
      <sharedItems containsSemiMixedTypes="0" containsString="0" containsNumber="1" containsInteger="1" minValue="0" maxValue="0"/>
    </cacheField>
    <cacheField name="Presupuesto Proyectado" numFmtId="167">
      <sharedItems containsSemiMixedTypes="0" containsString="0" containsNumber="1" minValue="0" maxValue="283042948.64999998"/>
    </cacheField>
    <cacheField name="Costos Comprometidos" numFmtId="167">
      <sharedItems containsSemiMixedTypes="0" containsString="0" containsNumber="1" minValue="0" maxValue="171771292"/>
    </cacheField>
    <cacheField name="Costos indirectos" numFmtId="167">
      <sharedItems containsSemiMixedTypes="0" containsString="0" containsNumber="1" containsInteger="1" minValue="0" maxValue="0"/>
    </cacheField>
    <cacheField name="Costos de Trabajo a la Fecha" numFmtId="167">
      <sharedItems containsSemiMixedTypes="0" containsString="0" containsNumber="1" minValue="0" maxValue="87141623.670000002"/>
    </cacheField>
    <cacheField name="Cambios Pendientes al Costo" numFmtId="167">
      <sharedItems containsSemiMixedTypes="0" containsString="0" containsNumber="1" containsInteger="1" minValue="0" maxValue="0"/>
    </cacheField>
    <cacheField name="Costos Proyectados" numFmtId="167">
      <sharedItems containsSemiMixedTypes="0" containsString="0" containsNumber="1" minValue="0" maxValue="171771292"/>
    </cacheField>
    <cacheField name="Cantidad por unidad del presupuesto" numFmtId="167">
      <sharedItems containsString="0" containsBlank="1" containsNumber="1" containsInteger="1" minValue="1" maxValue="1"/>
    </cacheField>
    <cacheField name="Unidad de medida del presupuesto" numFmtId="167">
      <sharedItems containsBlank="1"/>
    </cacheField>
    <cacheField name="Precio unitario del presupuesto" numFmtId="167">
      <sharedItems containsString="0" containsBlank="1" containsNumber="1" minValue="62663.64" maxValue="283042948.64999998"/>
    </cacheField>
    <cacheField name="Proyección para terminar" numFmtId="167">
      <sharedItems containsSemiMixedTypes="0" containsString="0" containsNumber="1" minValue="0" maxValue="283042948.64999998"/>
    </cacheField>
    <cacheField name="Costo Estimado al Terminar" numFmtId="167">
      <sharedItems containsSemiMixedTypes="0" containsString="0" containsNumber="1" minValue="0" maxValue="283042948.64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ely Villalona" refreshedDate="45797.416989467594" createdVersion="8" refreshedVersion="8" minRefreshableVersion="3" recordCount="42" xr:uid="{B01854BF-56BF-412B-8AED-6D4A668CB402}">
  <cacheSource type="worksheet">
    <worksheetSource ref="A5:E47" sheet="Ventas 04-25"/>
  </cacheSource>
  <cacheFields count="5">
    <cacheField name="Contact" numFmtId="0">
      <sharedItems/>
    </cacheField>
    <cacheField name="Estatus" numFmtId="0">
      <sharedItems containsBlank="1" count="5">
        <s v="Depurado"/>
        <s v="En Proceso"/>
        <s v="Desistido"/>
        <s v="Retirados"/>
        <m u="1"/>
      </sharedItems>
    </cacheField>
    <cacheField name="Devoluciones" numFmtId="173">
      <sharedItems containsSemiMixedTypes="0" containsString="0" containsNumber="1" containsInteger="1" minValue="0" maxValue="2000"/>
    </cacheField>
    <cacheField name="Aportes" numFmtId="173">
      <sharedItems containsSemiMixedTypes="0" containsString="0" containsNumber="1" containsInteger="1" minValue="978" maxValue="13008"/>
    </cacheField>
    <cacheField name="Balance" numFmtId="173">
      <sharedItems containsSemiMixedTypes="0" containsString="0" containsNumber="1" containsInteger="1" minValue="0" maxValue="130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ely Villalona" refreshedDate="45817.443282060187" createdVersion="8" refreshedVersion="8" minRefreshableVersion="3" recordCount="66" xr:uid="{82541BA8-5F0A-4AEB-BB1C-824F87727C5F}">
  <cacheSource type="worksheet">
    <worksheetSource ref="A5:E71" sheet="Depósitos Diferidos de Clien..." r:id="rId2"/>
  </cacheSource>
  <cacheFields count="5">
    <cacheField name="Contact" numFmtId="0">
      <sharedItems/>
    </cacheField>
    <cacheField name="Estatus" numFmtId="0">
      <sharedItems count="6">
        <s v="En Proceso"/>
        <s v="Depurado"/>
        <s v="En Proceso 9-6-25"/>
        <s v="No Enviado a Depurar"/>
        <s v="Desistido"/>
        <s v="Retirados"/>
      </sharedItems>
    </cacheField>
    <cacheField name="Devoluciones" numFmtId="173">
      <sharedItems containsSemiMixedTypes="0" containsString="0" containsNumber="1" containsInteger="1" minValue="0" maxValue="2000"/>
    </cacheField>
    <cacheField name="Aportes" numFmtId="173">
      <sharedItems containsSemiMixedTypes="0" containsString="0" containsNumber="1" minValue="972.41" maxValue="24470"/>
    </cacheField>
    <cacheField name="Balance" numFmtId="39">
      <sharedItems containsSemiMixedTypes="0" containsString="0" containsNumber="1" minValue="0" maxValue="244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s v="Ninguno"/>
    <s v="1 - CONSTRUCCION"/>
    <x v="0"/>
    <s v="1-1-1 - TERRENO ADI"/>
    <s v="1-1-1-MTOTALTE - TERRENO ADI"/>
    <s v="Ninguno"/>
    <s v="T - Total"/>
    <s v="1-1-1-MTOTALTE.T"/>
    <s v="TERRENO ADI.Total"/>
    <n v="7113000.2599999998"/>
    <n v="0"/>
    <n v="0"/>
    <n v="7113000.2599999998"/>
    <n v="0"/>
    <n v="7113000.2599999998"/>
    <n v="0"/>
    <n v="0"/>
    <n v="0"/>
    <n v="0"/>
    <n v="0"/>
    <n v="1"/>
    <m/>
    <n v="7113000.2599999998"/>
    <n v="7113000.2599999998"/>
    <n v="7113000.2599999998"/>
  </r>
  <r>
    <s v="Ninguno"/>
    <s v="1 - CONSTRUCCION"/>
    <x v="0"/>
    <s v="1-1-2 - COSTO ASOCIADO TERRENO"/>
    <s v="1-1-2-COSTTE - COSTO ASOCIADO TERRENO"/>
    <s v="Ninguno"/>
    <s v="T - Total"/>
    <s v="1-1-2-COSTTE.T"/>
    <s v="COSTO ASOCIADO TERRENO.Total"/>
    <n v="96272168.739999995"/>
    <n v="0"/>
    <n v="0"/>
    <n v="96272168.739999995"/>
    <n v="0"/>
    <n v="96272168.739999995"/>
    <n v="87141623.670000002"/>
    <n v="0"/>
    <n v="87141623.670000002"/>
    <n v="0"/>
    <n v="94172341.840000004"/>
    <n v="1"/>
    <s v="suma global"/>
    <n v="96272168.739999995"/>
    <n v="2099826.9"/>
    <n v="96272168.739999995"/>
  </r>
  <r>
    <s v="Ninguno"/>
    <s v="1 - CONSTRUCCION"/>
    <x v="1"/>
    <s v="1-2-1 - DISEÑO Y PROYECTO ADI"/>
    <s v="1-2-1-MTOTALDP - DISEÑO Y PROYECTO ADI"/>
    <s v="Ninguno"/>
    <s v="T - Total"/>
    <s v="1-2-1-MTOTALDP.T"/>
    <s v="DISEÑO Y PROYECTO ADI.Total"/>
    <n v="62663.64"/>
    <n v="0"/>
    <n v="0"/>
    <n v="62663.64"/>
    <n v="0"/>
    <n v="62663.64"/>
    <n v="0"/>
    <n v="0"/>
    <n v="0"/>
    <n v="0"/>
    <n v="0"/>
    <n v="1"/>
    <s v="suma global"/>
    <n v="62663.64"/>
    <n v="62663.64"/>
    <n v="62663.64"/>
  </r>
  <r>
    <s v="Ninguno"/>
    <s v="1 - CONSTRUCCION"/>
    <x v="1"/>
    <s v="1-2-2 - ESTUDIOS"/>
    <s v="1-2-2-DIPRO01 - ESTUDIOS"/>
    <s v="Ninguno"/>
    <s v="OT - Otros"/>
    <s v="1-2-2-DIPRO01.OT"/>
    <s v="ESTUDIOS.Otros"/>
    <n v="0"/>
    <n v="0"/>
    <n v="0"/>
    <n v="0"/>
    <n v="0"/>
    <n v="0"/>
    <n v="0"/>
    <n v="0"/>
    <n v="0"/>
    <n v="0"/>
    <n v="0"/>
    <m/>
    <m/>
    <m/>
    <n v="0"/>
    <n v="0"/>
  </r>
  <r>
    <s v="Ninguno"/>
    <s v="1 - CONSTRUCCION"/>
    <x v="1"/>
    <s v="1-2-2 - ESTUDIOS"/>
    <s v="1-2-2-DIPRO01 - ESTUDIOS"/>
    <s v="Ninguno"/>
    <s v="T - Total"/>
    <s v="1-2-2-DIPRO01.T"/>
    <s v="ESTUDIOS.Total"/>
    <n v="5641221.5099999998"/>
    <n v="0"/>
    <n v="0"/>
    <n v="5641221.5099999998"/>
    <n v="0"/>
    <n v="5641221.5099999998"/>
    <n v="5641221.5099999998"/>
    <n v="0"/>
    <n v="2120698.7400000002"/>
    <n v="0"/>
    <n v="5641221.5099999998"/>
    <n v="1"/>
    <s v="suma global"/>
    <n v="5641221.5099999998"/>
    <n v="0"/>
    <n v="5641221.5099999998"/>
  </r>
  <r>
    <s v="Ninguno"/>
    <s v="1 - CONSTRUCCION"/>
    <x v="1"/>
    <s v="1-2-3 - DISEÑO Y ARQUITECTURA"/>
    <s v="1-2-3-DIPRO02 - DISEÑO Y ARQUITECTURA"/>
    <s v="Ninguno"/>
    <s v="T - Total"/>
    <s v="1-2-3-DIPRO02.T"/>
    <s v="DISEÑO Y ARQUITECTURA.Total"/>
    <n v="8785614.5500000007"/>
    <n v="0"/>
    <n v="0"/>
    <n v="8785614.5500000007"/>
    <n v="0"/>
    <n v="8585614.5500000007"/>
    <n v="8651170.1099999994"/>
    <n v="0"/>
    <n v="1460979.71"/>
    <n v="0"/>
    <n v="8651170.1099999994"/>
    <n v="1"/>
    <s v="suma global"/>
    <n v="8585614.5500000007"/>
    <n v="0"/>
    <n v="8651170.1099999994"/>
  </r>
  <r>
    <s v="Ninguno"/>
    <s v="1 - CONSTRUCCION"/>
    <x v="1"/>
    <s v="1-2-4 - INGENIERIAS"/>
    <s v="1-2-4-DIPRO03 - INGENIERIAS"/>
    <s v="Ninguno"/>
    <s v="T - Total"/>
    <s v="1-2-4-DIPRO03.T"/>
    <s v="INGENIERIAS.Total"/>
    <n v="5932855.3499999996"/>
    <n v="0"/>
    <n v="0"/>
    <n v="5932855.3499999996"/>
    <n v="0"/>
    <n v="5932855.3499999996"/>
    <n v="5340673.67"/>
    <n v="0"/>
    <n v="4274616.0999999996"/>
    <n v="0"/>
    <n v="5340673.67"/>
    <n v="1"/>
    <s v="suma global"/>
    <n v="5932855.3499999996"/>
    <n v="592181.68000000005"/>
    <n v="5932855.3499999996"/>
  </r>
  <r>
    <s v="Ninguno"/>
    <s v="1 - CONSTRUCCION"/>
    <x v="1"/>
    <s v="1-2-5 - COMPUTOS"/>
    <s v="1-2-5-DIPRO04 - COMPUTOS"/>
    <s v="Ninguno"/>
    <s v="T - Total"/>
    <s v="1-2-5-DIPRO04.T"/>
    <s v="COMPUTOS.Total"/>
    <n v="367644.95"/>
    <n v="0"/>
    <n v="0"/>
    <n v="367644.95"/>
    <n v="0"/>
    <n v="367644.95"/>
    <n v="318992.25"/>
    <n v="0"/>
    <n v="318992.25"/>
    <n v="0"/>
    <n v="318992.25"/>
    <n v="1"/>
    <s v="suma global"/>
    <n v="367644.95"/>
    <n v="48652.7"/>
    <n v="367644.95"/>
  </r>
  <r>
    <s v="Ninguno"/>
    <s v="1 - CONSTRUCCION"/>
    <x v="2"/>
    <s v="1-3-2 - OBRAS PRELIMINARES AREA CAMPAMENTO"/>
    <s v="1-3-2-1 - OBRAS PRELIMINARES AREA CAMPAMENTO"/>
    <s v="Ninguno"/>
    <s v="T - Total"/>
    <s v="1-3-2-1.T"/>
    <s v="OBRAS PRELIMINARES AREA CAMPAMENTO.Total"/>
    <n v="0"/>
    <n v="0"/>
    <n v="0"/>
    <n v="0"/>
    <n v="0"/>
    <n v="0"/>
    <n v="0"/>
    <n v="0"/>
    <n v="0"/>
    <n v="0"/>
    <n v="0"/>
    <m/>
    <m/>
    <m/>
    <n v="0"/>
    <n v="0"/>
  </r>
  <r>
    <s v="Ninguno"/>
    <s v="1 - CONSTRUCCION"/>
    <x v="3"/>
    <s v="1-4-1 - URBANISMO ADI"/>
    <s v="1-4-1-MTOTALURB - URBANISMO ADI"/>
    <s v="Ninguno"/>
    <s v="T - Total"/>
    <s v="1-4-1-MTOTALURB.T"/>
    <s v="URBANISMO ADI.Total"/>
    <n v="11813427.039999999"/>
    <n v="0"/>
    <n v="0"/>
    <n v="11813427.039999999"/>
    <n v="0"/>
    <n v="11813427.039999999"/>
    <n v="0"/>
    <n v="0"/>
    <n v="0"/>
    <n v="0"/>
    <n v="0"/>
    <n v="1"/>
    <s v="suma global"/>
    <n v="11813427.039999999"/>
    <n v="11813427.039999999"/>
    <n v="11813427.039999999"/>
  </r>
  <r>
    <s v="Ninguno"/>
    <s v="1 - CONSTRUCCION"/>
    <x v="3"/>
    <s v="1-4-2 - PRELIMINARES ADI"/>
    <s v="1-4-2-MTOTALPRELI - PRELIMINARES ADI"/>
    <s v="Ninguno"/>
    <s v="T - Total"/>
    <s v="1-4-2-MTOTALPRELI.T"/>
    <s v="PRELIMINARES ADI.Total"/>
    <n v="2608627.81"/>
    <n v="0"/>
    <n v="0"/>
    <n v="2608627.81"/>
    <n v="0"/>
    <n v="2608627.81"/>
    <n v="0"/>
    <n v="0"/>
    <n v="0"/>
    <n v="0"/>
    <n v="0"/>
    <n v="1"/>
    <m/>
    <n v="2608627.81"/>
    <n v="2608627.81"/>
    <n v="2608627.81"/>
  </r>
  <r>
    <s v="Ninguno"/>
    <s v="1 - CONSTRUCCION"/>
    <x v="3"/>
    <s v="1-4-3 - PRELIMINARES DE OBRA"/>
    <s v="1-4-3-PRELIMOBRA1 - PRELIMINARES AREA CAMPAMENTO"/>
    <s v="Ninguno"/>
    <s v="T - Total"/>
    <s v="1-4-3-PRELIMOBRA1.T"/>
    <s v="PRELIMINARES AREA CAMPAMENTO.Total"/>
    <n v="1897166.4"/>
    <n v="0"/>
    <n v="0"/>
    <n v="1897166.4"/>
    <n v="0"/>
    <n v="1897166.4"/>
    <n v="1897166.4"/>
    <n v="0"/>
    <n v="1897166.4"/>
    <n v="0"/>
    <n v="1897166.4"/>
    <n v="1"/>
    <m/>
    <n v="1897166.4"/>
    <n v="0"/>
    <n v="1897166.4"/>
  </r>
  <r>
    <s v="Ninguno"/>
    <s v="1 - CONSTRUCCION"/>
    <x v="3"/>
    <s v="1-4-3 - PRELIMINARES DE OBRA"/>
    <s v="1-4-3-PRELIMOBRA2 - PRELIMINARES AREA SHOWROOM"/>
    <s v="Ninguno"/>
    <s v="T - Total"/>
    <s v="1-4-3-PRELIMOBRA2.T"/>
    <s v="PRELIMINARES AREA SHOWROOM.Total"/>
    <n v="7141348.9900000002"/>
    <n v="0"/>
    <n v="0"/>
    <n v="7141348.9900000002"/>
    <n v="0"/>
    <n v="7141348.9900000002"/>
    <n v="7141348.9900000002"/>
    <n v="0"/>
    <n v="5570282.9199999999"/>
    <n v="0"/>
    <n v="7141348.9900000002"/>
    <n v="1"/>
    <m/>
    <n v="7141348.9900000002"/>
    <n v="0"/>
    <n v="7141348.9900000002"/>
  </r>
  <r>
    <s v="Ninguno"/>
    <s v="1 - CONSTRUCCION"/>
    <x v="3"/>
    <s v="1-4-4 - MOVIMIENTO DE TIERRA"/>
    <s v="1-4-4-URB01 - MOVIMIENTO DE TIERRA"/>
    <s v="Ninguno"/>
    <s v="T - Total"/>
    <s v="1-4-4-URB01.T"/>
    <s v="MOVIMIENTO DE TIERRA.Total"/>
    <n v="54584719.920000002"/>
    <n v="0"/>
    <n v="0"/>
    <n v="54584719.920000002"/>
    <n v="0"/>
    <n v="54584719.920000002"/>
    <n v="0"/>
    <n v="0"/>
    <n v="0"/>
    <n v="0"/>
    <n v="0"/>
    <n v="1"/>
    <s v="suma global"/>
    <n v="54584719.920000002"/>
    <n v="54584719.920000002"/>
    <n v="54584719.920000002"/>
  </r>
  <r>
    <s v="Ninguno"/>
    <s v="1 - CONSTRUCCION"/>
    <x v="3"/>
    <s v="1-4-5 - HIDROSANITARIAS"/>
    <s v="1-4-5-URB02 - HIDROSANITARIAS"/>
    <s v="Ninguno"/>
    <s v="T - Total"/>
    <s v="1-4-5-URB02.T"/>
    <s v="HIDROSANITARIAS.Total"/>
    <n v="56232240.789999999"/>
    <n v="0"/>
    <n v="0"/>
    <n v="56232240.789999999"/>
    <n v="0"/>
    <n v="56232240.789999999"/>
    <n v="0"/>
    <n v="0"/>
    <n v="0"/>
    <n v="0"/>
    <n v="0"/>
    <n v="1"/>
    <s v="suma global"/>
    <n v="56232240.789999999"/>
    <n v="56232240.789999999"/>
    <n v="56232240.789999999"/>
  </r>
  <r>
    <s v="Ninguno"/>
    <s v="1 - CONSTRUCCION"/>
    <x v="3"/>
    <s v="1-4-6 - SISTEMAS DE AGUAS"/>
    <s v="1-4-6-URB03 - SISTEMA DE AGUAS"/>
    <s v="Ninguno"/>
    <s v="T - Total"/>
    <s v="1-4-6-URB03.T"/>
    <s v="SISTEMA DE AGUAS.Total"/>
    <n v="35679322.68"/>
    <n v="0"/>
    <n v="0"/>
    <n v="35679322.68"/>
    <n v="0"/>
    <n v="35679322.68"/>
    <n v="0"/>
    <n v="0"/>
    <n v="0"/>
    <n v="0"/>
    <n v="0"/>
    <n v="1"/>
    <s v="suma global"/>
    <n v="35679322.68"/>
    <n v="35679322.68"/>
    <n v="35679322.68"/>
  </r>
  <r>
    <s v="Ninguno"/>
    <s v="1 - CONSTRUCCION"/>
    <x v="3"/>
    <s v="1-4-7 - INSFRAESTRUCTURA ELECTRICA"/>
    <s v="1-4-7-URB04 - INSFRAESTRUCTURA ELECTRICA"/>
    <s v="Ninguno"/>
    <s v="T - Total"/>
    <s v="1-4-7-URB04.T"/>
    <s v="INSFRAESTRUCTURA ELECTRICA.Total"/>
    <n v="135138026.36000001"/>
    <n v="0"/>
    <n v="0"/>
    <n v="135138026.36000001"/>
    <n v="0"/>
    <n v="135138026.36000001"/>
    <n v="0"/>
    <n v="0"/>
    <n v="0"/>
    <n v="0"/>
    <n v="0"/>
    <n v="1"/>
    <s v="suma global"/>
    <n v="135138026.36000001"/>
    <n v="135138026.36000001"/>
    <n v="135138026.36000001"/>
  </r>
  <r>
    <s v="Ninguno"/>
    <s v="1 - CONSTRUCCION"/>
    <x v="3"/>
    <s v="1-4-8 - INSTALACIONES DE GAS"/>
    <s v="1-4-8-URB05 - INSTALACIONES DE GAS"/>
    <s v="Ninguno"/>
    <s v="T - Total"/>
    <s v="1-4-8-URB05.T"/>
    <s v="INSTALACIONES DE GAS.Total"/>
    <n v="8535640.8900000006"/>
    <n v="0"/>
    <n v="0"/>
    <n v="8535640.8900000006"/>
    <n v="0"/>
    <n v="8535640.8900000006"/>
    <n v="0"/>
    <n v="0"/>
    <n v="0"/>
    <n v="0"/>
    <n v="0"/>
    <n v="1"/>
    <s v="suma global"/>
    <n v="8535640.8900000006"/>
    <n v="8535640.8900000006"/>
    <n v="8535640.8900000006"/>
  </r>
  <r>
    <s v="Ninguno"/>
    <s v="1 - CONSTRUCCION"/>
    <x v="3"/>
    <s v="1-4-9 - INSTALACIONES TELECOMUNICACIONES"/>
    <s v="1-4-9-URB6 - INSTALACIONES TELECOMUNICACIONES"/>
    <s v="Ninguno"/>
    <s v="T - Total"/>
    <s v="1-4-9-URB6.T"/>
    <s v="INSTALACIONES TELECOMUNICACIONES.Total"/>
    <n v="14797543.15"/>
    <n v="0"/>
    <n v="0"/>
    <n v="14797543.15"/>
    <n v="0"/>
    <n v="14797543.15"/>
    <n v="0"/>
    <n v="0"/>
    <n v="0"/>
    <n v="0"/>
    <n v="0"/>
    <n v="1"/>
    <s v="suma global"/>
    <n v="14797543.15"/>
    <n v="14797543.15"/>
    <n v="14797543.15"/>
  </r>
  <r>
    <s v="Ninguno"/>
    <s v="1 - CONSTRUCCION"/>
    <x v="3"/>
    <s v="1-4-10 - EQUIPAMIENTO URBANISMO"/>
    <s v="1-4-10-URB7 - EQUIPAMIENTO URBANO"/>
    <s v="Ninguno"/>
    <s v="T - Total"/>
    <s v="1-4-10-URB7.T"/>
    <s v="EQUIPAMIENTO URBANO.Total"/>
    <n v="62873368.450000003"/>
    <n v="0"/>
    <n v="0"/>
    <n v="62873368.450000003"/>
    <n v="0"/>
    <n v="62873368.450000003"/>
    <n v="0"/>
    <n v="0"/>
    <n v="0"/>
    <n v="0"/>
    <n v="0"/>
    <n v="1"/>
    <s v="suma global"/>
    <n v="62873368.450000003"/>
    <n v="62873368.450000003"/>
    <n v="62873368.450000003"/>
  </r>
  <r>
    <s v="Ninguno"/>
    <s v="1 - CONSTRUCCION"/>
    <x v="3"/>
    <s v="1-4-11 - VIALIDAD"/>
    <s v="1-4-11-URB8 - VIALIDAD"/>
    <s v="Ninguno"/>
    <s v="T - Total"/>
    <s v="1-4-11-URB8.T"/>
    <s v="VIALIDAD.Total"/>
    <n v="26736231.68"/>
    <n v="0"/>
    <n v="0"/>
    <n v="26736231.68"/>
    <n v="0"/>
    <n v="26736231.68"/>
    <n v="0"/>
    <n v="0"/>
    <n v="0"/>
    <n v="0"/>
    <n v="0"/>
    <n v="1"/>
    <s v="suma global"/>
    <n v="26736231.68"/>
    <n v="26736231.68"/>
    <n v="26736231.68"/>
  </r>
  <r>
    <s v="Ninguno"/>
    <s v="1 - CONSTRUCCION"/>
    <x v="3"/>
    <s v="1-4-12 - PAISAJISMO"/>
    <s v="1-4-12-URB9 - PAISAJISMO"/>
    <s v="Ninguno"/>
    <s v="T - Total"/>
    <s v="1-4-12-URB9.T"/>
    <s v="PAISAJISMO.Total"/>
    <n v="27763645.809999999"/>
    <n v="0"/>
    <n v="0"/>
    <n v="27763645.809999999"/>
    <n v="0"/>
    <n v="27763645.809999999"/>
    <n v="0"/>
    <n v="0"/>
    <n v="0"/>
    <n v="0"/>
    <n v="0"/>
    <n v="1"/>
    <m/>
    <n v="27763645.809999999"/>
    <n v="27763645.809999999"/>
    <n v="27763645.809999999"/>
  </r>
  <r>
    <s v="Ninguno"/>
    <s v="1 - CONSTRUCCION"/>
    <x v="3"/>
    <s v="1-4-13 - OBRAS EXTERIORES"/>
    <s v="1-4-13-URB10 - OBRAS EXTERIORES"/>
    <s v="Ninguno"/>
    <s v="T - Total"/>
    <s v="1-4-13-URB10.T"/>
    <s v="OBRAS EXTERIORES.Total"/>
    <n v="5957690.0300000003"/>
    <n v="0"/>
    <n v="0"/>
    <n v="5957690.0300000003"/>
    <n v="0"/>
    <n v="5957690.0300000003"/>
    <n v="0"/>
    <n v="0"/>
    <n v="0"/>
    <n v="0"/>
    <n v="0"/>
    <n v="1"/>
    <m/>
    <n v="5957690.0300000003"/>
    <n v="5957690.0300000003"/>
    <n v="5957690.0300000003"/>
  </r>
  <r>
    <s v="Ninguno"/>
    <s v="1 - CONSTRUCCION"/>
    <x v="4"/>
    <s v="1-5-1 - EDIFICACIONES ADI"/>
    <s v="1-5-1-MTOTALEDIF - EDIFICACIONES ADI"/>
    <s v="1-5-1-MTOTALEDIF-MTOTALEDIF - EDIFICACIONES ADI"/>
    <s v="T - Total"/>
    <s v="1-5-1-MTOTALEDIF-MTOTALEDIF.T"/>
    <s v="EDIFICACIONES ADI.Total"/>
    <n v="7612584.9800000004"/>
    <n v="0"/>
    <n v="0"/>
    <n v="7612584.9800000004"/>
    <n v="0"/>
    <n v="7612584.9800000004"/>
    <n v="0"/>
    <n v="0"/>
    <n v="0"/>
    <n v="0"/>
    <n v="0"/>
    <n v="1"/>
    <s v="suma global"/>
    <n v="7612584.9800000004"/>
    <n v="7612584.9800000004"/>
    <n v="7612584.9800000004"/>
  </r>
  <r>
    <s v="Ninguno"/>
    <s v="1 - CONSTRUCCION"/>
    <x v="4"/>
    <s v="1-5-2 - INSFRAESTRUCTURA"/>
    <s v="1-5-2-EDIF02 - INSFRAESTRUCTURA"/>
    <s v="Ninguno"/>
    <s v="T - Total"/>
    <s v="1-5-2-EDIF02.T"/>
    <s v="INSFRAESTRUCTURA.Total"/>
    <n v="85437791.670000002"/>
    <n v="0"/>
    <n v="0"/>
    <n v="85437791.670000002"/>
    <n v="0"/>
    <n v="85437791.670000002"/>
    <n v="0"/>
    <n v="0"/>
    <n v="0"/>
    <n v="0"/>
    <n v="0"/>
    <n v="1"/>
    <s v="suma global"/>
    <n v="85437791.670000002"/>
    <n v="85437791.670000002"/>
    <n v="85437791.670000002"/>
  </r>
  <r>
    <s v="Ninguno"/>
    <s v="1 - CONSTRUCCION"/>
    <x v="4"/>
    <s v="1-5-3 - SUPERESTRUCTURA"/>
    <s v="1-5-3-EDIF02 - SUPERESTRUCTURA"/>
    <s v="Ninguno"/>
    <s v="T - Total"/>
    <s v="1-5-3-EDIF02.T"/>
    <s v="SUPERESTRUCTURA.Total"/>
    <n v="283042948.64999998"/>
    <n v="0"/>
    <n v="0"/>
    <n v="283042948.64999998"/>
    <n v="0"/>
    <n v="283042948.64999998"/>
    <n v="0"/>
    <n v="0"/>
    <n v="0"/>
    <n v="0"/>
    <n v="0"/>
    <n v="1"/>
    <s v="suma global"/>
    <n v="283042948.64999998"/>
    <n v="283042948.64999998"/>
    <n v="283042948.64999998"/>
  </r>
  <r>
    <s v="Ninguno"/>
    <s v="1 - CONSTRUCCION"/>
    <x v="4"/>
    <s v="1-5-4 - INSTALACIONES ELECTRICAS"/>
    <s v="1-5-4-EDIF04 - INSTALACIONES ELECTRICAS"/>
    <s v="Ninguno"/>
    <s v="OT - Otros"/>
    <s v="1-5-4-EDIF04.OT"/>
    <s v="INSTALACIONES ELECTRICAS.Otros"/>
    <n v="0"/>
    <n v="0"/>
    <n v="0"/>
    <n v="0"/>
    <n v="0"/>
    <n v="0"/>
    <n v="0"/>
    <n v="0"/>
    <n v="0"/>
    <n v="0"/>
    <n v="0"/>
    <m/>
    <m/>
    <m/>
    <n v="0"/>
    <n v="0"/>
  </r>
  <r>
    <s v="Ninguno"/>
    <s v="1 - CONSTRUCCION"/>
    <x v="4"/>
    <s v="1-5-4 - INSTALACIONES ELECTRICAS"/>
    <s v="1-5-4-EDIF04 - INSTALACIONES ELECTRICAS"/>
    <s v="Ninguno"/>
    <s v="T - Total"/>
    <s v="1-5-4-EDIF04.T"/>
    <s v="INSTALACIONES ELECTRICAS.Total"/>
    <n v="60439199.590000004"/>
    <n v="0"/>
    <n v="0"/>
    <n v="60439199.590000004"/>
    <n v="0"/>
    <n v="60439199.590000004"/>
    <n v="0"/>
    <n v="0"/>
    <n v="0"/>
    <n v="0"/>
    <n v="0"/>
    <n v="1"/>
    <s v="suma global"/>
    <n v="60439199.590000004"/>
    <n v="60439199.590000004"/>
    <n v="60439199.590000004"/>
  </r>
  <r>
    <s v="Ninguno"/>
    <s v="1 - CONSTRUCCION"/>
    <x v="4"/>
    <s v="1-5-5 - TELECOMUNICACIONES"/>
    <s v="1-5-5-EDIF05 - TELECOMUNICACIONES"/>
    <s v="Ninguno"/>
    <s v="T - Total"/>
    <s v="1-5-5-EDIF05.T"/>
    <s v="TELECOMUNICACIONES.Total"/>
    <n v="8446912.3200000003"/>
    <n v="0"/>
    <n v="0"/>
    <n v="8446912.3200000003"/>
    <n v="0"/>
    <n v="8446912.3200000003"/>
    <n v="0"/>
    <n v="0"/>
    <n v="0"/>
    <n v="0"/>
    <n v="0"/>
    <n v="1"/>
    <s v="suma global"/>
    <n v="8446912.3200000003"/>
    <n v="8446912.3200000003"/>
    <n v="8446912.3200000003"/>
  </r>
  <r>
    <s v="Ninguno"/>
    <s v="1 - CONSTRUCCION"/>
    <x v="4"/>
    <s v="1-5-6 - INSTALACIONES SANITARIAS"/>
    <s v="1-5-6-EDIF06 - INSTALACIONES SANITARIAS"/>
    <s v="Ninguno"/>
    <s v="T - Total"/>
    <s v="1-5-6-EDIF06.T"/>
    <s v="INSTALACIONES SANITARIAS.Total"/>
    <n v="101007491.2"/>
    <n v="0"/>
    <n v="0"/>
    <n v="101007491.2"/>
    <n v="0"/>
    <n v="101007491.2"/>
    <n v="0"/>
    <n v="0"/>
    <n v="0"/>
    <n v="0"/>
    <n v="0"/>
    <n v="1"/>
    <s v="suma global"/>
    <n v="101007491.2"/>
    <n v="101007491.2"/>
    <n v="101007491.2"/>
  </r>
  <r>
    <s v="Ninguno"/>
    <s v="1 - CONSTRUCCION"/>
    <x v="4"/>
    <s v="1-5-7 - INSTALACIONES MECANICAS"/>
    <s v="1-5-7-EDIF07 - INSTALACIONES MECANICAS"/>
    <s v="Ninguno"/>
    <s v="T - Total"/>
    <s v="1-5-7-EDIF07.T"/>
    <s v="INSTALACIONES MECANICAS.Total"/>
    <n v="455797.65"/>
    <n v="0"/>
    <n v="0"/>
    <n v="455797.65"/>
    <n v="0"/>
    <n v="455797.65"/>
    <n v="0"/>
    <n v="0"/>
    <n v="0"/>
    <n v="0"/>
    <n v="0"/>
    <n v="1"/>
    <s v="suma global"/>
    <n v="455797.65"/>
    <n v="455797.65"/>
    <n v="455797.65"/>
  </r>
  <r>
    <s v="Ninguno"/>
    <s v="1 - CONSTRUCCION"/>
    <x v="4"/>
    <s v="1-5-8 - ALBANILERIA"/>
    <s v="1-5-8-EDIF08 - ALBANILERIA"/>
    <s v="Ninguno"/>
    <s v="T - Total"/>
    <s v="1-5-8-EDIF08.T"/>
    <s v="ALBANILERIA.Total"/>
    <n v="79619985.829999998"/>
    <n v="0"/>
    <n v="0"/>
    <n v="79619985.829999998"/>
    <n v="0"/>
    <n v="79619985.829999998"/>
    <n v="0"/>
    <n v="0"/>
    <n v="0"/>
    <n v="0"/>
    <n v="0"/>
    <n v="1"/>
    <s v="suma global"/>
    <n v="79619985.829999998"/>
    <n v="79619985.829999998"/>
    <n v="79619985.829999998"/>
  </r>
  <r>
    <s v="Ninguno"/>
    <s v="1 - CONSTRUCCION"/>
    <x v="4"/>
    <s v="1-5-9 - HERRERIA"/>
    <s v="1-5-9-EDIF09 - HERRERIA"/>
    <s v="Ninguno"/>
    <s v="T - Total"/>
    <s v="1-5-9-EDIF09.T"/>
    <s v="HERRERIA.Total"/>
    <n v="55148949.240000002"/>
    <n v="0"/>
    <n v="0"/>
    <n v="55148949.240000002"/>
    <n v="0"/>
    <n v="55148949.240000002"/>
    <n v="0"/>
    <n v="0"/>
    <n v="0"/>
    <n v="0"/>
    <n v="0"/>
    <n v="1"/>
    <s v="suma global"/>
    <n v="55148949.240000002"/>
    <n v="55148949.240000002"/>
    <n v="55148949.240000002"/>
  </r>
  <r>
    <s v="Ninguno"/>
    <s v="1 - CONSTRUCCION"/>
    <x v="4"/>
    <s v="1-5-10 - REVESTIMIENTO"/>
    <s v="1-5-10-EDIF10 - REVESTIMIENTO"/>
    <s v="Ninguno"/>
    <s v="T - Total"/>
    <s v="1-5-10-EDIF10.T"/>
    <s v="REVESTIMIENTO.Total"/>
    <n v="179792572.19"/>
    <n v="0"/>
    <n v="0"/>
    <n v="179792572.19"/>
    <n v="0"/>
    <n v="179792572.19"/>
    <n v="0"/>
    <n v="0"/>
    <n v="0"/>
    <n v="0"/>
    <n v="0"/>
    <n v="1"/>
    <s v="suma global"/>
    <n v="179792572.19"/>
    <n v="179792572.19"/>
    <n v="179792572.19"/>
  </r>
  <r>
    <s v="Ninguno"/>
    <s v="1 - CONSTRUCCION"/>
    <x v="4"/>
    <s v="1-5-11 - CARPINTERIA"/>
    <s v="1-5-11-EDIF11 - CARPINTERIA"/>
    <s v="Ninguno"/>
    <s v="T - Total"/>
    <s v="1-5-11-EDIF11.T"/>
    <s v="CARPINTERIA.Total"/>
    <n v="113405914.16"/>
    <n v="0"/>
    <n v="0"/>
    <n v="113405914.16"/>
    <n v="0"/>
    <n v="113405914.16"/>
    <n v="0"/>
    <n v="0"/>
    <n v="0"/>
    <n v="0"/>
    <n v="0"/>
    <n v="1"/>
    <s v="suma global"/>
    <n v="113405914.16"/>
    <n v="113405914.16"/>
    <n v="113405914.16"/>
  </r>
  <r>
    <s v="Ninguno"/>
    <s v="1 - CONSTRUCCION"/>
    <x v="4"/>
    <s v="1-5-12 - VENTANERIA"/>
    <s v="1-5-12-EDIF12 - VENTANERIA"/>
    <s v="Ninguno"/>
    <s v="OT - Otros"/>
    <s v="1-5-12-EDIF12.OT"/>
    <s v="VENTANERIA.Otros"/>
    <n v="95070319.959999993"/>
    <n v="0"/>
    <n v="0"/>
    <n v="95070319.959999993"/>
    <n v="0"/>
    <n v="95070319.959999993"/>
    <n v="0"/>
    <n v="0"/>
    <n v="0"/>
    <n v="0"/>
    <n v="0"/>
    <n v="1"/>
    <s v="suma global"/>
    <n v="95070319.959999993"/>
    <n v="95070319.959999993"/>
    <n v="95070319.959999993"/>
  </r>
  <r>
    <s v="Ninguno"/>
    <s v="1 - CONSTRUCCION"/>
    <x v="4"/>
    <s v="1-5-13 - PINTURA"/>
    <s v="1-5-13-EDIF13 - PINTURA"/>
    <s v="Ninguno"/>
    <s v="T - Total"/>
    <s v="1-5-13-EDIF13.T"/>
    <s v="PINTURA.Total"/>
    <n v="121904327.93000001"/>
    <n v="0"/>
    <n v="0"/>
    <n v="121904327.93000001"/>
    <n v="0"/>
    <n v="121904327.93000001"/>
    <n v="0"/>
    <n v="0"/>
    <n v="0"/>
    <n v="0"/>
    <n v="0"/>
    <n v="1"/>
    <s v="suma global"/>
    <n v="121904327.93000001"/>
    <n v="121904327.93000001"/>
    <n v="121904327.93000001"/>
  </r>
  <r>
    <s v="Ninguno"/>
    <s v="1 - CONSTRUCCION"/>
    <x v="4"/>
    <s v="1-5-14 - MISCELANEOS"/>
    <s v="1-5-14-URB14 - MISCELANEOS"/>
    <s v="Ninguno"/>
    <s v="T - Total"/>
    <s v="1-5-14-URB14.T"/>
    <s v="MISCELANEOS.Total"/>
    <n v="74569124.629999995"/>
    <n v="0"/>
    <n v="0"/>
    <n v="74569124.629999995"/>
    <n v="0"/>
    <n v="74569124.629999995"/>
    <n v="0"/>
    <n v="0"/>
    <n v="0"/>
    <n v="0"/>
    <n v="0"/>
    <n v="1"/>
    <s v="suma global"/>
    <n v="74569124.629999995"/>
    <n v="74569124.629999995"/>
    <n v="74569124.629999995"/>
  </r>
  <r>
    <s v="Ninguno"/>
    <s v="1 - CONSTRUCCION"/>
    <x v="5"/>
    <s v="1-6-1 - GERENCIA DE CONSTRUCCION ADI"/>
    <s v="1-6-1-MTOTALGECO - GERENCIA DE CONSTRUCCION ADI"/>
    <s v="Ninguno"/>
    <s v="OT - Otros"/>
    <s v="1-6-1-MTOTALGECO.OT"/>
    <s v="GERENCIA DE CONSTRUCCION ADI.Otros"/>
    <n v="0"/>
    <n v="0"/>
    <n v="0"/>
    <n v="0"/>
    <n v="0"/>
    <n v="0"/>
    <n v="0"/>
    <n v="0"/>
    <n v="0"/>
    <n v="0"/>
    <n v="0"/>
    <m/>
    <m/>
    <m/>
    <n v="0"/>
    <n v="0"/>
  </r>
  <r>
    <s v="Ninguno"/>
    <s v="1 - CONSTRUCCION"/>
    <x v="5"/>
    <s v="1-6-2 - COSTO GERENCIA DE CONSTRUCCION"/>
    <s v="1-6-2-COSTGE - COSTO GERENCIA DE CONSTRUCCION"/>
    <s v="Ninguno"/>
    <s v="T - Total"/>
    <s v="1-6-2-COSTGE.T"/>
    <s v="COSTO GERENCIA DE CONSTRUCCION.Total"/>
    <n v="171771292"/>
    <n v="0"/>
    <n v="0"/>
    <n v="171771292"/>
    <n v="0"/>
    <n v="171771292"/>
    <n v="171771292"/>
    <n v="0"/>
    <n v="776107.84"/>
    <n v="0"/>
    <n v="171771292"/>
    <n v="1"/>
    <s v="suma global"/>
    <n v="171771292"/>
    <n v="0"/>
    <n v="171771292"/>
  </r>
  <r>
    <s v="Ninguno"/>
    <s v="1 - CONSTRUCCION"/>
    <x v="6"/>
    <s v="1-7-2 - COSTOS INDIRECTOS DE OBRA"/>
    <s v="1-7-2-COSTIND - COSTOS INDIRECTOS DE OBRA"/>
    <s v="Ninguno"/>
    <s v="T - Total"/>
    <s v="1-7-2-COSTIND.T"/>
    <s v="COSTOS INDIRECTOS DE OBRA.Total"/>
    <n v="34354258"/>
    <n v="0"/>
    <n v="0"/>
    <n v="34354258"/>
    <n v="0"/>
    <n v="34354258"/>
    <n v="0"/>
    <n v="0"/>
    <n v="0"/>
    <n v="0"/>
    <n v="0"/>
    <n v="1"/>
    <s v="suma global"/>
    <n v="34354258"/>
    <n v="34354258"/>
    <n v="34354258"/>
  </r>
  <r>
    <s v="Ninguno"/>
    <s v="2 - OPERATIVO"/>
    <x v="7"/>
    <s v="2-1-2 - COSTO GERENCIA DE LA PROMOTORA ADI"/>
    <s v="2-1-2-COSTGEPRO - COSTO GERENCIA DE LA PROMOTORA"/>
    <s v="Ninguno"/>
    <s v="T - Total"/>
    <s v="2-1-2-COSTGEPRO.T"/>
    <s v="COSTO GERENCIA DE LA PROMOTORA.Total"/>
    <n v="137417034"/>
    <n v="0"/>
    <n v="0"/>
    <n v="137417034"/>
    <n v="0"/>
    <n v="137417034"/>
    <n v="137416238"/>
    <n v="0"/>
    <n v="161175.97"/>
    <n v="0"/>
    <n v="137416238"/>
    <n v="1"/>
    <s v="suma global"/>
    <n v="137417034"/>
    <n v="796"/>
    <n v="137417034"/>
  </r>
  <r>
    <s v="Ninguno"/>
    <s v="2 - OPERATIVO"/>
    <x v="8"/>
    <s v="2-2-1 - COSTO GERENCIA DE VENTAS"/>
    <s v="2-2-1-MTOTALGEVE - GERENCIA DE VENTAS ADI"/>
    <s v="Ninguno"/>
    <s v="T - Total"/>
    <s v="2-2-1-MTOTALGEVE.T"/>
    <s v="GERENCIA DE VENTAS ADI.Total"/>
    <n v="0"/>
    <n v="0"/>
    <n v="0"/>
    <n v="0"/>
    <n v="0"/>
    <n v="0"/>
    <n v="0"/>
    <n v="0"/>
    <n v="0"/>
    <n v="0"/>
    <n v="0"/>
    <m/>
    <m/>
    <m/>
    <n v="0"/>
    <n v="0"/>
  </r>
  <r>
    <s v="Ninguno"/>
    <s v="2 - OPERATIVO"/>
    <x v="8"/>
    <s v="2-2-2 - ADMINISTRACION DE VENTAS"/>
    <s v="2-2-2-COSTGEVEN01 - ADMINISTRACION DE VENTAS"/>
    <s v="Ninguno"/>
    <s v="T - Total"/>
    <s v="2-2-2-COSTGEVEN01.T"/>
    <s v="ADMINISTRACION DE VENTAS.Total"/>
    <n v="35151584"/>
    <n v="0"/>
    <n v="0"/>
    <n v="35151584"/>
    <n v="0"/>
    <n v="35151584"/>
    <n v="35155869.210000001"/>
    <n v="0"/>
    <n v="0"/>
    <n v="0"/>
    <n v="35155869.210000001"/>
    <n v="1"/>
    <s v="suma global"/>
    <n v="35151584"/>
    <n v="0"/>
    <n v="35155869.210000001"/>
  </r>
  <r>
    <s v="Ninguno"/>
    <s v="2 - OPERATIVO"/>
    <x v="8"/>
    <s v="2-2-3 - COMISIONES"/>
    <s v="2-2-3-COSTGEVEN02 - COMISIONES"/>
    <s v="Ninguno"/>
    <s v="T - Total"/>
    <s v="2-2-3-COSTGEVEN02.T"/>
    <s v="COMISIONES.Total"/>
    <n v="246553335"/>
    <n v="0"/>
    <n v="0"/>
    <n v="246553335"/>
    <n v="0"/>
    <n v="246553335"/>
    <n v="0"/>
    <n v="0"/>
    <n v="0"/>
    <n v="0"/>
    <n v="0"/>
    <n v="1"/>
    <s v="suma global"/>
    <n v="246553335"/>
    <n v="246553335"/>
    <n v="246553335"/>
  </r>
  <r>
    <s v="Ninguno"/>
    <s v="2 - OPERATIVO"/>
    <x v="9"/>
    <s v="2-3-2 - COSTO ADMINISTRACION DE FIDUCIARIA"/>
    <s v="2-3-2-ADMFE - COSTO ADMINISTRACION DE FIDUCIARIA"/>
    <s v="Ninguno"/>
    <s v="T - Total"/>
    <s v="2-3-2-ADMFE.T"/>
    <s v="COSTO ADMINISTRACION DE FIDUCIARIA.Total"/>
    <n v="67334346"/>
    <n v="0"/>
    <n v="0"/>
    <n v="67334346"/>
    <n v="0"/>
    <n v="67334346"/>
    <n v="237853.9"/>
    <n v="0"/>
    <n v="237853.9"/>
    <n v="0"/>
    <n v="237853.9"/>
    <n v="1"/>
    <s v="suma global"/>
    <n v="67334346"/>
    <n v="67096492.100000001"/>
    <n v="67334346"/>
  </r>
  <r>
    <s v="Ninguno"/>
    <s v="2 - OPERATIVO"/>
    <x v="10"/>
    <s v="2-4-1 - PUBLICIDAD Y PROMOCION ADI"/>
    <s v="2-4-1-MTOTALPU - PUBLICIDAD Y PROMOCION ADI"/>
    <s v="Ninguno"/>
    <s v="T - Total"/>
    <s v="2-4-1-MTOTALPU.T"/>
    <s v="PUBLICIDAD Y PROMOCION ADI.Total"/>
    <n v="47692179.399999999"/>
    <n v="0"/>
    <n v="0"/>
    <n v="47692179.399999999"/>
    <n v="0"/>
    <n v="47692179.399999999"/>
    <n v="0"/>
    <n v="0"/>
    <n v="0"/>
    <n v="0"/>
    <n v="0"/>
    <n v="1"/>
    <s v="suma global"/>
    <n v="47692179.399999999"/>
    <n v="47692179.399999999"/>
    <n v="47692179.399999999"/>
  </r>
  <r>
    <s v="Ninguno"/>
    <s v="2 - OPERATIVO"/>
    <x v="10"/>
    <s v="2-4-2 - PUBLICIDAD Y PROMOCION"/>
    <s v="2-4-2-COSTPUPROM - PUBLICIDAD Y PROMOCION"/>
    <s v="Ninguno"/>
    <s v="T - Total"/>
    <s v="2-4-2-COSTPUPROM.T"/>
    <s v="PUBLICIDAD Y PROMOCION.Total"/>
    <n v="3839208.55"/>
    <n v="0"/>
    <n v="0"/>
    <n v="3839208.55"/>
    <n v="0"/>
    <n v="3839208.55"/>
    <n v="3654562.97"/>
    <n v="0"/>
    <n v="2285058.4700000002"/>
    <n v="0"/>
    <n v="3654562.97"/>
    <n v="1"/>
    <s v="suma global"/>
    <n v="3839208.55"/>
    <n v="184645.58"/>
    <n v="3839208.55"/>
  </r>
  <r>
    <s v="Ninguno"/>
    <s v="2 - OPERATIVO"/>
    <x v="11"/>
    <s v="2-5-2 - POST-VENTAS"/>
    <s v="2-5-2-COSTPOSTVEN - POST-VENTAS"/>
    <s v="Ninguno"/>
    <s v="T - Total"/>
    <s v="2-5-2-COSTPOSTVEN.T"/>
    <s v="POST-VENTAS.Total"/>
    <n v="19238385"/>
    <n v="0"/>
    <n v="0"/>
    <n v="19238385"/>
    <n v="0"/>
    <n v="19238385"/>
    <n v="0"/>
    <n v="0"/>
    <n v="0"/>
    <n v="0"/>
    <n v="0"/>
    <n v="1"/>
    <s v="suma global"/>
    <n v="19238385"/>
    <n v="19238385"/>
    <n v="19238385"/>
  </r>
  <r>
    <s v="Ninguno"/>
    <s v="3 - OTROS"/>
    <x v="12"/>
    <s v="3-1-1 - PERMISOS LEGALES Y PRELIMINARES ADI"/>
    <s v="3-1-1-MTOTALPER - PERMISOS LEGALES Y PRELIMINARES ADI"/>
    <s v="Ninguno"/>
    <s v="T - Total"/>
    <s v="3-1-1-MTOTALPER.T"/>
    <s v="PERMISOS LEGALES Y PRELIMINARES ADI.Total"/>
    <n v="3396950.7"/>
    <n v="0"/>
    <n v="0"/>
    <n v="3396950.7"/>
    <n v="0"/>
    <n v="3396950.7"/>
    <n v="0"/>
    <n v="0"/>
    <n v="0"/>
    <n v="0"/>
    <n v="0"/>
    <n v="1"/>
    <s v="suma global"/>
    <n v="3396950.7"/>
    <n v="3396950.7"/>
    <n v="3396950.7"/>
  </r>
  <r>
    <s v="Ninguno"/>
    <s v="3 - OTROS"/>
    <x v="12"/>
    <s v="3-1-2 - PERMISOS LEGALES Y PRELIMINARES"/>
    <s v="3-1-2-PERM03 - PERMISOS LEGALES Y PRELIMINARES"/>
    <s v="Ninguno"/>
    <s v="T - Total"/>
    <s v="3-1-2-PERM03.T"/>
    <s v="PERMISOS LEGALES Y PRELIMINARES.Total"/>
    <n v="11603049.300000001"/>
    <n v="0"/>
    <n v="0"/>
    <n v="11603049.300000001"/>
    <n v="0"/>
    <n v="11603049.300000001"/>
    <n v="12074454.789999999"/>
    <n v="0"/>
    <n v="7796718.8200000003"/>
    <n v="0"/>
    <n v="12074454.789999999"/>
    <n v="1"/>
    <s v="suma global"/>
    <n v="11603049.300000001"/>
    <n v="0"/>
    <n v="12074454.789999999"/>
  </r>
  <r>
    <s v="Ninguno"/>
    <s v="3 - OTROS"/>
    <x v="13"/>
    <s v="3-2-2 - IMPREVISTOS"/>
    <s v="3-2-2-COSTIMPRE - COSTO IMPREVISTOS"/>
    <s v="Ninguno"/>
    <s v="T - Total"/>
    <s v="3-2-2-COSTIMPRE.T"/>
    <s v="COSTO IMPREVISTOS.Total"/>
    <n v="19238385"/>
    <n v="0"/>
    <n v="0"/>
    <n v="19238385"/>
    <n v="0"/>
    <n v="19238385"/>
    <n v="0"/>
    <n v="0"/>
    <n v="0"/>
    <n v="0"/>
    <n v="0"/>
    <n v="1"/>
    <s v="suma global"/>
    <n v="19238385"/>
    <n v="19238385"/>
    <n v="19238385"/>
  </r>
  <r>
    <s v="Ninguno"/>
    <s v="3 - OTROS"/>
    <x v="14"/>
    <s v="3-3-2 - GASTOS FINANCIEROS"/>
    <s v="3-3-2-COSTGAFI - GASTOS FINANCIEROS"/>
    <s v="Ninguno"/>
    <s v="T - Total"/>
    <s v="3-3-2-COSTGAFI.T"/>
    <s v="GASTOS FINANCIEROS.Total"/>
    <n v="192383847"/>
    <n v="0"/>
    <n v="0"/>
    <n v="192383847"/>
    <n v="0"/>
    <n v="192383847"/>
    <n v="0"/>
    <n v="0"/>
    <n v="0"/>
    <n v="0"/>
    <n v="0"/>
    <n v="1"/>
    <s v="suma global"/>
    <n v="192383847"/>
    <n v="192383847"/>
    <n v="19238384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ALBANIA DELGADO"/>
    <x v="0"/>
    <n v="0"/>
    <n v="1000"/>
    <n v="1000"/>
  </r>
  <r>
    <s v="ALEXANDER VALIDO"/>
    <x v="1"/>
    <n v="0"/>
    <n v="996"/>
    <n v="996"/>
  </r>
  <r>
    <s v="ALICIA SANTOS"/>
    <x v="1"/>
    <n v="0"/>
    <n v="1000"/>
    <n v="1000"/>
  </r>
  <r>
    <s v="ANDREA RAQUEL ALVAREZ QUEZADA"/>
    <x v="1"/>
    <n v="0"/>
    <n v="1000"/>
    <n v="1000"/>
  </r>
  <r>
    <s v="ARTURO ALEJANDRO NUÑEZ"/>
    <x v="1"/>
    <n v="0"/>
    <n v="1000"/>
    <n v="1000"/>
  </r>
  <r>
    <s v="AYMEE MIRANDA ARTEAGA"/>
    <x v="1"/>
    <n v="0"/>
    <n v="981"/>
    <n v="981"/>
  </r>
  <r>
    <s v="BETTY CELESTE PAULINO CRUZ"/>
    <x v="0"/>
    <n v="0"/>
    <n v="13008"/>
    <n v="13008"/>
  </r>
  <r>
    <s v="CLARIBEL PENA YAPORT"/>
    <x v="1"/>
    <n v="0"/>
    <n v="1000"/>
    <n v="1000"/>
  </r>
  <r>
    <s v="DANIEL ALEJANDRO ROJAS ARMAND"/>
    <x v="1"/>
    <n v="0"/>
    <n v="981"/>
    <n v="981"/>
  </r>
  <r>
    <s v="DARREN LAMAR BARNES"/>
    <x v="1"/>
    <n v="0"/>
    <n v="1000"/>
    <n v="1000"/>
  </r>
  <r>
    <s v="ELBA IRIS CASILLAS"/>
    <x v="1"/>
    <n v="0"/>
    <n v="993"/>
    <n v="993"/>
  </r>
  <r>
    <s v="ERIKA JOSEFINA DIAZ CARDENAS"/>
    <x v="1"/>
    <n v="0"/>
    <n v="1000"/>
    <n v="1000"/>
  </r>
  <r>
    <s v="HENRY VILLETA"/>
    <x v="1"/>
    <n v="0"/>
    <n v="2000"/>
    <n v="2000"/>
  </r>
  <r>
    <s v="IRCANIA CLARIBEL VALERA"/>
    <x v="0"/>
    <n v="0"/>
    <n v="1993"/>
    <n v="1993"/>
  </r>
  <r>
    <s v="JAYFA NISSET CONTI"/>
    <x v="2"/>
    <n v="2000"/>
    <n v="2000"/>
    <n v="0"/>
  </r>
  <r>
    <s v="JESÚS ENRIQUE GUEVARA ADAMES"/>
    <x v="1"/>
    <n v="0"/>
    <n v="1000"/>
    <n v="1000"/>
  </r>
  <r>
    <s v="JHOAN ALCANTARA"/>
    <x v="1"/>
    <n v="0"/>
    <n v="1000"/>
    <n v="1000"/>
  </r>
  <r>
    <s v="JOSE ARSENIO NAZARIO"/>
    <x v="1"/>
    <n v="0"/>
    <n v="1000"/>
    <n v="1000"/>
  </r>
  <r>
    <s v="JULIO ALICEA RAMOS"/>
    <x v="0"/>
    <n v="0"/>
    <n v="10055"/>
    <n v="10055"/>
  </r>
  <r>
    <s v="KENIA MARIA PINA NOLASCO"/>
    <x v="1"/>
    <n v="0"/>
    <n v="993"/>
    <n v="993"/>
  </r>
  <r>
    <s v="LAURA PEREZ SORIANO"/>
    <x v="1"/>
    <n v="0"/>
    <n v="1000"/>
    <n v="1000"/>
  </r>
  <r>
    <s v="LUIS ERIC CASTILLO"/>
    <x v="1"/>
    <n v="0"/>
    <n v="1000"/>
    <n v="1000"/>
  </r>
  <r>
    <s v="LYNNA VALERA"/>
    <x v="0"/>
    <n v="0"/>
    <n v="1993"/>
    <n v="1993"/>
  </r>
  <r>
    <s v="MARIA DIAZ"/>
    <x v="1"/>
    <n v="0"/>
    <n v="2000"/>
    <n v="2000"/>
  </r>
  <r>
    <s v="MARIDANIA ALTAGRACIA ESTRELLA"/>
    <x v="1"/>
    <n v="0"/>
    <n v="2003"/>
    <n v="2003"/>
  </r>
  <r>
    <s v="MASSIEL ELVIRA CEPEDA DOMINGUEZ"/>
    <x v="1"/>
    <n v="0"/>
    <n v="1000"/>
    <n v="1000"/>
  </r>
  <r>
    <s v="MONICA LEMUS"/>
    <x v="1"/>
    <n v="0"/>
    <n v="1000"/>
    <n v="1000"/>
  </r>
  <r>
    <s v="NEFTALÍ GONZÁLEZ"/>
    <x v="3"/>
    <n v="1000"/>
    <n v="1000"/>
    <n v="0"/>
  </r>
  <r>
    <s v="NELSON MIGUEL MAPP SIERRA"/>
    <x v="0"/>
    <n v="0"/>
    <n v="978"/>
    <n v="978"/>
  </r>
  <r>
    <s v="PABLO VACA VINUEZA"/>
    <x v="0"/>
    <n v="0"/>
    <n v="1978"/>
    <n v="1978"/>
  </r>
  <r>
    <s v="RAFAEL ANTONIO BADIA CASTAÑOS"/>
    <x v="3"/>
    <n v="1993"/>
    <n v="1993"/>
    <n v="0"/>
  </r>
  <r>
    <s v="RENE PENALOZA"/>
    <x v="1"/>
    <n v="0"/>
    <n v="993"/>
    <n v="993"/>
  </r>
  <r>
    <s v="RICARDO OGANDO LORENZO"/>
    <x v="1"/>
    <n v="0"/>
    <n v="2000"/>
    <n v="2000"/>
  </r>
  <r>
    <s v="ROSA OGANDO PEREZ"/>
    <x v="1"/>
    <n v="0"/>
    <n v="2000"/>
    <n v="2000"/>
  </r>
  <r>
    <s v="ROSA TORRES POLANCO"/>
    <x v="1"/>
    <n v="0"/>
    <n v="978"/>
    <n v="978"/>
  </r>
  <r>
    <s v="SERGIO ALEJANDRO PENALOSA"/>
    <x v="1"/>
    <n v="0"/>
    <n v="981"/>
    <n v="981"/>
  </r>
  <r>
    <s v="STEPHEN OMAR CURTIS"/>
    <x v="1"/>
    <n v="0"/>
    <n v="1000"/>
    <n v="1000"/>
  </r>
  <r>
    <s v="URBENEY ALFARO GAINZA"/>
    <x v="1"/>
    <n v="0"/>
    <n v="993"/>
    <n v="993"/>
  </r>
  <r>
    <s v="VÍCTOR RAFAEL SIERRA"/>
    <x v="1"/>
    <n v="0"/>
    <n v="1000"/>
    <n v="1000"/>
  </r>
  <r>
    <s v="WILLVIN ENMANUEL GOMEZ CONTRERAS"/>
    <x v="0"/>
    <n v="0"/>
    <n v="1978"/>
    <n v="1978"/>
  </r>
  <r>
    <s v="YANELA HERNANDEZ"/>
    <x v="1"/>
    <n v="0"/>
    <n v="1000"/>
    <n v="1000"/>
  </r>
  <r>
    <s v="ZAIDA JACKELINE ACTA CARABALLO DE CAMILO"/>
    <x v="1"/>
    <n v="0"/>
    <n v="1000"/>
    <n v="1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s v="ALAM EMMANUEL GARCÍA PEREZ"/>
    <x v="0"/>
    <n v="0"/>
    <n v="972.41"/>
    <n v="972.41"/>
  </r>
  <r>
    <s v="ALBANIA DELGADO"/>
    <x v="1"/>
    <n v="0"/>
    <n v="24470"/>
    <n v="24470"/>
  </r>
  <r>
    <s v="ALEXANDER VALIDO"/>
    <x v="2"/>
    <n v="0"/>
    <n v="996"/>
    <n v="996"/>
  </r>
  <r>
    <s v="ALEXIS N WEHBE"/>
    <x v="1"/>
    <n v="0"/>
    <n v="13930"/>
    <n v="13930"/>
  </r>
  <r>
    <s v="ALICIA SANTOS"/>
    <x v="1"/>
    <n v="0"/>
    <n v="1000"/>
    <n v="1000"/>
  </r>
  <r>
    <s v="ANDREA RAQUEL ALVAREZ QUEZADA"/>
    <x v="1"/>
    <n v="0"/>
    <n v="1000"/>
    <n v="1000"/>
  </r>
  <r>
    <s v="ARTURO ALEJANDRO NUÑEZ"/>
    <x v="3"/>
    <n v="0"/>
    <n v="1000"/>
    <n v="1000"/>
  </r>
  <r>
    <s v="AYMEE MIRANDA ARTEAGA"/>
    <x v="1"/>
    <n v="0"/>
    <n v="981"/>
    <n v="981"/>
  </r>
  <r>
    <s v="BERTONY SIMILIEN"/>
    <x v="3"/>
    <n v="0"/>
    <n v="1000"/>
    <n v="1000"/>
  </r>
  <r>
    <s v="BETTY CELESTE PAULINO CRUZ"/>
    <x v="1"/>
    <n v="0"/>
    <n v="13008"/>
    <n v="13008"/>
  </r>
  <r>
    <s v="CARLOS JOAN CHIRINOS ROMERO"/>
    <x v="3"/>
    <n v="0"/>
    <n v="1993"/>
    <n v="1993"/>
  </r>
  <r>
    <s v="CLARIBEL PENA YAPORT"/>
    <x v="1"/>
    <n v="0"/>
    <n v="1000"/>
    <n v="1000"/>
  </r>
  <r>
    <s v="CRISTOPHER VEGA"/>
    <x v="3"/>
    <n v="0"/>
    <n v="1000"/>
    <n v="1000"/>
  </r>
  <r>
    <s v="DANIEL ALEJANDRO ROJAS ARMAND"/>
    <x v="1"/>
    <n v="0"/>
    <n v="981"/>
    <n v="981"/>
  </r>
  <r>
    <s v="DARREN LAMAR BARNES"/>
    <x v="4"/>
    <n v="1000"/>
    <n v="1000"/>
    <n v="0"/>
  </r>
  <r>
    <s v="ELBA IRIS CASILLAS"/>
    <x v="5"/>
    <n v="993"/>
    <n v="993"/>
    <n v="0"/>
  </r>
  <r>
    <s v="ERIKA JOSEFINA DIAZ CARDENAS"/>
    <x v="1"/>
    <n v="0"/>
    <n v="1000"/>
    <n v="1000"/>
  </r>
  <r>
    <s v="FERNANDO PAULINO CRUZ"/>
    <x v="3"/>
    <n v="0"/>
    <n v="1015"/>
    <n v="1015"/>
  </r>
  <r>
    <s v="GENESIS NAZARETH VERGARA BALDALLO"/>
    <x v="0"/>
    <n v="0"/>
    <n v="1000"/>
    <n v="1000"/>
  </r>
  <r>
    <s v="HENRY VILLETA"/>
    <x v="1"/>
    <n v="0"/>
    <n v="11630"/>
    <n v="11630"/>
  </r>
  <r>
    <s v="IANNA PAIU LEAL QUINTERO"/>
    <x v="5"/>
    <n v="996"/>
    <n v="996"/>
    <n v="0"/>
  </r>
  <r>
    <s v="IRCANIA CLARIBEL VALERA"/>
    <x v="1"/>
    <n v="0"/>
    <n v="1993"/>
    <n v="1993"/>
  </r>
  <r>
    <s v="JARONIL ANTONIO ARVELO"/>
    <x v="3"/>
    <n v="0"/>
    <n v="1000"/>
    <n v="1000"/>
  </r>
  <r>
    <s v="JAYFA NISSET CONTI"/>
    <x v="4"/>
    <n v="2000"/>
    <n v="2000"/>
    <n v="0"/>
  </r>
  <r>
    <s v="JEANCARLOS ALVAREZ"/>
    <x v="2"/>
    <n v="0"/>
    <n v="1000"/>
    <n v="1000"/>
  </r>
  <r>
    <s v="JENNIESKA ALTAGRACIA ALFONSO RAMIREZ"/>
    <x v="1"/>
    <n v="0"/>
    <n v="1000"/>
    <n v="1000"/>
  </r>
  <r>
    <s v="JESÚS ENRIQUE GUEVARA ADAMES"/>
    <x v="1"/>
    <n v="0"/>
    <n v="1000"/>
    <n v="1000"/>
  </r>
  <r>
    <s v="JHOAN ALCANTARA"/>
    <x v="1"/>
    <n v="0"/>
    <n v="1000"/>
    <n v="1000"/>
  </r>
  <r>
    <s v="JOSE ARSENIO NAZARIO"/>
    <x v="1"/>
    <n v="0"/>
    <n v="1000"/>
    <n v="1000"/>
  </r>
  <r>
    <s v="JULIO ALICEA RAMOS"/>
    <x v="1"/>
    <n v="0"/>
    <n v="10055"/>
    <n v="10055"/>
  </r>
  <r>
    <s v="KENIA MARIA PINA NOLASCO"/>
    <x v="1"/>
    <n v="0"/>
    <n v="993"/>
    <n v="993"/>
  </r>
  <r>
    <s v="KIMAIRY POL VASQUEZ"/>
    <x v="3"/>
    <n v="0"/>
    <n v="990"/>
    <n v="990"/>
  </r>
  <r>
    <s v="LAURA PEREZ SORIANO"/>
    <x v="5"/>
    <n v="1000"/>
    <n v="1000"/>
    <n v="0"/>
  </r>
  <r>
    <s v="LUIS ERIC CASTILLO"/>
    <x v="1"/>
    <n v="0"/>
    <n v="18109"/>
    <n v="18109"/>
  </r>
  <r>
    <s v="LYNNA VALERA"/>
    <x v="1"/>
    <n v="0"/>
    <n v="1993"/>
    <n v="1993"/>
  </r>
  <r>
    <s v="MABELYN ALVA"/>
    <x v="3"/>
    <n v="0"/>
    <n v="993"/>
    <n v="993"/>
  </r>
  <r>
    <s v="MARIA DIAZ"/>
    <x v="1"/>
    <n v="0"/>
    <n v="6965"/>
    <n v="6965"/>
  </r>
  <r>
    <s v="MARIANNY MONTERO DE DELROSARIO"/>
    <x v="5"/>
    <n v="1150"/>
    <n v="1150"/>
    <n v="0"/>
  </r>
  <r>
    <s v="MARIDANIA ALTAGRACIA ESTRELLA"/>
    <x v="3"/>
    <n v="0"/>
    <n v="2003"/>
    <n v="2003"/>
  </r>
  <r>
    <s v="MARIO FABIAN FERNANDEZ"/>
    <x v="1"/>
    <n v="0"/>
    <n v="1000"/>
    <n v="1000"/>
  </r>
  <r>
    <s v="MASSIEL ELVIRA CEPEDA DOMINGUEZ"/>
    <x v="1"/>
    <n v="0"/>
    <n v="1000"/>
    <n v="1000"/>
  </r>
  <r>
    <s v="MONICA LEMUS"/>
    <x v="5"/>
    <n v="1000"/>
    <n v="1000"/>
    <n v="0"/>
  </r>
  <r>
    <s v="NEFTALÍ GONZÁLEZ"/>
    <x v="5"/>
    <n v="1000"/>
    <n v="1000"/>
    <n v="0"/>
  </r>
  <r>
    <s v="NELSON ARGENIS CABRERA"/>
    <x v="3"/>
    <n v="0"/>
    <n v="993"/>
    <n v="993"/>
  </r>
  <r>
    <s v="NELSON MIGUEL MAPP SIERRA"/>
    <x v="1"/>
    <n v="0"/>
    <n v="6727"/>
    <n v="6727"/>
  </r>
  <r>
    <s v="NELVIN DE LA CRUZ"/>
    <x v="3"/>
    <n v="0"/>
    <n v="993"/>
    <n v="993"/>
  </r>
  <r>
    <s v="NICOLAS ESPIRITUSANTO"/>
    <x v="3"/>
    <n v="0"/>
    <n v="1000"/>
    <n v="1000"/>
  </r>
  <r>
    <s v="NIURKELYN VALENTINA DUARTE TAVERAS"/>
    <x v="3"/>
    <n v="0"/>
    <n v="1000"/>
    <n v="1000"/>
  </r>
  <r>
    <s v="ODELIS FERNANEZ"/>
    <x v="3"/>
    <n v="0"/>
    <n v="1000"/>
    <n v="1000"/>
  </r>
  <r>
    <s v="ORLANDO SERRANO CANDELARIA"/>
    <x v="1"/>
    <n v="0"/>
    <n v="993"/>
    <n v="993"/>
  </r>
  <r>
    <s v="PABLO VACA VINUEZA"/>
    <x v="1"/>
    <n v="0"/>
    <n v="15134"/>
    <n v="15134"/>
  </r>
  <r>
    <s v="RAFAEL ANTONIO BADIA CASTAÑOS"/>
    <x v="5"/>
    <n v="1993"/>
    <n v="1993"/>
    <n v="0"/>
  </r>
  <r>
    <s v="RENE PENALOZA"/>
    <x v="2"/>
    <n v="0"/>
    <n v="993"/>
    <n v="993"/>
  </r>
  <r>
    <s v="RICARDO OGANDO LORENZO"/>
    <x v="1"/>
    <n v="0"/>
    <n v="2000"/>
    <n v="2000"/>
  </r>
  <r>
    <s v="RICHARD FREITES MEDEZ"/>
    <x v="3"/>
    <n v="0"/>
    <n v="995.87"/>
    <n v="995.87"/>
  </r>
  <r>
    <s v="ROSA OGANDO PEREZ"/>
    <x v="1"/>
    <n v="0"/>
    <n v="2000"/>
    <n v="2000"/>
  </r>
  <r>
    <s v="ROSA TORRES POLANCO"/>
    <x v="1"/>
    <n v="0"/>
    <n v="978"/>
    <n v="978"/>
  </r>
  <r>
    <s v="SERGIO ALEJANDRO PENALOSA"/>
    <x v="1"/>
    <n v="0"/>
    <n v="981"/>
    <n v="981"/>
  </r>
  <r>
    <s v="STEPHEN OMAR CURTIS"/>
    <x v="0"/>
    <n v="0"/>
    <n v="1000"/>
    <n v="1000"/>
  </r>
  <r>
    <s v="URBENEY ALFARO GAINZA"/>
    <x v="1"/>
    <n v="0"/>
    <n v="993"/>
    <n v="993"/>
  </r>
  <r>
    <s v="VÍCTOR RAFAEL SIERRA"/>
    <x v="1"/>
    <n v="0"/>
    <n v="11770"/>
    <n v="11770"/>
  </r>
  <r>
    <s v="VIRGINIA VANESSA ALMONTE ROJAS"/>
    <x v="2"/>
    <n v="0"/>
    <n v="1000"/>
    <n v="1000"/>
  </r>
  <r>
    <s v="WENDY YANEYRY LOWIS INDUSTRIS"/>
    <x v="3"/>
    <n v="0"/>
    <n v="1000"/>
    <n v="1000"/>
  </r>
  <r>
    <s v="WILLVIN ENMANUEL GOMEZ CONTRERAS"/>
    <x v="1"/>
    <n v="0"/>
    <n v="1978"/>
    <n v="1978"/>
  </r>
  <r>
    <s v="YANELA HERNANDEZ"/>
    <x v="1"/>
    <n v="0"/>
    <n v="1000"/>
    <n v="1000"/>
  </r>
  <r>
    <s v="ZAIDA JACKELINE ACTA CARABALLO DE CAMILO"/>
    <x v="1"/>
    <n v="0"/>
    <n v="1000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2103B5-5A9D-4FEA-96CC-E43BD7A0D09E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19" firstHeaderRow="0" firstDataRow="1" firstDataCol="1"/>
  <pivotFields count="25">
    <pivotField showAll="0"/>
    <pivotField showAll="0"/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m="1" x="15"/>
        <item t="default"/>
      </items>
    </pivotField>
    <pivotField showAll="0"/>
    <pivotField showAll="0"/>
    <pivotField showAll="0"/>
    <pivotField showAll="0"/>
    <pivotField showAll="0"/>
    <pivotField showAll="0"/>
    <pivotField numFmtId="167" showAll="0"/>
    <pivotField numFmtId="167" showAll="0"/>
    <pivotField numFmtId="167" showAll="0"/>
    <pivotField numFmtId="167" showAll="0"/>
    <pivotField numFmtId="167" showAll="0"/>
    <pivotField dataField="1" numFmtId="167" showAll="0"/>
    <pivotField dataField="1" numFmtId="167" showAll="0"/>
    <pivotField numFmtId="167" showAll="0"/>
    <pivotField dataField="1" numFmtId="167" showAll="0"/>
    <pivotField numFmtId="167" showAll="0"/>
    <pivotField numFmtId="167" showAll="0"/>
    <pivotField showAll="0"/>
    <pivotField showAll="0"/>
    <pivotField showAll="0"/>
    <pivotField numFmtId="167" showAll="0"/>
    <pivotField numFmtId="167" showAll="0"/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Presupuesto Proyectado" fld="14" baseField="0" baseItem="0"/>
    <dataField name="Suma de Costos Comprometidos" fld="15" baseField="0" baseItem="0"/>
    <dataField name="Suma de Costos de Trabajo a la Fecha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66FDEF-898C-4413-987B-19A8510A3055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1:K6" firstHeaderRow="0" firstDataRow="1" firstDataCol="1"/>
  <pivotFields count="5">
    <pivotField dataField="1" showAll="0"/>
    <pivotField axis="axisRow" showAll="0">
      <items count="6">
        <item x="0"/>
        <item x="2"/>
        <item m="1" x="4"/>
        <item x="1"/>
        <item x="3"/>
        <item t="default"/>
      </items>
    </pivotField>
    <pivotField dataField="1" numFmtId="173" showAll="0"/>
    <pivotField dataField="1" numFmtId="173" showAll="0"/>
    <pivotField dataField="1" numFmtId="173" showAll="0"/>
  </pivotFields>
  <rowFields count="1">
    <field x="1"/>
  </rowFields>
  <rowItems count="5">
    <i>
      <x/>
    </i>
    <i>
      <x v="1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Devoluciones" fld="2" baseField="0" baseItem="0" numFmtId="173"/>
    <dataField name="Suma de Aportes" fld="3" baseField="0" baseItem="0" numFmtId="173"/>
    <dataField name="Cuenta de Contact" fld="0" subtotal="count" baseField="0" baseItem="0"/>
    <dataField name="Suma de Balance" fld="4" baseField="0" baseItem="0" numFmtId="173"/>
  </dataFields>
  <formats count="2">
    <format dxfId="34">
      <pivotArea field="1" type="button" dataOnly="0" labelOnly="1" outline="0" axis="axisRow" fieldPosition="0"/>
    </format>
    <format dxfId="3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E7D9F-F13B-433F-834F-0AD0711B4BE8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5:J12" firstHeaderRow="0" firstDataRow="1" firstDataCol="1"/>
  <pivotFields count="5">
    <pivotField dataField="1" showAll="0"/>
    <pivotField axis="axisRow" showAll="0">
      <items count="7">
        <item x="1"/>
        <item x="4"/>
        <item x="0"/>
        <item x="2"/>
        <item x="3"/>
        <item x="5"/>
        <item t="default"/>
      </items>
    </pivotField>
    <pivotField dataField="1" numFmtId="173" showAll="0"/>
    <pivotField dataField="1" numFmtId="173" showAll="0"/>
    <pivotField dataField="1" numFmtId="39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Devoluciones" fld="2" baseField="0" baseItem="0" numFmtId="173"/>
    <dataField name="Suma de Aportes" fld="3" baseField="0" baseItem="0" numFmtId="173"/>
    <dataField name="Cuenta de Contact" fld="0" subtotal="count" baseField="0" baseItem="0" numFmtId="177"/>
    <dataField name="Suma de Balance" fld="4" baseField="0" baseItem="0" numFmtId="39"/>
  </dataFields>
  <formats count="8">
    <format dxfId="32">
      <pivotArea dataOnly="0" fieldPosition="0">
        <references count="1">
          <reference field="1" count="1">
            <x v="1"/>
          </reference>
        </references>
      </pivotArea>
    </format>
    <format dxfId="31">
      <pivotArea dataOnly="0" fieldPosition="0">
        <references count="1">
          <reference field="1" count="1">
            <x v="5"/>
          </reference>
        </references>
      </pivotArea>
    </format>
    <format dxfId="30">
      <pivotArea field="1" type="button" dataOnly="0" labelOnly="1" outline="0" axis="axisRow" fieldPosition="0"/>
    </format>
    <format dxfId="2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5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8" dT="2024-06-04T18:08:03.07" personId="{E8EF4B31-D042-41E9-9717-72007196D90B}" id="{1B2980B0-C736-45A8-B744-F89C69C864AF}">
    <text xml:space="preserve">10% del total
</text>
  </threadedComment>
  <threadedComment ref="E12" dT="2024-06-04T18:11:05.08" personId="{E8EF4B31-D042-41E9-9717-72007196D90B}" id="{7EE505E1-A2EE-45C8-A632-C26A19899770}">
    <text xml:space="preserve">Es el 1% de las ventas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8" dT="2024-06-04T18:08:03.07" personId="{E8EF4B31-D042-41E9-9717-72007196D90B}" id="{0204C27A-1205-43C3-929E-D9005E84159D}">
    <text xml:space="preserve">10% del total
</text>
  </threadedComment>
  <threadedComment ref="E12" dT="2024-06-04T18:11:05.08" personId="{E8EF4B31-D042-41E9-9717-72007196D90B}" id="{CD4348D5-2310-4EB0-9849-C723DF817167}">
    <text xml:space="preserve">Es el 1% de las ventas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8" dT="2024-06-04T18:08:03.07" personId="{E8EF4B31-D042-41E9-9717-72007196D90B}" id="{345A0200-BC25-42F1-AD72-F23F02110DB7}">
    <text xml:space="preserve">10% del total
</text>
  </threadedComment>
  <threadedComment ref="E12" dT="2024-06-04T18:11:05.08" personId="{E8EF4B31-D042-41E9-9717-72007196D90B}" id="{A858241B-8D21-490A-8897-9066884E171B}">
    <text xml:space="preserve">Es el 1% de las ventas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E8" dT="2024-06-04T18:08:03.07" personId="{E8EF4B31-D042-41E9-9717-72007196D90B}" id="{87982987-AA75-43A2-964D-DC607B4F827C}">
    <text xml:space="preserve">10% del total
</text>
  </threadedComment>
  <threadedComment ref="E8" dT="2024-09-09T14:21:13.35" personId="{23D7CFF5-7C81-4BC7-8225-04E4ECFC668B}" id="{38895BA0-C056-4AF8-9266-52E8EC9D2C2E}" parentId="{87982987-AA75-43A2-964D-DC607B4F827C}">
    <text xml:space="preserve">Deberíamos quitar el compromiso total de este monto del presupuesto. 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7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4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32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33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38.bin"/><Relationship Id="rId4" Type="http://schemas.openxmlformats.org/officeDocument/2006/relationships/comments" Target="../comments6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43.bin"/><Relationship Id="rId4" Type="http://schemas.openxmlformats.org/officeDocument/2006/relationships/comments" Target="../comments7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46.bin"/><Relationship Id="rId4" Type="http://schemas.openxmlformats.org/officeDocument/2006/relationships/comments" Target="../comments8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49.bin"/><Relationship Id="rId4" Type="http://schemas.openxmlformats.org/officeDocument/2006/relationships/comments" Target="../comments9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52.bin"/><Relationship Id="rId4" Type="http://schemas.openxmlformats.org/officeDocument/2006/relationships/comments" Target="../comments10.x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4.bin"/><Relationship Id="rId1" Type="http://schemas.openxmlformats.org/officeDocument/2006/relationships/pivotTable" Target="../pivotTables/pivotTable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57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8.bin"/><Relationship Id="rId1" Type="http://schemas.openxmlformats.org/officeDocument/2006/relationships/pivotTable" Target="../pivotTables/pivotTable3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62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67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74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1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78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80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4.bin"/><Relationship Id="rId1" Type="http://schemas.openxmlformats.org/officeDocument/2006/relationships/hyperlink" Target="https://universalhousing.pipedrive.com/share/b728bebb36d07e86e297085cebb3d6ee2a5f340f4b92a34ea4596314291ced2b" TargetMode="Externa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85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14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printerSettings" Target="../printerSettings/printerSettings89.bin"/><Relationship Id="rId1" Type="http://schemas.openxmlformats.org/officeDocument/2006/relationships/hyperlink" Target="https://universalhousing.pipedrive.com/share/b728bebb36d07e86e297085cebb3d6ee2a5f340f4b92a34ea4596314291ced2b" TargetMode="External"/><Relationship Id="rId4" Type="http://schemas.openxmlformats.org/officeDocument/2006/relationships/comments" Target="../comments16.xml"/></Relationships>
</file>

<file path=xl/worksheets/_rels/sheet1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9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1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16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printerSettings" Target="../printerSettings/printerSettings97.bin"/><Relationship Id="rId1" Type="http://schemas.openxmlformats.org/officeDocument/2006/relationships/hyperlink" Target="https://universalhousing.pipedrive.com/share/b728bebb36d07e86e297085cebb3d6ee2a5f340f4b92a34ea4596314291ced2b" TargetMode="External"/><Relationship Id="rId4" Type="http://schemas.openxmlformats.org/officeDocument/2006/relationships/comments" Target="../comments18.xml"/></Relationships>
</file>

<file path=xl/worksheets/_rels/sheet1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98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7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printerSettings" Target="../printerSettings/printerSettings103.bin"/><Relationship Id="rId1" Type="http://schemas.openxmlformats.org/officeDocument/2006/relationships/hyperlink" Target="https://universalhousing.pipedrive.com/share/b728bebb36d07e86e297085cebb3d6ee2a5f340f4b92a34ea4596314291ced2b" TargetMode="External"/><Relationship Id="rId4" Type="http://schemas.openxmlformats.org/officeDocument/2006/relationships/comments" Target="../comments19.xml"/></Relationships>
</file>

<file path=xl/worksheets/_rels/sheet1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104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18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07.bin"/></Relationships>
</file>

<file path=xl/worksheets/_rels/sheet18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printerSettings" Target="../printerSettings/printerSettings108.bin"/><Relationship Id="rId1" Type="http://schemas.openxmlformats.org/officeDocument/2006/relationships/hyperlink" Target="https://universalhousing.pipedrive.com/share/b728bebb36d07e86e297085cebb3d6ee2a5f340f4b92a34ea4596314291ced2b" TargetMode="External"/><Relationship Id="rId4" Type="http://schemas.openxmlformats.org/officeDocument/2006/relationships/comments" Target="../comments21.xml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9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0.bin"/><Relationship Id="rId1" Type="http://schemas.openxmlformats.org/officeDocument/2006/relationships/hyperlink" Target="https://x.loandisk.com/reports/deferred_income_monthly.php?aok39l308=5523827" TargetMode="External"/></Relationships>
</file>

<file path=xl/worksheets/_rels/sheet19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1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111.bin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20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114.bin"/></Relationships>
</file>

<file path=xl/worksheets/_rels/sheet20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5.bin"/><Relationship Id="rId1" Type="http://schemas.openxmlformats.org/officeDocument/2006/relationships/hyperlink" Target="https://universalhousing.pipedrive.com/share/b728bebb36d07e86e297085cebb3d6ee2a5f340f4b92a34ea4596314291ced2b" TargetMode="External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20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117.bin"/></Relationships>
</file>

<file path=xl/worksheets/_rels/sheet20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drawing" Target="../drawings/drawing39.xml"/></Relationships>
</file>

<file path=xl/worksheets/_rels/sheet2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118.bin"/></Relationships>
</file>

<file path=xl/worksheets/_rels/sheet2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2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121.bin"/></Relationships>
</file>

<file path=xl/worksheets/_rels/sheet2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122.bin"/></Relationships>
</file>

<file path=xl/worksheets/_rels/sheet2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3.bin"/><Relationship Id="rId1" Type="http://schemas.openxmlformats.org/officeDocument/2006/relationships/hyperlink" Target="https://universalhousing.pipedrive.com/share/b728bebb36d07e86e297085cebb3d6ee2a5f340f4b92a34ea4596314291ced2b" TargetMode="External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2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125.bin"/><Relationship Id="rId4" Type="http://schemas.openxmlformats.org/officeDocument/2006/relationships/comments" Target="../comments28.xml"/></Relationships>
</file>

<file path=xl/worksheets/_rels/sheet2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126.bin"/><Relationship Id="rId4" Type="http://schemas.openxmlformats.org/officeDocument/2006/relationships/comments" Target="../comments29.xml"/></Relationships>
</file>

<file path=xl/worksheets/_rels/sheet2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127.bin"/></Relationships>
</file>

<file path=xl/worksheets/_rels/sheet2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2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131.bin"/></Relationships>
</file>

<file path=xl/worksheets/_rels/sheet23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2.bin"/><Relationship Id="rId1" Type="http://schemas.openxmlformats.org/officeDocument/2006/relationships/hyperlink" Target="https://universalhousing.pipedrive.com/share/b728bebb36d07e86e297085cebb3d6ee2a5f340f4b92a34ea4596314291ced2b" TargetMode="External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2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135.bin"/></Relationships>
</file>

<file path=xl/worksheets/_rels/sheet2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136.bin"/><Relationship Id="rId4" Type="http://schemas.openxmlformats.org/officeDocument/2006/relationships/comments" Target="../comments31.xml"/></Relationships>
</file>

<file path=xl/worksheets/_rels/sheet2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137.bin"/></Relationships>
</file>

<file path=xl/worksheets/_rels/sheet2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138.bin"/></Relationships>
</file>

<file path=xl/worksheets/_rels/sheet2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CC3B5-E158-40CA-A371-F780BE03894A}">
  <dimension ref="B2:Q29"/>
  <sheetViews>
    <sheetView showGridLines="0" topLeftCell="A10" zoomScale="90" zoomScaleNormal="90" workbookViewId="0">
      <selection activeCell="B35" sqref="B35"/>
    </sheetView>
  </sheetViews>
  <sheetFormatPr baseColWidth="10" defaultColWidth="11.44140625" defaultRowHeight="14.4"/>
  <cols>
    <col min="1" max="1" width="4.88671875" customWidth="1"/>
    <col min="2" max="2" width="6.109375" bestFit="1" customWidth="1"/>
    <col min="3" max="3" width="6.6640625" bestFit="1" customWidth="1"/>
    <col min="4" max="5" width="10.109375" customWidth="1"/>
    <col min="6" max="6" width="12.109375" customWidth="1"/>
    <col min="7" max="8" width="11.5546875" bestFit="1" customWidth="1"/>
    <col min="9" max="9" width="14.109375" bestFit="1" customWidth="1"/>
    <col min="10" max="10" width="11.5546875" bestFit="1" customWidth="1"/>
    <col min="11" max="12" width="13.33203125" customWidth="1"/>
    <col min="13" max="13" width="12.44140625" bestFit="1" customWidth="1"/>
    <col min="14" max="14" width="12.6640625" bestFit="1" customWidth="1"/>
    <col min="15" max="15" width="5.44140625" bestFit="1" customWidth="1"/>
  </cols>
  <sheetData>
    <row r="2" spans="2:17" ht="21" thickBot="1">
      <c r="B2" s="8"/>
      <c r="C2" s="3"/>
      <c r="D2" s="2" t="s">
        <v>0</v>
      </c>
      <c r="E2" s="2" t="s">
        <v>1</v>
      </c>
      <c r="F2" s="2" t="s">
        <v>2</v>
      </c>
      <c r="G2" s="2" t="s">
        <v>3</v>
      </c>
      <c r="H2" s="7"/>
      <c r="I2" s="7"/>
      <c r="J2" s="7"/>
      <c r="K2" s="7"/>
      <c r="L2" s="7"/>
      <c r="M2" s="7"/>
      <c r="N2" s="7"/>
      <c r="O2" s="7"/>
      <c r="P2" s="8"/>
      <c r="Q2" s="8"/>
    </row>
    <row r="3" spans="2:17" ht="14.4" customHeight="1" thickBot="1">
      <c r="B3" s="2091" t="s">
        <v>4</v>
      </c>
      <c r="C3" s="4">
        <v>44927</v>
      </c>
      <c r="D3" s="16">
        <v>5</v>
      </c>
      <c r="E3" s="16">
        <f>D3</f>
        <v>5</v>
      </c>
      <c r="F3" s="16">
        <v>4</v>
      </c>
      <c r="G3" s="16">
        <f>F3</f>
        <v>4</v>
      </c>
      <c r="P3" s="2092" t="s">
        <v>5</v>
      </c>
      <c r="Q3" s="2093"/>
    </row>
    <row r="4" spans="2:17" ht="14.4" customHeight="1">
      <c r="B4" s="2091"/>
      <c r="C4" s="4">
        <v>44958</v>
      </c>
      <c r="D4" s="6">
        <v>5</v>
      </c>
      <c r="E4" s="6">
        <f t="shared" ref="E4:E9" si="0">E3+D4</f>
        <v>10</v>
      </c>
      <c r="F4" s="6">
        <v>5</v>
      </c>
      <c r="G4" s="6">
        <f t="shared" ref="G4:G9" si="1">G3+F4</f>
        <v>9</v>
      </c>
      <c r="P4" s="2085">
        <f>F9</f>
        <v>3</v>
      </c>
      <c r="Q4" s="2086"/>
    </row>
    <row r="5" spans="2:17" ht="14.4" customHeight="1">
      <c r="B5" s="2091"/>
      <c r="C5" s="4">
        <v>44986</v>
      </c>
      <c r="D5" s="16">
        <v>6</v>
      </c>
      <c r="E5" s="16">
        <f t="shared" si="0"/>
        <v>16</v>
      </c>
      <c r="F5" s="16">
        <v>5</v>
      </c>
      <c r="G5" s="16">
        <f t="shared" si="1"/>
        <v>14</v>
      </c>
      <c r="P5" s="2087"/>
      <c r="Q5" s="2088"/>
    </row>
    <row r="6" spans="2:17" ht="14.4" customHeight="1" thickBot="1">
      <c r="B6" s="2091"/>
      <c r="C6" s="4">
        <v>45017</v>
      </c>
      <c r="D6" s="6">
        <v>6</v>
      </c>
      <c r="E6" s="6">
        <f t="shared" si="0"/>
        <v>22</v>
      </c>
      <c r="F6" s="6">
        <v>5</v>
      </c>
      <c r="G6" s="6">
        <f t="shared" si="1"/>
        <v>19</v>
      </c>
      <c r="P6" s="2089"/>
      <c r="Q6" s="2090"/>
    </row>
    <row r="7" spans="2:17" ht="14.4" customHeight="1">
      <c r="B7" s="2091"/>
      <c r="C7" s="4">
        <v>45047</v>
      </c>
      <c r="D7" s="16">
        <v>7</v>
      </c>
      <c r="E7" s="16">
        <f t="shared" si="0"/>
        <v>29</v>
      </c>
      <c r="F7" s="16">
        <v>7</v>
      </c>
      <c r="G7" s="16">
        <f t="shared" si="1"/>
        <v>26</v>
      </c>
      <c r="P7" s="5"/>
      <c r="Q7" s="5"/>
    </row>
    <row r="8" spans="2:17" ht="14.4" customHeight="1" thickBot="1">
      <c r="B8" s="2091"/>
      <c r="C8" s="4">
        <v>45078</v>
      </c>
      <c r="D8" s="6">
        <v>7</v>
      </c>
      <c r="E8" s="6">
        <f t="shared" si="0"/>
        <v>36</v>
      </c>
      <c r="F8" s="6">
        <v>9</v>
      </c>
      <c r="G8" s="6">
        <f t="shared" si="1"/>
        <v>35</v>
      </c>
    </row>
    <row r="9" spans="2:17" ht="14.4" customHeight="1" thickBot="1">
      <c r="B9" s="2091"/>
      <c r="C9" s="4">
        <v>45108</v>
      </c>
      <c r="D9" s="17">
        <v>7</v>
      </c>
      <c r="E9" s="17">
        <f t="shared" si="0"/>
        <v>43</v>
      </c>
      <c r="F9" s="17">
        <v>3</v>
      </c>
      <c r="G9" s="17">
        <f t="shared" si="1"/>
        <v>38</v>
      </c>
      <c r="P9" s="9" t="s">
        <v>3</v>
      </c>
      <c r="Q9" s="10"/>
    </row>
    <row r="10" spans="2:17" ht="15" customHeight="1">
      <c r="B10" s="2091"/>
      <c r="C10" s="4">
        <v>45139</v>
      </c>
      <c r="D10" s="6"/>
      <c r="E10" s="6" t="str">
        <f>IF(D10="","",D10+E9)</f>
        <v/>
      </c>
      <c r="F10" s="6"/>
      <c r="G10" s="6" t="str">
        <f>IF(F10="","",F10+G9)</f>
        <v/>
      </c>
      <c r="P10" s="2085">
        <f>G9</f>
        <v>38</v>
      </c>
      <c r="Q10" s="2086"/>
    </row>
    <row r="11" spans="2:17" ht="14.4" customHeight="1">
      <c r="B11" s="2091"/>
      <c r="C11" s="4">
        <v>45170</v>
      </c>
      <c r="D11" s="6"/>
      <c r="E11" s="6" t="str">
        <f t="shared" ref="E11:E14" si="2">IF(D11="","",D11+E10)</f>
        <v/>
      </c>
      <c r="F11" s="6"/>
      <c r="G11" s="6" t="str">
        <f t="shared" ref="G11:G14" si="3">IF(F11="","",F11+G10)</f>
        <v/>
      </c>
      <c r="P11" s="2087"/>
      <c r="Q11" s="2088"/>
    </row>
    <row r="12" spans="2:17" ht="14.4" customHeight="1" thickBot="1">
      <c r="B12" s="2091"/>
      <c r="C12" s="4">
        <v>45200</v>
      </c>
      <c r="D12" s="6"/>
      <c r="E12" s="6" t="str">
        <f t="shared" si="2"/>
        <v/>
      </c>
      <c r="F12" s="6"/>
      <c r="G12" s="6" t="str">
        <f t="shared" si="3"/>
        <v/>
      </c>
      <c r="P12" s="2089"/>
      <c r="Q12" s="2090"/>
    </row>
    <row r="13" spans="2:17" ht="14.4" customHeight="1">
      <c r="B13" s="2091"/>
      <c r="C13" s="4">
        <v>45231</v>
      </c>
      <c r="D13" s="6"/>
      <c r="E13" s="6" t="str">
        <f t="shared" si="2"/>
        <v/>
      </c>
      <c r="F13" s="6"/>
      <c r="G13" s="6" t="str">
        <f t="shared" si="3"/>
        <v/>
      </c>
      <c r="P13" s="5"/>
      <c r="Q13" s="5"/>
    </row>
    <row r="14" spans="2:17" ht="14.4" customHeight="1">
      <c r="B14" s="2091"/>
      <c r="C14" s="4">
        <v>45261</v>
      </c>
      <c r="D14" s="6"/>
      <c r="E14" s="6" t="str">
        <f t="shared" si="2"/>
        <v/>
      </c>
      <c r="F14" s="6"/>
      <c r="G14" s="6" t="str">
        <f t="shared" si="3"/>
        <v/>
      </c>
      <c r="P14" s="5"/>
      <c r="Q14" s="5"/>
    </row>
    <row r="15" spans="2:17" ht="21" customHeight="1"/>
    <row r="16" spans="2:17" ht="30.6">
      <c r="B16" s="8"/>
      <c r="C16" s="3"/>
      <c r="D16" s="2" t="s">
        <v>6</v>
      </c>
      <c r="E16" s="2" t="s">
        <v>7</v>
      </c>
      <c r="F16" s="2" t="s">
        <v>8</v>
      </c>
      <c r="G16" s="2" t="s">
        <v>9</v>
      </c>
      <c r="H16" s="2" t="s">
        <v>10</v>
      </c>
      <c r="I16" s="2" t="s">
        <v>11</v>
      </c>
      <c r="J16" s="2" t="s">
        <v>12</v>
      </c>
      <c r="K16" s="2" t="s">
        <v>13</v>
      </c>
      <c r="L16" s="2"/>
      <c r="M16" s="2"/>
      <c r="N16" s="2"/>
      <c r="O16" s="2"/>
      <c r="P16" s="2"/>
      <c r="Q16" s="2"/>
    </row>
    <row r="17" spans="2:13">
      <c r="B17" s="2091" t="s">
        <v>14</v>
      </c>
      <c r="C17" s="4">
        <v>44927</v>
      </c>
      <c r="D17" s="19">
        <v>0.04</v>
      </c>
      <c r="E17" s="20">
        <f>D17</f>
        <v>0.04</v>
      </c>
      <c r="F17" s="19">
        <v>0.03</v>
      </c>
      <c r="G17" s="20">
        <f>F17</f>
        <v>0.03</v>
      </c>
      <c r="H17" s="21">
        <v>6000000</v>
      </c>
      <c r="I17" s="21">
        <f>H17</f>
        <v>6000000</v>
      </c>
      <c r="J17" s="21">
        <v>6000000</v>
      </c>
      <c r="K17" s="21">
        <f>J17</f>
        <v>6000000</v>
      </c>
    </row>
    <row r="18" spans="2:13">
      <c r="B18" s="2091"/>
      <c r="C18" s="4">
        <v>44958</v>
      </c>
      <c r="D18" s="13">
        <v>0.04</v>
      </c>
      <c r="E18" s="14">
        <f>D18+E17</f>
        <v>0.08</v>
      </c>
      <c r="F18" s="13">
        <v>0.04</v>
      </c>
      <c r="G18" s="14">
        <f>F18+G17</f>
        <v>7.0000000000000007E-2</v>
      </c>
      <c r="H18" s="15">
        <v>10000000</v>
      </c>
      <c r="I18" s="15">
        <f>H18+I17</f>
        <v>16000000</v>
      </c>
      <c r="J18" s="15">
        <v>15000000</v>
      </c>
      <c r="K18" s="15">
        <f>J18+K17</f>
        <v>21000000</v>
      </c>
      <c r="L18" t="s">
        <v>15</v>
      </c>
      <c r="M18" s="11">
        <f>G25</f>
        <v>0.69000000000000006</v>
      </c>
    </row>
    <row r="19" spans="2:13">
      <c r="B19" s="2091"/>
      <c r="C19" s="4">
        <v>44986</v>
      </c>
      <c r="D19" s="19">
        <v>0.06</v>
      </c>
      <c r="E19" s="20">
        <f t="shared" ref="E19:K28" si="4">D19+E18</f>
        <v>0.14000000000000001</v>
      </c>
      <c r="F19" s="19">
        <v>0.05</v>
      </c>
      <c r="G19" s="20">
        <f t="shared" si="4"/>
        <v>0.12000000000000001</v>
      </c>
      <c r="H19" s="21">
        <v>12000000</v>
      </c>
      <c r="I19" s="21">
        <f t="shared" si="4"/>
        <v>28000000</v>
      </c>
      <c r="J19" s="21">
        <v>10000000</v>
      </c>
      <c r="K19" s="21">
        <f t="shared" si="4"/>
        <v>31000000</v>
      </c>
      <c r="L19" t="s">
        <v>16</v>
      </c>
      <c r="M19" s="11">
        <f>1-M18</f>
        <v>0.30999999999999994</v>
      </c>
    </row>
    <row r="20" spans="2:13">
      <c r="B20" s="2091"/>
      <c r="C20" s="4">
        <v>45017</v>
      </c>
      <c r="D20" s="13">
        <v>0.12</v>
      </c>
      <c r="E20" s="14">
        <f t="shared" si="4"/>
        <v>0.26</v>
      </c>
      <c r="F20" s="13">
        <v>0.06</v>
      </c>
      <c r="G20" s="14">
        <f t="shared" si="4"/>
        <v>0.18</v>
      </c>
      <c r="H20" s="15">
        <v>24000000</v>
      </c>
      <c r="I20" s="15">
        <f t="shared" si="4"/>
        <v>52000000</v>
      </c>
      <c r="J20" s="15">
        <v>24000000</v>
      </c>
      <c r="K20" s="15">
        <f t="shared" si="4"/>
        <v>55000000</v>
      </c>
    </row>
    <row r="21" spans="2:13">
      <c r="B21" s="2091"/>
      <c r="C21" s="4">
        <v>45047</v>
      </c>
      <c r="D21" s="19">
        <v>0.12</v>
      </c>
      <c r="E21" s="20">
        <f t="shared" si="4"/>
        <v>0.38</v>
      </c>
      <c r="F21" s="19">
        <v>0.1</v>
      </c>
      <c r="G21" s="20">
        <f t="shared" si="4"/>
        <v>0.28000000000000003</v>
      </c>
      <c r="H21" s="21">
        <v>24000000</v>
      </c>
      <c r="I21" s="21">
        <f t="shared" si="4"/>
        <v>76000000</v>
      </c>
      <c r="J21" s="21">
        <v>22000000</v>
      </c>
      <c r="K21" s="21">
        <f t="shared" si="4"/>
        <v>77000000</v>
      </c>
    </row>
    <row r="22" spans="2:13">
      <c r="B22" s="2091"/>
      <c r="C22" s="4">
        <v>45078</v>
      </c>
      <c r="D22" s="13">
        <v>0.15</v>
      </c>
      <c r="E22" s="14">
        <f t="shared" si="4"/>
        <v>0.53</v>
      </c>
      <c r="F22" s="13">
        <v>0.12</v>
      </c>
      <c r="G22" s="14">
        <f t="shared" si="4"/>
        <v>0.4</v>
      </c>
      <c r="H22" s="15">
        <v>18000000</v>
      </c>
      <c r="I22" s="15">
        <f t="shared" si="4"/>
        <v>94000000</v>
      </c>
      <c r="J22" s="15">
        <v>20000000</v>
      </c>
      <c r="K22" s="15">
        <f t="shared" si="4"/>
        <v>97000000</v>
      </c>
    </row>
    <row r="23" spans="2:13">
      <c r="B23" s="2091"/>
      <c r="C23" s="4">
        <v>45108</v>
      </c>
      <c r="D23" s="19">
        <v>0.12</v>
      </c>
      <c r="E23" s="20">
        <f>IF(D23="","",D23+E22)</f>
        <v>0.65</v>
      </c>
      <c r="F23" s="19">
        <v>0.14000000000000001</v>
      </c>
      <c r="G23" s="20">
        <f t="shared" si="4"/>
        <v>0.54</v>
      </c>
      <c r="H23" s="21">
        <v>12000000</v>
      </c>
      <c r="I23" s="21">
        <f t="shared" si="4"/>
        <v>106000000</v>
      </c>
      <c r="J23" s="21">
        <v>14000000</v>
      </c>
      <c r="K23" s="21">
        <f t="shared" si="4"/>
        <v>111000000</v>
      </c>
    </row>
    <row r="24" spans="2:13">
      <c r="B24" s="2091"/>
      <c r="C24" s="4">
        <v>45139</v>
      </c>
      <c r="D24" s="13">
        <v>0.08</v>
      </c>
      <c r="E24" s="14">
        <f>IF(D24="","",D24+E23)</f>
        <v>0.73</v>
      </c>
      <c r="F24" s="13">
        <v>0.15</v>
      </c>
      <c r="G24" s="14">
        <f t="shared" si="4"/>
        <v>0.69000000000000006</v>
      </c>
      <c r="H24" s="15">
        <v>8000000</v>
      </c>
      <c r="I24" s="15">
        <f t="shared" si="4"/>
        <v>114000000</v>
      </c>
      <c r="J24" s="15">
        <v>8500000</v>
      </c>
      <c r="K24" s="15">
        <f t="shared" si="4"/>
        <v>119500000</v>
      </c>
    </row>
    <row r="25" spans="2:13">
      <c r="B25" s="2091"/>
      <c r="C25" s="4">
        <v>45170</v>
      </c>
      <c r="D25" s="19">
        <v>0.08</v>
      </c>
      <c r="E25" s="20">
        <f>IF(D25="","",D25+E24)</f>
        <v>0.80999999999999994</v>
      </c>
      <c r="F25" s="19"/>
      <c r="G25" s="20">
        <f t="shared" si="4"/>
        <v>0.69000000000000006</v>
      </c>
      <c r="H25" s="21">
        <v>8000000</v>
      </c>
      <c r="I25" s="21">
        <f t="shared" si="4"/>
        <v>122000000</v>
      </c>
      <c r="J25" s="21"/>
      <c r="K25" s="21">
        <f t="shared" si="4"/>
        <v>119500000</v>
      </c>
      <c r="L25" t="s">
        <v>15</v>
      </c>
      <c r="M25" s="12">
        <f>K25</f>
        <v>119500000</v>
      </c>
    </row>
    <row r="26" spans="2:13">
      <c r="B26" s="2091"/>
      <c r="C26" s="4">
        <v>45200</v>
      </c>
      <c r="D26" s="13">
        <v>0.08</v>
      </c>
      <c r="E26" s="14">
        <f t="shared" ref="E26:E28" si="5">IF(D26="","",D26+E25)</f>
        <v>0.8899999999999999</v>
      </c>
      <c r="F26" s="13"/>
      <c r="G26" s="14">
        <f t="shared" si="4"/>
        <v>0.69000000000000006</v>
      </c>
      <c r="H26" s="15">
        <v>6000000</v>
      </c>
      <c r="I26" s="15">
        <f t="shared" si="4"/>
        <v>128000000</v>
      </c>
      <c r="J26" s="15"/>
      <c r="K26" s="15">
        <f t="shared" si="4"/>
        <v>119500000</v>
      </c>
      <c r="L26" t="s">
        <v>17</v>
      </c>
      <c r="M26" s="12">
        <f>I28-K28</f>
        <v>11500000</v>
      </c>
    </row>
    <row r="27" spans="2:13">
      <c r="B27" s="2091"/>
      <c r="C27" s="4">
        <v>45231</v>
      </c>
      <c r="D27" s="19">
        <v>0.08</v>
      </c>
      <c r="E27" s="20">
        <f t="shared" si="5"/>
        <v>0.96999999999999986</v>
      </c>
      <c r="F27" s="19"/>
      <c r="G27" s="20">
        <f t="shared" si="4"/>
        <v>0.69000000000000006</v>
      </c>
      <c r="H27" s="21">
        <v>2500000</v>
      </c>
      <c r="I27" s="21">
        <f t="shared" si="4"/>
        <v>130500000</v>
      </c>
      <c r="J27" s="21"/>
      <c r="K27" s="21">
        <f t="shared" si="4"/>
        <v>119500000</v>
      </c>
      <c r="M27" s="12"/>
    </row>
    <row r="28" spans="2:13">
      <c r="B28" s="2091"/>
      <c r="C28" s="4">
        <v>45261</v>
      </c>
      <c r="D28" s="13">
        <v>0.03</v>
      </c>
      <c r="E28" s="14">
        <f t="shared" si="5"/>
        <v>0.99999999999999989</v>
      </c>
      <c r="F28" s="13"/>
      <c r="G28" s="14">
        <f t="shared" si="4"/>
        <v>0.69000000000000006</v>
      </c>
      <c r="H28" s="15">
        <v>500000</v>
      </c>
      <c r="I28" s="15">
        <f t="shared" si="4"/>
        <v>131000000</v>
      </c>
      <c r="J28" s="15"/>
      <c r="K28" s="15">
        <f t="shared" si="4"/>
        <v>119500000</v>
      </c>
    </row>
    <row r="29" spans="2:13">
      <c r="D29" s="18" t="s">
        <v>18</v>
      </c>
    </row>
  </sheetData>
  <mergeCells count="5">
    <mergeCell ref="P10:Q12"/>
    <mergeCell ref="B3:B14"/>
    <mergeCell ref="B17:B28"/>
    <mergeCell ref="P3:Q3"/>
    <mergeCell ref="P4:Q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4C658-FF41-46ED-A64F-592E9AF610D2}">
  <dimension ref="A2:P56"/>
  <sheetViews>
    <sheetView showGridLines="0" topLeftCell="A32" zoomScale="80" zoomScaleNormal="80" workbookViewId="0">
      <selection activeCell="D37" sqref="D37"/>
    </sheetView>
  </sheetViews>
  <sheetFormatPr baseColWidth="10" defaultColWidth="11.44140625" defaultRowHeight="14.4"/>
  <cols>
    <col min="1" max="1" width="10.88671875" bestFit="1" customWidth="1"/>
    <col min="2" max="2" width="26.33203125" bestFit="1" customWidth="1"/>
    <col min="3" max="3" width="5.6640625" bestFit="1" customWidth="1"/>
    <col min="4" max="4" width="17.109375" bestFit="1" customWidth="1"/>
    <col min="5" max="5" width="14.88671875" bestFit="1" customWidth="1"/>
    <col min="6" max="8" width="13.88671875" bestFit="1" customWidth="1"/>
    <col min="9" max="9" width="19.44140625" bestFit="1" customWidth="1"/>
    <col min="10" max="10" width="18.109375" customWidth="1"/>
    <col min="11" max="11" width="15.88671875" customWidth="1"/>
    <col min="12" max="12" width="13.33203125" customWidth="1"/>
    <col min="13" max="13" width="11.109375" bestFit="1" customWidth="1"/>
    <col min="14" max="14" width="12.5546875" bestFit="1" customWidth="1"/>
    <col min="15" max="15" width="12.6640625" bestFit="1" customWidth="1"/>
    <col min="16" max="16" width="5.44140625" bestFit="1" customWidth="1"/>
  </cols>
  <sheetData>
    <row r="2" spans="3:16" ht="15" thickBot="1">
      <c r="C2" s="8"/>
      <c r="D2" s="3"/>
      <c r="E2" s="2" t="s">
        <v>0</v>
      </c>
      <c r="F2" s="2" t="s">
        <v>1</v>
      </c>
      <c r="G2" s="2" t="s">
        <v>2</v>
      </c>
      <c r="H2" s="2" t="s">
        <v>3</v>
      </c>
      <c r="I2" s="7"/>
      <c r="J2" s="7"/>
      <c r="K2" s="7"/>
      <c r="L2" s="7"/>
      <c r="M2" s="7"/>
      <c r="N2" s="7"/>
      <c r="O2" s="7"/>
      <c r="P2" s="7"/>
    </row>
    <row r="3" spans="3:16" ht="14.4" customHeight="1" thickBot="1">
      <c r="C3" s="2091" t="s">
        <v>4</v>
      </c>
      <c r="D3" s="4">
        <v>45231</v>
      </c>
      <c r="E3" s="16">
        <v>8</v>
      </c>
      <c r="F3" s="16">
        <f>E3</f>
        <v>8</v>
      </c>
      <c r="G3" s="16">
        <v>0</v>
      </c>
      <c r="H3" s="16">
        <f>G3</f>
        <v>0</v>
      </c>
      <c r="O3" s="2092" t="s">
        <v>5</v>
      </c>
      <c r="P3" s="2093"/>
    </row>
    <row r="4" spans="3:16" ht="14.4" customHeight="1">
      <c r="C4" s="2091"/>
      <c r="D4" s="4">
        <v>45261</v>
      </c>
      <c r="E4" s="6">
        <v>8</v>
      </c>
      <c r="F4" s="6">
        <f t="shared" ref="F4:F9" si="0">F3+E4</f>
        <v>16</v>
      </c>
      <c r="G4" s="6">
        <v>0</v>
      </c>
      <c r="H4" s="6">
        <f t="shared" ref="H4:H9" si="1">H3+G4</f>
        <v>0</v>
      </c>
      <c r="O4" s="2085">
        <f>G9</f>
        <v>0</v>
      </c>
      <c r="P4" s="2086"/>
    </row>
    <row r="5" spans="3:16" ht="14.4" customHeight="1">
      <c r="C5" s="2091"/>
      <c r="D5" s="4">
        <v>45292</v>
      </c>
      <c r="E5" s="16">
        <v>8</v>
      </c>
      <c r="F5" s="16">
        <f t="shared" si="0"/>
        <v>24</v>
      </c>
      <c r="G5" s="16">
        <v>0</v>
      </c>
      <c r="H5" s="16">
        <f t="shared" si="1"/>
        <v>0</v>
      </c>
      <c r="O5" s="2087"/>
      <c r="P5" s="2088"/>
    </row>
    <row r="6" spans="3:16" ht="14.4" customHeight="1" thickBot="1">
      <c r="C6" s="2091"/>
      <c r="D6" s="4">
        <v>45323</v>
      </c>
      <c r="E6" s="6">
        <v>12</v>
      </c>
      <c r="F6" s="6">
        <f t="shared" si="0"/>
        <v>36</v>
      </c>
      <c r="G6" s="6">
        <v>0</v>
      </c>
      <c r="H6" s="6">
        <f t="shared" si="1"/>
        <v>0</v>
      </c>
      <c r="O6" s="2089"/>
      <c r="P6" s="2090"/>
    </row>
    <row r="7" spans="3:16" ht="14.4" customHeight="1">
      <c r="C7" s="2091"/>
      <c r="D7" s="4">
        <v>45352</v>
      </c>
      <c r="E7" s="16">
        <v>12</v>
      </c>
      <c r="F7" s="16">
        <f t="shared" si="0"/>
        <v>48</v>
      </c>
      <c r="G7" s="16">
        <v>0</v>
      </c>
      <c r="H7" s="16">
        <f t="shared" si="1"/>
        <v>0</v>
      </c>
      <c r="O7" s="5"/>
      <c r="P7" s="5"/>
    </row>
    <row r="8" spans="3:16" ht="14.4" customHeight="1" thickBot="1">
      <c r="C8" s="2091"/>
      <c r="D8" s="4">
        <v>45383</v>
      </c>
      <c r="E8" s="6">
        <v>12</v>
      </c>
      <c r="F8" s="6">
        <f t="shared" si="0"/>
        <v>60</v>
      </c>
      <c r="G8" s="6">
        <v>0</v>
      </c>
      <c r="H8" s="6">
        <f t="shared" si="1"/>
        <v>0</v>
      </c>
    </row>
    <row r="9" spans="3:16" ht="14.4" customHeight="1" thickBot="1">
      <c r="C9" s="2091"/>
      <c r="D9" s="4">
        <v>45413</v>
      </c>
      <c r="E9" s="16">
        <v>12</v>
      </c>
      <c r="F9" s="16">
        <f t="shared" si="0"/>
        <v>72</v>
      </c>
      <c r="G9" s="16">
        <v>0</v>
      </c>
      <c r="H9" s="16">
        <f t="shared" si="1"/>
        <v>0</v>
      </c>
      <c r="O9" s="9" t="s">
        <v>3</v>
      </c>
      <c r="P9" s="10"/>
    </row>
    <row r="10" spans="3:16" ht="15" customHeight="1">
      <c r="C10" s="2091"/>
      <c r="D10" s="4">
        <v>45444</v>
      </c>
      <c r="E10" s="6">
        <v>15</v>
      </c>
      <c r="F10" s="6">
        <f>IF(E10="","",E10+F9)</f>
        <v>87</v>
      </c>
      <c r="G10" s="6"/>
      <c r="H10" s="6" t="str">
        <f>IF(G10="","",G10+H9)</f>
        <v/>
      </c>
      <c r="O10" s="2085">
        <f>H9</f>
        <v>0</v>
      </c>
      <c r="P10" s="2086"/>
    </row>
    <row r="11" spans="3:16" ht="14.4" customHeight="1">
      <c r="C11" s="2091"/>
      <c r="D11" s="4">
        <v>45474</v>
      </c>
      <c r="E11" s="16">
        <v>15</v>
      </c>
      <c r="F11" s="16">
        <f t="shared" ref="F11:F14" si="2">IF(E11="","",E11+F10)</f>
        <v>102</v>
      </c>
      <c r="G11" s="16"/>
      <c r="H11" s="16" t="str">
        <f t="shared" ref="H11:H14" si="3">IF(G11="","",G11+H10)</f>
        <v/>
      </c>
      <c r="O11" s="2087"/>
      <c r="P11" s="2088"/>
    </row>
    <row r="12" spans="3:16" ht="14.4" customHeight="1" thickBot="1">
      <c r="C12" s="2091"/>
      <c r="D12" s="4">
        <v>45505</v>
      </c>
      <c r="E12" s="6">
        <v>15</v>
      </c>
      <c r="F12" s="6">
        <f t="shared" si="2"/>
        <v>117</v>
      </c>
      <c r="G12" s="6"/>
      <c r="H12" s="6" t="str">
        <f t="shared" si="3"/>
        <v/>
      </c>
      <c r="O12" s="2089"/>
      <c r="P12" s="2090"/>
    </row>
    <row r="13" spans="3:16" ht="14.4" customHeight="1">
      <c r="C13" s="2091"/>
      <c r="D13" s="4">
        <v>45536</v>
      </c>
      <c r="E13" s="16">
        <v>15</v>
      </c>
      <c r="F13" s="16">
        <f t="shared" si="2"/>
        <v>132</v>
      </c>
      <c r="G13" s="16"/>
      <c r="H13" s="16" t="str">
        <f t="shared" si="3"/>
        <v/>
      </c>
    </row>
    <row r="14" spans="3:16" ht="14.4" customHeight="1">
      <c r="C14" s="2091"/>
      <c r="D14" s="4">
        <v>45566</v>
      </c>
      <c r="E14" s="6">
        <v>15</v>
      </c>
      <c r="F14" s="6">
        <f t="shared" si="2"/>
        <v>147</v>
      </c>
      <c r="G14" s="6"/>
      <c r="H14" s="6" t="str">
        <f t="shared" si="3"/>
        <v/>
      </c>
    </row>
    <row r="15" spans="3:16" ht="21" customHeight="1"/>
    <row r="16" spans="3:16" ht="30.6">
      <c r="C16" s="8"/>
      <c r="D16" s="3"/>
      <c r="E16" s="2" t="s">
        <v>19</v>
      </c>
      <c r="F16" s="2" t="s">
        <v>20</v>
      </c>
      <c r="G16" s="2" t="s">
        <v>8</v>
      </c>
      <c r="H16" s="2" t="s">
        <v>9</v>
      </c>
      <c r="I16" s="2" t="s">
        <v>10</v>
      </c>
      <c r="J16" s="2" t="s">
        <v>11</v>
      </c>
      <c r="K16" s="2" t="s">
        <v>12</v>
      </c>
      <c r="L16" s="2" t="s">
        <v>13</v>
      </c>
      <c r="M16" s="2"/>
      <c r="N16" s="2"/>
      <c r="O16" s="2"/>
      <c r="P16" s="2"/>
    </row>
    <row r="17" spans="2:14" ht="14.4" customHeight="1">
      <c r="C17" s="2091" t="s">
        <v>14</v>
      </c>
      <c r="D17" s="4">
        <v>45292</v>
      </c>
      <c r="E17" s="19">
        <v>0.03</v>
      </c>
      <c r="F17" s="20">
        <f>E17</f>
        <v>0.03</v>
      </c>
      <c r="G17" s="19">
        <v>0</v>
      </c>
      <c r="H17" s="20">
        <f>G17</f>
        <v>0</v>
      </c>
      <c r="I17" s="21">
        <v>14678820</v>
      </c>
      <c r="J17" s="21">
        <f>I17</f>
        <v>14678820</v>
      </c>
      <c r="K17" s="21">
        <v>0</v>
      </c>
      <c r="L17" s="21">
        <f>K17</f>
        <v>0</v>
      </c>
    </row>
    <row r="18" spans="2:14">
      <c r="C18" s="2091"/>
      <c r="D18" s="4">
        <v>45323</v>
      </c>
      <c r="E18" s="13">
        <v>0.06</v>
      </c>
      <c r="F18" s="14">
        <f>E18+F17</f>
        <v>0.09</v>
      </c>
      <c r="G18" s="13">
        <v>0</v>
      </c>
      <c r="H18" s="14">
        <f>G18+H17</f>
        <v>0</v>
      </c>
      <c r="I18" s="15">
        <v>29357640</v>
      </c>
      <c r="J18" s="15">
        <f>I18+J17</f>
        <v>44036460</v>
      </c>
      <c r="K18" s="15">
        <v>0</v>
      </c>
      <c r="L18" s="15">
        <f>K18+L17</f>
        <v>0</v>
      </c>
      <c r="M18" t="s">
        <v>15</v>
      </c>
      <c r="N18" s="11">
        <f>H25</f>
        <v>0</v>
      </c>
    </row>
    <row r="19" spans="2:14">
      <c r="C19" s="2091"/>
      <c r="D19" s="4">
        <v>45352</v>
      </c>
      <c r="E19" s="19">
        <v>7.4999999999999997E-2</v>
      </c>
      <c r="F19" s="20">
        <f t="shared" ref="F19:L29" si="4">E19+F18</f>
        <v>0.16499999999999998</v>
      </c>
      <c r="G19" s="19">
        <v>0</v>
      </c>
      <c r="H19" s="20">
        <f t="shared" si="4"/>
        <v>0</v>
      </c>
      <c r="I19" s="21">
        <v>36697050</v>
      </c>
      <c r="J19" s="21">
        <f t="shared" si="4"/>
        <v>80733510</v>
      </c>
      <c r="K19" s="21">
        <v>0</v>
      </c>
      <c r="L19" s="21">
        <f t="shared" si="4"/>
        <v>0</v>
      </c>
      <c r="M19" t="s">
        <v>16</v>
      </c>
      <c r="N19" s="11">
        <f>1-N18</f>
        <v>1</v>
      </c>
    </row>
    <row r="20" spans="2:14">
      <c r="C20" s="2091"/>
      <c r="D20" s="4">
        <v>45383</v>
      </c>
      <c r="E20" s="13">
        <v>0.11</v>
      </c>
      <c r="F20" s="14">
        <f t="shared" si="4"/>
        <v>0.27499999999999997</v>
      </c>
      <c r="G20" s="13">
        <v>0</v>
      </c>
      <c r="H20" s="14">
        <f t="shared" si="4"/>
        <v>0</v>
      </c>
      <c r="I20" s="15">
        <v>53822340</v>
      </c>
      <c r="J20" s="15">
        <f t="shared" si="4"/>
        <v>134555850</v>
      </c>
      <c r="K20" s="15">
        <v>0</v>
      </c>
      <c r="L20" s="15">
        <f t="shared" si="4"/>
        <v>0</v>
      </c>
    </row>
    <row r="21" spans="2:14">
      <c r="C21" s="2091"/>
      <c r="D21" s="4">
        <v>45413</v>
      </c>
      <c r="E21" s="19">
        <v>0.11</v>
      </c>
      <c r="F21" s="20">
        <f t="shared" si="4"/>
        <v>0.38499999999999995</v>
      </c>
      <c r="G21" s="19">
        <v>0</v>
      </c>
      <c r="H21" s="20">
        <f t="shared" si="4"/>
        <v>0</v>
      </c>
      <c r="I21" s="21">
        <v>53822340</v>
      </c>
      <c r="J21" s="21">
        <f t="shared" si="4"/>
        <v>188378190</v>
      </c>
      <c r="K21" s="21">
        <v>0</v>
      </c>
      <c r="L21" s="21">
        <f t="shared" si="4"/>
        <v>0</v>
      </c>
    </row>
    <row r="22" spans="2:14">
      <c r="C22" s="2091"/>
      <c r="D22" s="4">
        <v>45444</v>
      </c>
      <c r="E22" s="13">
        <v>0.11</v>
      </c>
      <c r="F22" s="14">
        <f t="shared" si="4"/>
        <v>0.49499999999999994</v>
      </c>
      <c r="G22" s="13">
        <v>0</v>
      </c>
      <c r="H22" s="14">
        <f t="shared" si="4"/>
        <v>0</v>
      </c>
      <c r="I22" s="15">
        <v>53822340</v>
      </c>
      <c r="J22" s="15">
        <f t="shared" si="4"/>
        <v>242200530</v>
      </c>
      <c r="K22" s="15">
        <v>0</v>
      </c>
      <c r="L22" s="15">
        <f t="shared" si="4"/>
        <v>0</v>
      </c>
    </row>
    <row r="23" spans="2:14">
      <c r="C23" s="2091"/>
      <c r="D23" s="4">
        <v>45474</v>
      </c>
      <c r="E23" s="19">
        <v>0.11</v>
      </c>
      <c r="F23" s="20">
        <f>IF(E23="","",E23+F22)</f>
        <v>0.60499999999999998</v>
      </c>
      <c r="G23" s="19">
        <v>0</v>
      </c>
      <c r="H23" s="20">
        <f t="shared" si="4"/>
        <v>0</v>
      </c>
      <c r="I23" s="21">
        <v>53822340</v>
      </c>
      <c r="J23" s="21">
        <f t="shared" si="4"/>
        <v>296022870</v>
      </c>
      <c r="K23" s="21">
        <v>0</v>
      </c>
      <c r="L23" s="21">
        <f t="shared" si="4"/>
        <v>0</v>
      </c>
    </row>
    <row r="24" spans="2:14">
      <c r="C24" s="2091"/>
      <c r="D24" s="4">
        <v>45505</v>
      </c>
      <c r="E24" s="13">
        <v>0.11</v>
      </c>
      <c r="F24" s="14">
        <f>IF(E24="","",E24+F23)</f>
        <v>0.71499999999999997</v>
      </c>
      <c r="G24" s="13">
        <v>0</v>
      </c>
      <c r="H24" s="14">
        <f t="shared" si="4"/>
        <v>0</v>
      </c>
      <c r="I24" s="15">
        <v>53822340</v>
      </c>
      <c r="J24" s="15">
        <f t="shared" si="4"/>
        <v>349845210</v>
      </c>
      <c r="K24" s="15">
        <v>0</v>
      </c>
      <c r="L24" s="15">
        <f t="shared" si="4"/>
        <v>0</v>
      </c>
    </row>
    <row r="25" spans="2:14">
      <c r="C25" s="2091"/>
      <c r="D25" s="4">
        <v>45536</v>
      </c>
      <c r="E25" s="19">
        <v>0.1</v>
      </c>
      <c r="F25" s="20">
        <f>IF(E25="","",E25+F24)</f>
        <v>0.81499999999999995</v>
      </c>
      <c r="G25" s="19">
        <v>0</v>
      </c>
      <c r="H25" s="20">
        <f t="shared" si="4"/>
        <v>0</v>
      </c>
      <c r="I25" s="21">
        <v>48929400</v>
      </c>
      <c r="J25" s="21">
        <f t="shared" si="4"/>
        <v>398774610</v>
      </c>
      <c r="K25" s="21">
        <v>0</v>
      </c>
      <c r="L25" s="21">
        <f t="shared" si="4"/>
        <v>0</v>
      </c>
      <c r="M25" t="s">
        <v>15</v>
      </c>
      <c r="N25" s="12">
        <f>L25</f>
        <v>0</v>
      </c>
    </row>
    <row r="26" spans="2:14">
      <c r="C26" s="2091"/>
      <c r="D26" s="4">
        <v>45566</v>
      </c>
      <c r="E26" s="13">
        <v>8.5000000000000006E-2</v>
      </c>
      <c r="F26" s="14">
        <f t="shared" ref="F26:F30" si="5">IF(E26="","",E26+F25)</f>
        <v>0.89999999999999991</v>
      </c>
      <c r="G26" s="13">
        <v>0</v>
      </c>
      <c r="H26" s="14">
        <f t="shared" si="4"/>
        <v>0</v>
      </c>
      <c r="I26" s="15">
        <v>41589990</v>
      </c>
      <c r="J26" s="15">
        <f t="shared" si="4"/>
        <v>440364600</v>
      </c>
      <c r="K26" s="15">
        <v>0</v>
      </c>
      <c r="L26" s="15">
        <f t="shared" si="4"/>
        <v>0</v>
      </c>
      <c r="M26" t="s">
        <v>17</v>
      </c>
      <c r="N26" s="12">
        <f>J28-L28</f>
        <v>522076698</v>
      </c>
    </row>
    <row r="27" spans="2:14">
      <c r="C27" s="2091"/>
      <c r="D27" s="4">
        <v>45597</v>
      </c>
      <c r="E27" s="19">
        <v>4.2000000000000003E-2</v>
      </c>
      <c r="F27" s="20">
        <f t="shared" si="5"/>
        <v>0.94199999999999995</v>
      </c>
      <c r="G27" s="19">
        <v>0</v>
      </c>
      <c r="H27" s="20">
        <f t="shared" si="4"/>
        <v>0</v>
      </c>
      <c r="I27" s="21">
        <v>35229168</v>
      </c>
      <c r="J27" s="21">
        <f t="shared" si="4"/>
        <v>475593768</v>
      </c>
      <c r="K27" s="21">
        <v>0</v>
      </c>
      <c r="L27" s="21">
        <f t="shared" si="4"/>
        <v>0</v>
      </c>
      <c r="N27" s="12"/>
    </row>
    <row r="28" spans="2:14">
      <c r="C28" s="2091"/>
      <c r="D28" s="4">
        <v>45627</v>
      </c>
      <c r="E28" s="13">
        <v>3.5000000000000003E-2</v>
      </c>
      <c r="F28" s="14">
        <f t="shared" si="5"/>
        <v>0.97699999999999998</v>
      </c>
      <c r="G28" s="13">
        <v>0</v>
      </c>
      <c r="H28" s="14">
        <f t="shared" si="4"/>
        <v>0</v>
      </c>
      <c r="I28" s="15">
        <v>46482930</v>
      </c>
      <c r="J28" s="15">
        <f t="shared" si="4"/>
        <v>522076698</v>
      </c>
      <c r="K28" s="15">
        <v>0</v>
      </c>
      <c r="L28" s="15">
        <f t="shared" si="4"/>
        <v>0</v>
      </c>
    </row>
    <row r="29" spans="2:14">
      <c r="C29" s="2091"/>
      <c r="D29" s="4">
        <v>45658</v>
      </c>
      <c r="E29" s="19">
        <v>2.3E-2</v>
      </c>
      <c r="F29" s="20">
        <f t="shared" si="5"/>
        <v>1</v>
      </c>
      <c r="G29" s="19">
        <v>0</v>
      </c>
      <c r="H29" s="20">
        <f t="shared" ref="H29" si="6">G29+H28</f>
        <v>0</v>
      </c>
      <c r="I29" s="21">
        <v>47950812</v>
      </c>
      <c r="J29" s="21">
        <f t="shared" si="4"/>
        <v>570027510</v>
      </c>
      <c r="K29" s="21">
        <v>0</v>
      </c>
      <c r="L29" s="21">
        <v>0</v>
      </c>
    </row>
    <row r="30" spans="2:14">
      <c r="F30" s="14" t="str">
        <f t="shared" si="5"/>
        <v/>
      </c>
    </row>
    <row r="32" spans="2:14">
      <c r="B32" t="s">
        <v>21</v>
      </c>
    </row>
    <row r="34" spans="1:13" ht="15.6">
      <c r="B34" s="61" t="s">
        <v>22</v>
      </c>
      <c r="C34" s="62"/>
      <c r="D34" s="62"/>
      <c r="E34" s="63"/>
      <c r="F34" s="2098" t="s">
        <v>23</v>
      </c>
      <c r="G34" s="2099"/>
      <c r="H34" s="2100"/>
      <c r="I34" s="2103" t="s">
        <v>24</v>
      </c>
      <c r="J34" s="2101" t="s">
        <v>25</v>
      </c>
      <c r="K34" s="91" t="s">
        <v>26</v>
      </c>
      <c r="L34" s="2094" t="s">
        <v>27</v>
      </c>
      <c r="M34" s="2096" t="s">
        <v>28</v>
      </c>
    </row>
    <row r="35" spans="1:13">
      <c r="B35" s="64" t="s">
        <v>29</v>
      </c>
      <c r="C35" s="22"/>
      <c r="D35" s="25" t="s">
        <v>30</v>
      </c>
      <c r="E35" s="65" t="s">
        <v>31</v>
      </c>
      <c r="F35" s="37">
        <v>45047</v>
      </c>
      <c r="G35" s="38">
        <v>45078</v>
      </c>
      <c r="H35" s="39">
        <v>45108</v>
      </c>
      <c r="I35" s="2104"/>
      <c r="J35" s="2102"/>
      <c r="K35" s="92" t="s">
        <v>32</v>
      </c>
      <c r="L35" s="2095"/>
      <c r="M35" s="2097"/>
    </row>
    <row r="36" spans="1:13" ht="18">
      <c r="B36" s="66" t="s">
        <v>33</v>
      </c>
      <c r="C36" s="23"/>
      <c r="D36" s="26">
        <v>98128296</v>
      </c>
      <c r="E36" s="67">
        <v>1752291</v>
      </c>
      <c r="F36" s="40"/>
      <c r="G36" s="41"/>
      <c r="H36" s="42"/>
      <c r="I36" s="82"/>
      <c r="J36" s="93"/>
      <c r="K36" s="94" t="str">
        <f>IFERROR(I36/J36,"")</f>
        <v/>
      </c>
      <c r="L36" s="95"/>
      <c r="M36" s="104"/>
    </row>
    <row r="37" spans="1:13">
      <c r="A37" t="s">
        <v>34</v>
      </c>
      <c r="B37" s="68" t="s">
        <v>35</v>
      </c>
      <c r="C37" s="69"/>
      <c r="D37" s="27">
        <v>236811000</v>
      </c>
      <c r="E37" s="70">
        <v>4228767.8571428573</v>
      </c>
      <c r="F37" s="43"/>
      <c r="G37" s="27"/>
      <c r="H37" s="44"/>
      <c r="I37" s="83">
        <f>SUM(F37:H37)</f>
        <v>0</v>
      </c>
      <c r="J37" s="43">
        <v>0</v>
      </c>
      <c r="K37" s="33" t="str">
        <f>IFERROR(I37/J37,"")</f>
        <v/>
      </c>
      <c r="L37" s="96" t="str">
        <f>IF((I37/D37)=0,"",(I37/D37))</f>
        <v/>
      </c>
      <c r="M37" s="105"/>
    </row>
    <row r="38" spans="1:13">
      <c r="B38" s="71" t="s">
        <v>36</v>
      </c>
      <c r="C38" s="72"/>
      <c r="D38" s="28">
        <v>193611000</v>
      </c>
      <c r="E38" s="73">
        <v>3457339.2857142859</v>
      </c>
      <c r="F38" s="45"/>
      <c r="G38" s="28"/>
      <c r="H38" s="46"/>
      <c r="I38" s="84">
        <f>SUM(F38:H38)</f>
        <v>0</v>
      </c>
      <c r="J38" s="45">
        <v>0</v>
      </c>
      <c r="K38" s="34" t="str">
        <f t="shared" ref="K38:K55" si="7">IFERROR(I38/J38,"")</f>
        <v/>
      </c>
      <c r="L38" s="97" t="str">
        <f t="shared" ref="L38:L54" si="8">IF((I38/D38)=0,"",(I38/D38))</f>
        <v/>
      </c>
      <c r="M38" s="106"/>
    </row>
    <row r="39" spans="1:13">
      <c r="B39" s="71" t="s">
        <v>37</v>
      </c>
      <c r="C39" s="72"/>
      <c r="D39" s="28">
        <v>43200000</v>
      </c>
      <c r="E39" s="73">
        <v>771428.57142857148</v>
      </c>
      <c r="F39" s="45"/>
      <c r="G39" s="28"/>
      <c r="H39" s="46"/>
      <c r="I39" s="84">
        <f t="shared" ref="I39:I40" si="9">SUM(F39:H39)</f>
        <v>0</v>
      </c>
      <c r="J39" s="45">
        <v>0</v>
      </c>
      <c r="K39" s="34" t="str">
        <f t="shared" si="7"/>
        <v/>
      </c>
      <c r="L39" s="97" t="str">
        <f t="shared" si="8"/>
        <v/>
      </c>
      <c r="M39" s="106"/>
    </row>
    <row r="40" spans="1:13">
      <c r="B40" s="68" t="s">
        <v>38</v>
      </c>
      <c r="C40" s="69"/>
      <c r="D40" s="29">
        <v>1123200000</v>
      </c>
      <c r="E40" s="70">
        <v>20057142.857142858</v>
      </c>
      <c r="F40" s="47"/>
      <c r="G40" s="29"/>
      <c r="H40" s="48"/>
      <c r="I40" s="85">
        <f t="shared" si="9"/>
        <v>0</v>
      </c>
      <c r="J40" s="47">
        <v>0</v>
      </c>
      <c r="K40" s="35" t="str">
        <f t="shared" si="7"/>
        <v/>
      </c>
      <c r="L40" s="96" t="str">
        <f t="shared" si="8"/>
        <v/>
      </c>
      <c r="M40" s="105"/>
    </row>
    <row r="41" spans="1:13">
      <c r="B41" s="74" t="s">
        <v>39</v>
      </c>
      <c r="C41" s="24"/>
      <c r="D41" s="30">
        <v>163201320</v>
      </c>
      <c r="E41" s="75">
        <v>2914309.2857142859</v>
      </c>
      <c r="F41" s="49"/>
      <c r="G41" s="30"/>
      <c r="H41" s="50"/>
      <c r="I41" s="86">
        <f>SUM(F41:H41)</f>
        <v>0</v>
      </c>
      <c r="J41" s="49">
        <v>1500000</v>
      </c>
      <c r="K41" s="34">
        <f t="shared" si="7"/>
        <v>0</v>
      </c>
      <c r="L41" s="97" t="str">
        <f t="shared" si="8"/>
        <v/>
      </c>
      <c r="M41" s="106"/>
    </row>
    <row r="42" spans="1:13">
      <c r="B42" s="68" t="s">
        <v>40</v>
      </c>
      <c r="C42" s="69"/>
      <c r="D42" s="29">
        <v>27200220</v>
      </c>
      <c r="E42" s="70">
        <v>485718.21428571426</v>
      </c>
      <c r="F42" s="47"/>
      <c r="G42" s="29"/>
      <c r="H42" s="48"/>
      <c r="I42" s="85">
        <f>SUM(F42:H42)</f>
        <v>0</v>
      </c>
      <c r="J42" s="47">
        <v>2408610</v>
      </c>
      <c r="K42" s="98">
        <f t="shared" si="7"/>
        <v>0</v>
      </c>
      <c r="L42" s="96" t="str">
        <f t="shared" si="8"/>
        <v/>
      </c>
      <c r="M42" s="105"/>
    </row>
    <row r="43" spans="1:13">
      <c r="B43" s="66" t="s">
        <v>41</v>
      </c>
      <c r="C43" s="23"/>
      <c r="D43" s="31">
        <f>D37+D40+D41+D42</f>
        <v>1550412540</v>
      </c>
      <c r="E43" s="52">
        <f>E37+E40+E41+E42</f>
        <v>27685938.214285716</v>
      </c>
      <c r="F43" s="51">
        <f>SUM(F37:F42)</f>
        <v>0</v>
      </c>
      <c r="G43" s="31">
        <f t="shared" ref="G43:I43" si="10">SUM(G37:G42)</f>
        <v>0</v>
      </c>
      <c r="H43" s="52">
        <f t="shared" si="10"/>
        <v>0</v>
      </c>
      <c r="I43" s="87">
        <f t="shared" si="10"/>
        <v>0</v>
      </c>
      <c r="J43" s="51">
        <f>SUM(J37:J42)</f>
        <v>3908610</v>
      </c>
      <c r="K43" s="99">
        <f t="shared" si="7"/>
        <v>0</v>
      </c>
      <c r="L43" s="100" t="str">
        <f t="shared" si="8"/>
        <v/>
      </c>
      <c r="M43" s="104"/>
    </row>
    <row r="44" spans="1:13">
      <c r="B44" s="76" t="s">
        <v>42</v>
      </c>
      <c r="C44" s="24"/>
      <c r="D44" s="32">
        <v>163201320</v>
      </c>
      <c r="E44" s="77">
        <v>2914309.2857142859</v>
      </c>
      <c r="F44" s="53"/>
      <c r="G44" s="32"/>
      <c r="H44" s="54"/>
      <c r="I44" s="88">
        <f>SUM(F44:H44)</f>
        <v>0</v>
      </c>
      <c r="J44" s="53">
        <v>1500000</v>
      </c>
      <c r="K44" s="36">
        <f t="shared" si="7"/>
        <v>0</v>
      </c>
      <c r="L44" s="97" t="str">
        <f t="shared" si="8"/>
        <v/>
      </c>
      <c r="M44" s="106"/>
    </row>
    <row r="45" spans="1:13">
      <c r="B45" s="68" t="s">
        <v>43</v>
      </c>
      <c r="C45" s="69"/>
      <c r="D45" s="29">
        <v>176801430</v>
      </c>
      <c r="E45" s="70">
        <v>3157168.3928571427</v>
      </c>
      <c r="F45" s="47"/>
      <c r="G45" s="29"/>
      <c r="H45" s="48"/>
      <c r="I45" s="85">
        <f>SUM(F45:H45)</f>
        <v>0</v>
      </c>
      <c r="J45" s="47">
        <v>0</v>
      </c>
      <c r="K45" s="35" t="str">
        <f t="shared" si="7"/>
        <v/>
      </c>
      <c r="L45" s="96" t="str">
        <f t="shared" si="8"/>
        <v/>
      </c>
      <c r="M45" s="105"/>
    </row>
    <row r="46" spans="1:13">
      <c r="B46" s="74" t="s">
        <v>44</v>
      </c>
      <c r="C46" s="24"/>
      <c r="D46" s="30">
        <v>31008250.800000001</v>
      </c>
      <c r="E46" s="75">
        <v>553718.76428571425</v>
      </c>
      <c r="F46" s="49"/>
      <c r="G46" s="30"/>
      <c r="H46" s="50"/>
      <c r="I46" s="86">
        <f>SUM(F46:H46)</f>
        <v>0</v>
      </c>
      <c r="J46" s="49">
        <v>0</v>
      </c>
      <c r="K46" s="36" t="str">
        <f t="shared" si="7"/>
        <v/>
      </c>
      <c r="L46" s="97" t="str">
        <f t="shared" si="8"/>
        <v/>
      </c>
      <c r="M46" s="106"/>
    </row>
    <row r="47" spans="1:13">
      <c r="B47" s="68" t="s">
        <v>45</v>
      </c>
      <c r="C47" s="69"/>
      <c r="D47" s="29">
        <v>40800330</v>
      </c>
      <c r="E47" s="70">
        <v>728577.32142857148</v>
      </c>
      <c r="F47" s="47"/>
      <c r="G47" s="29"/>
      <c r="H47" s="48">
        <v>421734.38</v>
      </c>
      <c r="I47" s="85">
        <f>SUM(F47:H47)</f>
        <v>421734.38</v>
      </c>
      <c r="J47" s="47">
        <v>5500000</v>
      </c>
      <c r="K47" s="35">
        <f>IFERROR(I47/J47,"")</f>
        <v>7.667897818181818E-2</v>
      </c>
      <c r="L47" s="96">
        <f t="shared" si="8"/>
        <v>1.0336543356389519E-2</v>
      </c>
      <c r="M47" s="105"/>
    </row>
    <row r="48" spans="1:13">
      <c r="B48" s="74" t="s">
        <v>46</v>
      </c>
      <c r="C48" s="24"/>
      <c r="D48" s="32">
        <v>15504125.4</v>
      </c>
      <c r="E48" s="77">
        <v>276859.38214285712</v>
      </c>
      <c r="F48" s="53"/>
      <c r="G48" s="32"/>
      <c r="H48" s="54"/>
      <c r="I48" s="88">
        <f>SUM(F48:H48)</f>
        <v>0</v>
      </c>
      <c r="J48" s="53">
        <v>0</v>
      </c>
      <c r="K48" s="36" t="str">
        <f t="shared" si="7"/>
        <v/>
      </c>
      <c r="L48" s="97" t="str">
        <f t="shared" si="8"/>
        <v/>
      </c>
      <c r="M48" s="106"/>
    </row>
    <row r="49" spans="2:13">
      <c r="B49" s="66" t="s">
        <v>47</v>
      </c>
      <c r="C49" s="23"/>
      <c r="D49" s="31">
        <f>SUM(D44:D48)</f>
        <v>427315456.19999999</v>
      </c>
      <c r="E49" s="52">
        <f>SUM(E44:E48)</f>
        <v>7630633.146428572</v>
      </c>
      <c r="F49" s="51">
        <f>SUM(F44:F48)</f>
        <v>0</v>
      </c>
      <c r="G49" s="31">
        <f t="shared" ref="G49:H49" si="11">SUM(G44:G48)</f>
        <v>0</v>
      </c>
      <c r="H49" s="52">
        <f t="shared" si="11"/>
        <v>421734.38</v>
      </c>
      <c r="I49" s="87">
        <f>SUM(I44:I48)</f>
        <v>421734.38</v>
      </c>
      <c r="J49" s="51">
        <f>SUM(J44:J48)</f>
        <v>7000000</v>
      </c>
      <c r="K49" s="99">
        <f t="shared" si="7"/>
        <v>6.0247768571428571E-2</v>
      </c>
      <c r="L49" s="100">
        <f t="shared" si="8"/>
        <v>9.869392128952438E-4</v>
      </c>
      <c r="M49" s="104"/>
    </row>
    <row r="50" spans="2:13">
      <c r="B50" s="76" t="s">
        <v>48</v>
      </c>
      <c r="C50" s="24"/>
      <c r="D50" s="32">
        <v>10500000</v>
      </c>
      <c r="E50" s="77">
        <v>187500</v>
      </c>
      <c r="F50" s="53">
        <v>694084.83</v>
      </c>
      <c r="G50" s="32"/>
      <c r="H50" s="54"/>
      <c r="I50" s="88">
        <f>SUM(F50:H50)</f>
        <v>694084.83</v>
      </c>
      <c r="J50" s="53">
        <v>2500000</v>
      </c>
      <c r="K50" s="36">
        <f>IFERROR(I50/J50,"")</f>
        <v>0.27763393199999997</v>
      </c>
      <c r="L50" s="97">
        <f t="shared" si="8"/>
        <v>6.6103317142857138E-2</v>
      </c>
      <c r="M50" s="106"/>
    </row>
    <row r="51" spans="2:13">
      <c r="B51" s="68" t="s">
        <v>49</v>
      </c>
      <c r="C51" s="69"/>
      <c r="D51" s="29">
        <v>16200000</v>
      </c>
      <c r="E51" s="70">
        <v>289285.71428571426</v>
      </c>
      <c r="F51" s="47">
        <v>1269778.8</v>
      </c>
      <c r="G51" s="29">
        <v>2019760</v>
      </c>
      <c r="H51" s="48">
        <v>1858331.12</v>
      </c>
      <c r="I51" s="85">
        <f>SUM(F51:H51)</f>
        <v>5147869.92</v>
      </c>
      <c r="J51" s="47">
        <v>9856000</v>
      </c>
      <c r="K51" s="35">
        <f t="shared" si="7"/>
        <v>0.5223082305194805</v>
      </c>
      <c r="L51" s="96">
        <f>IF((I51/D51)=0,"",(I51/D51))</f>
        <v>0.31776974814814812</v>
      </c>
      <c r="M51" s="105"/>
    </row>
    <row r="52" spans="2:13">
      <c r="B52" s="74" t="s">
        <v>50</v>
      </c>
      <c r="C52" s="24"/>
      <c r="D52" s="32">
        <v>124033003.2</v>
      </c>
      <c r="E52" s="77">
        <v>2214875.057142857</v>
      </c>
      <c r="F52" s="53"/>
      <c r="G52" s="32"/>
      <c r="H52" s="54"/>
      <c r="I52" s="88">
        <f>SUM(F52:H52)</f>
        <v>0</v>
      </c>
      <c r="J52" s="53">
        <v>0</v>
      </c>
      <c r="K52" s="36" t="str">
        <f t="shared" si="7"/>
        <v/>
      </c>
      <c r="L52" s="97" t="str">
        <f t="shared" si="8"/>
        <v/>
      </c>
      <c r="M52" s="106"/>
    </row>
    <row r="53" spans="2:13">
      <c r="B53" s="68" t="s">
        <v>51</v>
      </c>
      <c r="C53" s="69"/>
      <c r="D53" s="29">
        <v>15504125.4</v>
      </c>
      <c r="E53" s="70">
        <v>276859.38214285712</v>
      </c>
      <c r="F53" s="47"/>
      <c r="G53" s="29"/>
      <c r="H53" s="48"/>
      <c r="I53" s="85">
        <f>SUM(F53:H53)</f>
        <v>0</v>
      </c>
      <c r="J53" s="47">
        <v>0</v>
      </c>
      <c r="K53" s="35" t="str">
        <f t="shared" si="7"/>
        <v/>
      </c>
      <c r="L53" s="96" t="str">
        <f t="shared" si="8"/>
        <v/>
      </c>
      <c r="M53" s="105"/>
    </row>
    <row r="54" spans="2:13">
      <c r="B54" s="66" t="s">
        <v>52</v>
      </c>
      <c r="C54" s="23"/>
      <c r="D54" s="31">
        <f>SUM(D50:D53)</f>
        <v>166237128.59999999</v>
      </c>
      <c r="E54" s="52">
        <f>SUM(E50:E53)</f>
        <v>2968520.1535714283</v>
      </c>
      <c r="F54" s="55">
        <f>SUM(F50:F53)</f>
        <v>1963863.63</v>
      </c>
      <c r="G54" s="56">
        <f t="shared" ref="G54:J54" si="12">SUM(G50:G53)</f>
        <v>2019760</v>
      </c>
      <c r="H54" s="57">
        <f t="shared" si="12"/>
        <v>1858331.12</v>
      </c>
      <c r="I54" s="89">
        <f t="shared" si="12"/>
        <v>5841954.75</v>
      </c>
      <c r="J54" s="55">
        <f t="shared" si="12"/>
        <v>12356000</v>
      </c>
      <c r="K54" s="99">
        <f>IFERROR(I54/J54,"")</f>
        <v>0.47280307138232436</v>
      </c>
      <c r="L54" s="100">
        <f t="shared" si="8"/>
        <v>3.5142298229037146E-2</v>
      </c>
      <c r="M54" s="104"/>
    </row>
    <row r="55" spans="2:13" ht="18.600000000000001" thickBot="1">
      <c r="B55" s="78" t="s">
        <v>53</v>
      </c>
      <c r="C55" s="79"/>
      <c r="D55" s="80">
        <f>D54+D49+D43+D36</f>
        <v>2242093420.8000002</v>
      </c>
      <c r="E55" s="81">
        <f>E54+E49+E43+E36</f>
        <v>40037382.514285713</v>
      </c>
      <c r="F55" s="58">
        <f>F54+F49+F43+F36</f>
        <v>1963863.63</v>
      </c>
      <c r="G55" s="59">
        <f t="shared" ref="G55:H55" si="13">G54+G49+G43+G36</f>
        <v>2019760</v>
      </c>
      <c r="H55" s="60">
        <f t="shared" si="13"/>
        <v>2280065.5</v>
      </c>
      <c r="I55" s="90">
        <f>I54+I49+I43+I36</f>
        <v>6263689.1299999999</v>
      </c>
      <c r="J55" s="101">
        <f>J54+J49+J43+J36</f>
        <v>23264610</v>
      </c>
      <c r="K55" s="102">
        <f t="shared" si="7"/>
        <v>0.26923679915545545</v>
      </c>
      <c r="L55" s="103">
        <f>IF((I55/D55)=0,"",(I55/D55))</f>
        <v>2.7936789216236389E-3</v>
      </c>
      <c r="M55" s="107"/>
    </row>
    <row r="56" spans="2:13">
      <c r="J56" s="108">
        <f>I55-J55</f>
        <v>-17000920.870000001</v>
      </c>
    </row>
  </sheetData>
  <mergeCells count="10">
    <mergeCell ref="C3:C14"/>
    <mergeCell ref="O3:P3"/>
    <mergeCell ref="O4:P6"/>
    <mergeCell ref="O10:P12"/>
    <mergeCell ref="L34:L35"/>
    <mergeCell ref="M34:M35"/>
    <mergeCell ref="C17:C29"/>
    <mergeCell ref="F34:H34"/>
    <mergeCell ref="J34:J35"/>
    <mergeCell ref="I34:I35"/>
  </mergeCells>
  <phoneticPr fontId="3" type="noConversion"/>
  <conditionalFormatting sqref="M37:M40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M42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M45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M47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M51">
    <cfRule type="iconSet" priority="2">
      <iconSet iconSet="3Arrows">
        <cfvo type="percent" val="0"/>
        <cfvo type="percent" val="45"/>
        <cfvo type="percent" val="80"/>
      </iconSet>
    </cfRule>
  </conditionalFormatting>
  <conditionalFormatting sqref="M53">
    <cfRule type="iconSet" priority="1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ignoredErrors>
    <ignoredError sqref="I37:I42 I50 I44:I48 I51:I53" formulaRange="1"/>
    <ignoredError sqref="I43 I49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6329A-F6FD-4786-8F60-DC1B6CD11EF3}">
  <sheetPr>
    <tabColor rgb="FFFF0000"/>
  </sheetPr>
  <dimension ref="A1:L58"/>
  <sheetViews>
    <sheetView topLeftCell="F49" zoomScale="93" workbookViewId="0">
      <selection activeCell="F15" sqref="F15"/>
    </sheetView>
  </sheetViews>
  <sheetFormatPr baseColWidth="10" defaultColWidth="11.44140625" defaultRowHeight="14.4"/>
  <cols>
    <col min="1" max="1" width="17.109375" bestFit="1" customWidth="1"/>
    <col min="2" max="2" width="35.44140625" bestFit="1" customWidth="1"/>
    <col min="3" max="3" width="43.88671875" bestFit="1" customWidth="1"/>
    <col min="4" max="4" width="21.44140625" bestFit="1" customWidth="1"/>
    <col min="5" max="5" width="16.44140625" bestFit="1" customWidth="1"/>
    <col min="6" max="6" width="27.5546875" bestFit="1" customWidth="1"/>
    <col min="7" max="7" width="28.5546875" bestFit="1" customWidth="1"/>
    <col min="8" max="8" width="31.88671875" bestFit="1" customWidth="1"/>
    <col min="9" max="9" width="26.109375" bestFit="1" customWidth="1"/>
    <col min="10" max="10" width="29.5546875" bestFit="1" customWidth="1"/>
    <col min="11" max="11" width="42.44140625" bestFit="1" customWidth="1"/>
  </cols>
  <sheetData>
    <row r="1" spans="1:11">
      <c r="A1" t="s">
        <v>54</v>
      </c>
      <c r="B1" t="s">
        <v>55</v>
      </c>
      <c r="C1" t="s">
        <v>55</v>
      </c>
      <c r="D1" t="s">
        <v>56</v>
      </c>
      <c r="E1" t="s">
        <v>57</v>
      </c>
      <c r="F1" t="s">
        <v>58</v>
      </c>
      <c r="G1" s="109" t="s">
        <v>59</v>
      </c>
      <c r="H1" t="s">
        <v>60</v>
      </c>
      <c r="I1" t="s">
        <v>61</v>
      </c>
      <c r="J1" t="s">
        <v>62</v>
      </c>
      <c r="K1" t="s">
        <v>63</v>
      </c>
    </row>
    <row r="2" spans="1:11">
      <c r="A2" s="110" t="s">
        <v>64</v>
      </c>
      <c r="B2" s="110" t="s">
        <v>65</v>
      </c>
      <c r="C2" s="110" t="s">
        <v>66</v>
      </c>
      <c r="D2" s="111">
        <v>7172000.2599999998</v>
      </c>
      <c r="E2" s="109">
        <v>0</v>
      </c>
      <c r="F2" s="109">
        <v>0</v>
      </c>
      <c r="G2" s="109">
        <v>0</v>
      </c>
      <c r="H2" s="109">
        <v>7172000.2599999998</v>
      </c>
      <c r="I2" s="109">
        <v>7172000.2599999998</v>
      </c>
      <c r="J2" s="109">
        <v>7172000.2599999998</v>
      </c>
      <c r="K2" s="109">
        <v>0</v>
      </c>
    </row>
    <row r="3" spans="1:11">
      <c r="A3" s="110" t="s">
        <v>64</v>
      </c>
      <c r="B3" s="110" t="s">
        <v>65</v>
      </c>
      <c r="C3" s="110" t="s">
        <v>67</v>
      </c>
      <c r="D3" s="111">
        <v>96213168.739999995</v>
      </c>
      <c r="E3" s="109">
        <v>96213168.739999995</v>
      </c>
      <c r="F3" s="109">
        <v>96213168.739999995</v>
      </c>
      <c r="G3" s="109">
        <v>96213168.739999995</v>
      </c>
      <c r="H3" s="109">
        <v>96213168.739999995</v>
      </c>
      <c r="I3" s="109">
        <v>0</v>
      </c>
      <c r="J3" s="109">
        <v>96213168.739999995</v>
      </c>
      <c r="K3" s="109">
        <v>0</v>
      </c>
    </row>
    <row r="4" spans="1:11">
      <c r="A4" s="110" t="s">
        <v>64</v>
      </c>
      <c r="B4" s="110" t="s">
        <v>68</v>
      </c>
      <c r="C4" s="110" t="s">
        <v>69</v>
      </c>
      <c r="D4" s="111">
        <v>-1132808.6200000001</v>
      </c>
      <c r="E4" s="109">
        <v>0</v>
      </c>
      <c r="F4" s="109">
        <v>0</v>
      </c>
      <c r="G4" s="109">
        <v>0</v>
      </c>
      <c r="H4" s="109">
        <v>-1132808.6200000001</v>
      </c>
      <c r="I4" s="109">
        <v>0</v>
      </c>
      <c r="J4" s="109">
        <v>0</v>
      </c>
      <c r="K4" s="109">
        <v>-1132808.6200000001</v>
      </c>
    </row>
    <row r="5" spans="1:11">
      <c r="A5" s="110" t="s">
        <v>64</v>
      </c>
      <c r="B5" s="110" t="s">
        <v>68</v>
      </c>
      <c r="C5" s="110" t="s">
        <v>70</v>
      </c>
      <c r="D5" s="111">
        <v>5641221.5099999998</v>
      </c>
      <c r="E5" s="109">
        <v>5641221.5099999998</v>
      </c>
      <c r="F5" s="109">
        <v>0</v>
      </c>
      <c r="G5" s="109">
        <v>5641221.5099999998</v>
      </c>
      <c r="H5" s="109">
        <v>5641221.5099999998</v>
      </c>
      <c r="I5" s="109">
        <v>0</v>
      </c>
      <c r="J5" s="109">
        <v>5641221.5099999998</v>
      </c>
      <c r="K5" s="109">
        <v>0</v>
      </c>
    </row>
    <row r="6" spans="1:11">
      <c r="A6" s="110" t="s">
        <v>64</v>
      </c>
      <c r="B6" s="110" t="s">
        <v>68</v>
      </c>
      <c r="C6" s="110" t="s">
        <v>71</v>
      </c>
      <c r="D6" s="111">
        <v>8804294.5700000003</v>
      </c>
      <c r="E6" s="109">
        <v>8604294.5700000003</v>
      </c>
      <c r="F6" s="109">
        <v>10000</v>
      </c>
      <c r="G6" s="109">
        <v>8604294.5700000003</v>
      </c>
      <c r="H6" s="109">
        <v>8804294.5700000003</v>
      </c>
      <c r="I6" s="109">
        <v>200000</v>
      </c>
      <c r="J6" s="109">
        <v>8804294.5700000003</v>
      </c>
      <c r="K6" s="109">
        <v>0</v>
      </c>
    </row>
    <row r="7" spans="1:11">
      <c r="A7" s="110" t="s">
        <v>64</v>
      </c>
      <c r="B7" s="110" t="s">
        <v>68</v>
      </c>
      <c r="C7" s="110" t="s">
        <v>72</v>
      </c>
      <c r="D7" s="111">
        <v>5954647.5899999999</v>
      </c>
      <c r="E7" s="109">
        <v>5932855.3499999996</v>
      </c>
      <c r="F7" s="109">
        <v>0</v>
      </c>
      <c r="G7" s="109">
        <v>5932855.3499999996</v>
      </c>
      <c r="H7" s="109">
        <v>5954647.5899999999</v>
      </c>
      <c r="I7" s="109">
        <v>21792.240000000002</v>
      </c>
      <c r="J7" s="109">
        <v>5954647.5899999999</v>
      </c>
      <c r="K7" s="109">
        <v>0</v>
      </c>
    </row>
    <row r="8" spans="1:11">
      <c r="A8" s="110" t="s">
        <v>64</v>
      </c>
      <c r="B8" s="110" t="s">
        <v>68</v>
      </c>
      <c r="C8" s="110" t="s">
        <v>73</v>
      </c>
      <c r="D8" s="111">
        <v>367644.95</v>
      </c>
      <c r="E8" s="109">
        <v>367644.95</v>
      </c>
      <c r="F8" s="109">
        <v>0</v>
      </c>
      <c r="G8" s="109">
        <v>367644.95</v>
      </c>
      <c r="H8" s="109">
        <v>367644.95</v>
      </c>
      <c r="I8" s="109">
        <v>0</v>
      </c>
      <c r="J8" s="109">
        <v>367644.95</v>
      </c>
      <c r="K8" s="109">
        <v>0</v>
      </c>
    </row>
    <row r="9" spans="1:11">
      <c r="A9" s="110" t="s">
        <v>64</v>
      </c>
      <c r="B9" s="110" t="s">
        <v>74</v>
      </c>
      <c r="C9" s="110" t="s">
        <v>75</v>
      </c>
      <c r="D9" s="111">
        <v>2608628.29</v>
      </c>
      <c r="E9" s="109">
        <v>0</v>
      </c>
      <c r="F9" s="109">
        <v>0</v>
      </c>
      <c r="G9" s="109">
        <v>0</v>
      </c>
      <c r="H9" s="109">
        <v>2608628.29</v>
      </c>
      <c r="I9" s="109">
        <v>2608628.29</v>
      </c>
      <c r="J9" s="109">
        <v>2608628.29</v>
      </c>
      <c r="K9" s="109">
        <v>0</v>
      </c>
    </row>
    <row r="10" spans="1:11">
      <c r="A10" s="110" t="s">
        <v>64</v>
      </c>
      <c r="B10" s="110" t="s">
        <v>74</v>
      </c>
      <c r="C10" s="110" t="s">
        <v>76</v>
      </c>
      <c r="D10" s="111">
        <v>1897166.01</v>
      </c>
      <c r="E10" s="109">
        <v>1897166.01</v>
      </c>
      <c r="F10" s="109">
        <v>0</v>
      </c>
      <c r="G10" s="109">
        <v>1897166.01</v>
      </c>
      <c r="H10" s="109">
        <v>1897166.01</v>
      </c>
      <c r="I10" s="109">
        <v>0</v>
      </c>
      <c r="J10" s="109">
        <v>1897166.01</v>
      </c>
      <c r="K10" s="109">
        <v>0</v>
      </c>
    </row>
    <row r="11" spans="1:11">
      <c r="A11" s="110" t="s">
        <v>64</v>
      </c>
      <c r="B11" s="110" t="s">
        <v>74</v>
      </c>
      <c r="C11" s="110" t="s">
        <v>77</v>
      </c>
      <c r="D11" s="111">
        <v>7141348.9900000002</v>
      </c>
      <c r="E11" s="137">
        <v>7141348.9900000002</v>
      </c>
      <c r="F11" s="109">
        <v>0</v>
      </c>
      <c r="G11" s="109">
        <v>7141348.9900000002</v>
      </c>
      <c r="H11" s="109">
        <v>7141348.9900000002</v>
      </c>
      <c r="I11" s="109">
        <v>0</v>
      </c>
      <c r="J11" s="109">
        <v>7141348.9900000002</v>
      </c>
      <c r="K11" s="109">
        <v>0</v>
      </c>
    </row>
    <row r="12" spans="1:11">
      <c r="A12" s="110" t="s">
        <v>64</v>
      </c>
      <c r="B12" s="110" t="s">
        <v>78</v>
      </c>
      <c r="C12" s="110" t="s">
        <v>79</v>
      </c>
      <c r="D12" s="111">
        <v>11803486.949999999</v>
      </c>
      <c r="E12" s="109">
        <v>0</v>
      </c>
      <c r="F12" s="109">
        <v>0</v>
      </c>
      <c r="G12" s="109">
        <v>0</v>
      </c>
      <c r="H12" s="109">
        <v>11803486.949999999</v>
      </c>
      <c r="I12" s="109">
        <v>11803486.949999999</v>
      </c>
      <c r="J12" s="109">
        <v>11803486.949999999</v>
      </c>
      <c r="K12" s="109">
        <v>0</v>
      </c>
    </row>
    <row r="13" spans="1:11">
      <c r="A13" s="110" t="s">
        <v>64</v>
      </c>
      <c r="B13" s="110" t="s">
        <v>78</v>
      </c>
      <c r="C13" s="110" t="s">
        <v>80</v>
      </c>
      <c r="D13" s="111">
        <v>54584719.920000002</v>
      </c>
      <c r="E13" s="109">
        <v>0</v>
      </c>
      <c r="F13" s="109">
        <v>0</v>
      </c>
      <c r="G13" s="109">
        <v>0</v>
      </c>
      <c r="H13" s="109">
        <v>54584719.920000002</v>
      </c>
      <c r="I13" s="109">
        <v>54584719.920000002</v>
      </c>
      <c r="J13" s="109">
        <v>54584719.920000002</v>
      </c>
      <c r="K13" s="109">
        <v>0</v>
      </c>
    </row>
    <row r="14" spans="1:11">
      <c r="A14" s="110" t="s">
        <v>64</v>
      </c>
      <c r="B14" s="110" t="s">
        <v>78</v>
      </c>
      <c r="C14" s="110" t="s">
        <v>81</v>
      </c>
      <c r="D14" s="111">
        <v>56232240.789999999</v>
      </c>
      <c r="E14" s="109">
        <v>0</v>
      </c>
      <c r="F14" s="109">
        <v>0</v>
      </c>
      <c r="G14" s="109">
        <v>0</v>
      </c>
      <c r="H14" s="109">
        <v>56232240.789999999</v>
      </c>
      <c r="I14" s="109">
        <v>56232240.789999999</v>
      </c>
      <c r="J14" s="109">
        <v>56232240.789999999</v>
      </c>
      <c r="K14" s="109">
        <v>0</v>
      </c>
    </row>
    <row r="15" spans="1:11">
      <c r="A15" s="110" t="s">
        <v>64</v>
      </c>
      <c r="B15" s="110" t="s">
        <v>78</v>
      </c>
      <c r="C15" s="110" t="s">
        <v>82</v>
      </c>
      <c r="D15" s="111">
        <v>35679322.68</v>
      </c>
      <c r="E15" s="109">
        <v>0</v>
      </c>
      <c r="F15" s="109">
        <v>0</v>
      </c>
      <c r="G15" s="109">
        <v>0</v>
      </c>
      <c r="H15" s="109">
        <v>35679322.68</v>
      </c>
      <c r="I15" s="109">
        <v>35679322.68</v>
      </c>
      <c r="J15" s="109">
        <v>35679322.68</v>
      </c>
      <c r="K15" s="109">
        <v>0</v>
      </c>
    </row>
    <row r="16" spans="1:11">
      <c r="A16" s="110" t="s">
        <v>64</v>
      </c>
      <c r="B16" s="110" t="s">
        <v>78</v>
      </c>
      <c r="C16" s="110" t="s">
        <v>83</v>
      </c>
      <c r="D16" s="111">
        <v>135138026.36000001</v>
      </c>
      <c r="E16" s="109">
        <v>0</v>
      </c>
      <c r="F16" s="109">
        <v>0</v>
      </c>
      <c r="G16" s="109">
        <v>0</v>
      </c>
      <c r="H16" s="109">
        <v>135138026.36000001</v>
      </c>
      <c r="I16" s="109">
        <v>135138026.36000001</v>
      </c>
      <c r="J16" s="109">
        <v>135138026.36000001</v>
      </c>
      <c r="K16" s="109">
        <v>0</v>
      </c>
    </row>
    <row r="17" spans="1:11">
      <c r="A17" s="110" t="s">
        <v>64</v>
      </c>
      <c r="B17" s="110" t="s">
        <v>78</v>
      </c>
      <c r="C17" s="110" t="s">
        <v>84</v>
      </c>
      <c r="D17" s="111">
        <v>8535640.8900000006</v>
      </c>
      <c r="E17" s="109">
        <v>0</v>
      </c>
      <c r="F17" s="109">
        <v>0</v>
      </c>
      <c r="G17" s="109">
        <v>0</v>
      </c>
      <c r="H17" s="109">
        <v>8535640.8900000006</v>
      </c>
      <c r="I17" s="109">
        <v>8535640.8900000006</v>
      </c>
      <c r="J17" s="109">
        <v>8535640.8900000006</v>
      </c>
      <c r="K17" s="109">
        <v>0</v>
      </c>
    </row>
    <row r="18" spans="1:11">
      <c r="A18" s="110" t="s">
        <v>64</v>
      </c>
      <c r="B18" s="110" t="s">
        <v>78</v>
      </c>
      <c r="C18" s="110" t="s">
        <v>85</v>
      </c>
      <c r="D18" s="111">
        <v>14797543.15</v>
      </c>
      <c r="E18" s="109">
        <v>0</v>
      </c>
      <c r="F18" s="109">
        <v>0</v>
      </c>
      <c r="G18" s="109">
        <v>0</v>
      </c>
      <c r="H18" s="109">
        <v>14797543.15</v>
      </c>
      <c r="I18" s="109">
        <v>14797543.15</v>
      </c>
      <c r="J18" s="109">
        <v>14797543.15</v>
      </c>
      <c r="K18" s="109">
        <v>0</v>
      </c>
    </row>
    <row r="19" spans="1:11">
      <c r="A19" s="110" t="s">
        <v>64</v>
      </c>
      <c r="B19" s="110" t="s">
        <v>78</v>
      </c>
      <c r="C19" s="110" t="s">
        <v>86</v>
      </c>
      <c r="D19" s="111">
        <v>62873368.450000003</v>
      </c>
      <c r="E19" s="109">
        <v>0</v>
      </c>
      <c r="F19" s="109">
        <v>0</v>
      </c>
      <c r="G19" s="109">
        <v>0</v>
      </c>
      <c r="H19" s="109">
        <v>62873368.450000003</v>
      </c>
      <c r="I19" s="109">
        <v>62873368.450000003</v>
      </c>
      <c r="J19" s="109">
        <v>62873368.450000003</v>
      </c>
      <c r="K19" s="109">
        <v>0</v>
      </c>
    </row>
    <row r="20" spans="1:11">
      <c r="A20" s="110" t="s">
        <v>64</v>
      </c>
      <c r="B20" s="110" t="s">
        <v>78</v>
      </c>
      <c r="C20" s="110" t="s">
        <v>87</v>
      </c>
      <c r="D20" s="111">
        <v>26736231.68</v>
      </c>
      <c r="E20" s="109">
        <v>0</v>
      </c>
      <c r="F20" s="109">
        <v>0</v>
      </c>
      <c r="G20" s="109">
        <v>0</v>
      </c>
      <c r="H20" s="109">
        <v>26736231.68</v>
      </c>
      <c r="I20" s="109">
        <v>26736231.68</v>
      </c>
      <c r="J20" s="109">
        <v>26736231.68</v>
      </c>
      <c r="K20" s="109">
        <v>0</v>
      </c>
    </row>
    <row r="21" spans="1:11">
      <c r="A21" s="110" t="s">
        <v>64</v>
      </c>
      <c r="B21" s="110" t="s">
        <v>78</v>
      </c>
      <c r="C21" s="110" t="s">
        <v>88</v>
      </c>
      <c r="D21" s="111">
        <v>27763645.809999999</v>
      </c>
      <c r="E21" s="109">
        <v>0</v>
      </c>
      <c r="F21" s="109">
        <v>0</v>
      </c>
      <c r="G21" s="109">
        <v>0</v>
      </c>
      <c r="H21" s="109">
        <v>27763645.809999999</v>
      </c>
      <c r="I21" s="109">
        <v>27763645.809999999</v>
      </c>
      <c r="J21" s="109">
        <v>27763645.809999999</v>
      </c>
      <c r="K21" s="109">
        <v>0</v>
      </c>
    </row>
    <row r="22" spans="1:11">
      <c r="A22" s="110" t="s">
        <v>64</v>
      </c>
      <c r="B22" s="110" t="s">
        <v>78</v>
      </c>
      <c r="C22" s="110" t="s">
        <v>89</v>
      </c>
      <c r="D22" s="111">
        <v>5957690.0300000003</v>
      </c>
      <c r="E22" s="109">
        <v>0</v>
      </c>
      <c r="F22" s="109">
        <v>0</v>
      </c>
      <c r="G22" s="109">
        <v>0</v>
      </c>
      <c r="H22" s="109">
        <v>5957690.0300000003</v>
      </c>
      <c r="I22" s="109">
        <v>5957690.0300000003</v>
      </c>
      <c r="J22" s="109">
        <v>5957690.0300000003</v>
      </c>
      <c r="K22" s="109">
        <v>0</v>
      </c>
    </row>
    <row r="23" spans="1:11">
      <c r="A23" s="110" t="s">
        <v>64</v>
      </c>
      <c r="B23" s="110" t="s">
        <v>90</v>
      </c>
      <c r="C23" s="110" t="s">
        <v>91</v>
      </c>
      <c r="D23" s="111">
        <v>7612584.9800000004</v>
      </c>
      <c r="E23" s="109">
        <v>0</v>
      </c>
      <c r="F23" s="109">
        <v>0</v>
      </c>
      <c r="G23" s="109">
        <v>0</v>
      </c>
      <c r="H23" s="109">
        <v>7612584.9800000004</v>
      </c>
      <c r="I23" s="109">
        <v>7612584.9800000004</v>
      </c>
      <c r="J23" s="109">
        <v>7612584.9800000004</v>
      </c>
      <c r="K23" s="109">
        <v>0</v>
      </c>
    </row>
    <row r="24" spans="1:11">
      <c r="A24" s="110" t="s">
        <v>64</v>
      </c>
      <c r="B24" s="110" t="s">
        <v>90</v>
      </c>
      <c r="C24" s="110" t="s">
        <v>92</v>
      </c>
      <c r="D24" s="111">
        <v>85437791.670000002</v>
      </c>
      <c r="E24" s="109">
        <v>0</v>
      </c>
      <c r="F24" s="109">
        <v>0</v>
      </c>
      <c r="G24" s="109">
        <v>0</v>
      </c>
      <c r="H24" s="109">
        <v>85437791.670000002</v>
      </c>
      <c r="I24" s="109">
        <v>85437791.670000002</v>
      </c>
      <c r="J24" s="109">
        <v>85437791.670000002</v>
      </c>
      <c r="K24" s="109">
        <v>0</v>
      </c>
    </row>
    <row r="25" spans="1:11">
      <c r="A25" s="110" t="s">
        <v>64</v>
      </c>
      <c r="B25" s="110" t="s">
        <v>90</v>
      </c>
      <c r="C25" s="110" t="s">
        <v>93</v>
      </c>
      <c r="D25" s="111">
        <v>283042948.64999998</v>
      </c>
      <c r="E25" s="109">
        <v>0</v>
      </c>
      <c r="F25" s="109">
        <v>0</v>
      </c>
      <c r="G25" s="109">
        <v>0</v>
      </c>
      <c r="H25" s="109">
        <v>283042948.64999998</v>
      </c>
      <c r="I25" s="109">
        <v>283042948.64999998</v>
      </c>
      <c r="J25" s="109">
        <v>283042948.64999998</v>
      </c>
      <c r="K25" s="109">
        <v>0</v>
      </c>
    </row>
    <row r="26" spans="1:11">
      <c r="A26" s="110" t="s">
        <v>64</v>
      </c>
      <c r="B26" s="110" t="s">
        <v>90</v>
      </c>
      <c r="C26" s="110" t="s">
        <v>94</v>
      </c>
      <c r="D26" s="111">
        <v>60439199.590000004</v>
      </c>
      <c r="E26" s="109">
        <v>0</v>
      </c>
      <c r="F26" s="109">
        <v>0</v>
      </c>
      <c r="G26" s="109">
        <v>0</v>
      </c>
      <c r="H26" s="109">
        <v>60439199.590000004</v>
      </c>
      <c r="I26" s="109">
        <v>60439199.590000004</v>
      </c>
      <c r="J26" s="109">
        <v>60439199.590000004</v>
      </c>
      <c r="K26" s="109">
        <v>0</v>
      </c>
    </row>
    <row r="27" spans="1:11">
      <c r="A27" s="110" t="s">
        <v>64</v>
      </c>
      <c r="B27" s="110" t="s">
        <v>90</v>
      </c>
      <c r="C27" s="110" t="s">
        <v>95</v>
      </c>
      <c r="D27" s="111">
        <v>8446912.3200000003</v>
      </c>
      <c r="E27" s="109">
        <v>0</v>
      </c>
      <c r="F27" s="109">
        <v>0</v>
      </c>
      <c r="G27" s="109">
        <v>0</v>
      </c>
      <c r="H27" s="109">
        <v>8446912.3200000003</v>
      </c>
      <c r="I27" s="109">
        <v>8446912.3200000003</v>
      </c>
      <c r="J27" s="109">
        <v>8446912.3200000003</v>
      </c>
      <c r="K27" s="109">
        <v>0</v>
      </c>
    </row>
    <row r="28" spans="1:11">
      <c r="A28" s="110" t="s">
        <v>64</v>
      </c>
      <c r="B28" s="110" t="s">
        <v>90</v>
      </c>
      <c r="C28" s="110" t="s">
        <v>96</v>
      </c>
      <c r="D28" s="111">
        <v>101007491.2</v>
      </c>
      <c r="E28" s="109">
        <v>0</v>
      </c>
      <c r="F28" s="109">
        <v>0</v>
      </c>
      <c r="G28" s="109">
        <v>0</v>
      </c>
      <c r="H28" s="109">
        <v>101007491.2</v>
      </c>
      <c r="I28" s="109">
        <v>101007491.2</v>
      </c>
      <c r="J28" s="109">
        <v>101007491.2</v>
      </c>
      <c r="K28" s="109">
        <v>0</v>
      </c>
    </row>
    <row r="29" spans="1:11">
      <c r="A29" s="110" t="s">
        <v>64</v>
      </c>
      <c r="B29" s="110" t="s">
        <v>90</v>
      </c>
      <c r="C29" s="110" t="s">
        <v>97</v>
      </c>
      <c r="D29" s="111">
        <v>455797.65</v>
      </c>
      <c r="E29" s="109">
        <v>0</v>
      </c>
      <c r="F29" s="109">
        <v>0</v>
      </c>
      <c r="G29" s="109">
        <v>0</v>
      </c>
      <c r="H29" s="109">
        <v>455797.65</v>
      </c>
      <c r="I29" s="109">
        <v>455797.65</v>
      </c>
      <c r="J29" s="109">
        <v>455797.65</v>
      </c>
      <c r="K29" s="109">
        <v>0</v>
      </c>
    </row>
    <row r="30" spans="1:11">
      <c r="A30" s="110" t="s">
        <v>64</v>
      </c>
      <c r="B30" s="110" t="s">
        <v>90</v>
      </c>
      <c r="C30" s="110" t="s">
        <v>98</v>
      </c>
      <c r="D30" s="111">
        <v>79619985.829999998</v>
      </c>
      <c r="E30" s="109">
        <v>0</v>
      </c>
      <c r="F30" s="109">
        <v>0</v>
      </c>
      <c r="G30" s="109">
        <v>0</v>
      </c>
      <c r="H30" s="109">
        <v>79619985.829999998</v>
      </c>
      <c r="I30" s="109">
        <v>79619985.829999998</v>
      </c>
      <c r="J30" s="109">
        <v>79619985.829999998</v>
      </c>
      <c r="K30" s="109">
        <v>0</v>
      </c>
    </row>
    <row r="31" spans="1:11">
      <c r="A31" s="110" t="s">
        <v>64</v>
      </c>
      <c r="B31" s="110" t="s">
        <v>90</v>
      </c>
      <c r="C31" s="110" t="s">
        <v>99</v>
      </c>
      <c r="D31" s="111">
        <v>55148949.240000002</v>
      </c>
      <c r="E31" s="109">
        <v>0</v>
      </c>
      <c r="F31" s="109">
        <v>0</v>
      </c>
      <c r="G31" s="109">
        <v>0</v>
      </c>
      <c r="H31" s="109">
        <v>55148949.240000002</v>
      </c>
      <c r="I31" s="109">
        <v>55148949.240000002</v>
      </c>
      <c r="J31" s="109">
        <v>55148949.240000002</v>
      </c>
      <c r="K31" s="109">
        <v>0</v>
      </c>
    </row>
    <row r="32" spans="1:11">
      <c r="A32" s="110" t="s">
        <v>64</v>
      </c>
      <c r="B32" s="110" t="s">
        <v>90</v>
      </c>
      <c r="C32" s="110" t="s">
        <v>100</v>
      </c>
      <c r="D32" s="111">
        <v>179792572.19</v>
      </c>
      <c r="E32" s="109">
        <v>0</v>
      </c>
      <c r="F32" s="109">
        <v>0</v>
      </c>
      <c r="G32" s="109">
        <v>0</v>
      </c>
      <c r="H32" s="109">
        <v>179792572.19</v>
      </c>
      <c r="I32" s="109">
        <v>179792572.19</v>
      </c>
      <c r="J32" s="109">
        <v>179792572.19</v>
      </c>
      <c r="K32" s="109">
        <v>0</v>
      </c>
    </row>
    <row r="33" spans="1:11">
      <c r="A33" s="110" t="s">
        <v>64</v>
      </c>
      <c r="B33" s="110" t="s">
        <v>90</v>
      </c>
      <c r="C33" s="110" t="s">
        <v>101</v>
      </c>
      <c r="D33" s="111">
        <v>113405914.16</v>
      </c>
      <c r="E33" s="109">
        <v>0</v>
      </c>
      <c r="F33" s="109">
        <v>0</v>
      </c>
      <c r="G33" s="109">
        <v>0</v>
      </c>
      <c r="H33" s="109">
        <v>113405914.16</v>
      </c>
      <c r="I33" s="109">
        <v>113405914.16</v>
      </c>
      <c r="J33" s="109">
        <v>113405914.16</v>
      </c>
      <c r="K33" s="109">
        <v>0</v>
      </c>
    </row>
    <row r="34" spans="1:11">
      <c r="A34" s="110" t="s">
        <v>64</v>
      </c>
      <c r="B34" s="110" t="s">
        <v>90</v>
      </c>
      <c r="C34" s="110" t="s">
        <v>102</v>
      </c>
      <c r="D34" s="111">
        <v>95070319.959999993</v>
      </c>
      <c r="E34" s="109">
        <v>0</v>
      </c>
      <c r="F34" s="109">
        <v>0</v>
      </c>
      <c r="G34" s="109">
        <v>0</v>
      </c>
      <c r="H34" s="109">
        <v>95070319.959999993</v>
      </c>
      <c r="I34" s="109">
        <v>95070319.959999993</v>
      </c>
      <c r="J34" s="109">
        <v>95070319.959999993</v>
      </c>
      <c r="K34" s="109">
        <v>0</v>
      </c>
    </row>
    <row r="35" spans="1:11">
      <c r="A35" s="110" t="s">
        <v>64</v>
      </c>
      <c r="B35" s="110" t="s">
        <v>90</v>
      </c>
      <c r="C35" s="110" t="s">
        <v>103</v>
      </c>
      <c r="D35" s="111">
        <v>121904327.93000001</v>
      </c>
      <c r="E35" s="109">
        <v>0</v>
      </c>
      <c r="F35" s="109">
        <v>0</v>
      </c>
      <c r="G35" s="109">
        <v>0</v>
      </c>
      <c r="H35" s="109">
        <v>121904327.93000001</v>
      </c>
      <c r="I35" s="109">
        <v>121904327.93000001</v>
      </c>
      <c r="J35" s="109">
        <v>121904327.93000001</v>
      </c>
      <c r="K35" s="109">
        <v>0</v>
      </c>
    </row>
    <row r="36" spans="1:11">
      <c r="A36" s="110" t="s">
        <v>64</v>
      </c>
      <c r="B36" s="110" t="s">
        <v>90</v>
      </c>
      <c r="C36" s="110" t="s">
        <v>104</v>
      </c>
      <c r="D36" s="111">
        <v>74569124.629999995</v>
      </c>
      <c r="E36" s="109">
        <v>0</v>
      </c>
      <c r="F36" s="109">
        <v>0</v>
      </c>
      <c r="G36" s="109">
        <v>0</v>
      </c>
      <c r="H36" s="109">
        <v>74569124.629999995</v>
      </c>
      <c r="I36" s="109">
        <v>74569124.629999995</v>
      </c>
      <c r="J36" s="109">
        <v>74569124.629999995</v>
      </c>
      <c r="K36" s="109">
        <v>0</v>
      </c>
    </row>
    <row r="37" spans="1:11">
      <c r="A37" s="110" t="s">
        <v>64</v>
      </c>
      <c r="B37" s="110" t="s">
        <v>105</v>
      </c>
      <c r="C37" s="110" t="s">
        <v>106</v>
      </c>
      <c r="D37" s="111">
        <v>171770298</v>
      </c>
      <c r="E37" s="109">
        <v>0</v>
      </c>
      <c r="F37" s="109">
        <v>0</v>
      </c>
      <c r="G37" s="109">
        <v>0</v>
      </c>
      <c r="H37" s="109">
        <v>171770298</v>
      </c>
      <c r="I37" s="109">
        <v>171770298</v>
      </c>
      <c r="J37" s="109">
        <v>171770298</v>
      </c>
      <c r="K37" s="109">
        <v>0</v>
      </c>
    </row>
    <row r="38" spans="1:11">
      <c r="A38" s="110" t="s">
        <v>64</v>
      </c>
      <c r="B38" s="110" t="s">
        <v>105</v>
      </c>
      <c r="C38" s="110" t="s">
        <v>107</v>
      </c>
      <c r="D38" s="111">
        <v>0</v>
      </c>
      <c r="E38" s="109">
        <v>0</v>
      </c>
      <c r="F38" s="109">
        <v>0</v>
      </c>
      <c r="G38" s="109">
        <v>0</v>
      </c>
      <c r="H38" s="109">
        <v>0</v>
      </c>
      <c r="I38" s="109">
        <v>0</v>
      </c>
      <c r="J38" s="109">
        <v>0</v>
      </c>
      <c r="K38" s="109">
        <v>0</v>
      </c>
    </row>
    <row r="39" spans="1:11">
      <c r="A39" t="s">
        <v>64</v>
      </c>
      <c r="B39" t="s">
        <v>108</v>
      </c>
      <c r="C39" t="s">
        <v>109</v>
      </c>
      <c r="D39" s="109">
        <v>34354060</v>
      </c>
      <c r="E39" s="109">
        <v>0</v>
      </c>
      <c r="F39" s="109">
        <v>0</v>
      </c>
      <c r="G39" s="109">
        <v>0</v>
      </c>
      <c r="H39" s="109">
        <v>34354060</v>
      </c>
      <c r="I39" s="109">
        <v>34354060</v>
      </c>
      <c r="J39" s="109">
        <v>34354060</v>
      </c>
      <c r="K39" s="109">
        <v>0</v>
      </c>
    </row>
    <row r="40" spans="1:11">
      <c r="A40" t="s">
        <v>64</v>
      </c>
      <c r="B40" t="s">
        <v>108</v>
      </c>
      <c r="C40" t="s">
        <v>110</v>
      </c>
      <c r="D40" s="109">
        <v>0</v>
      </c>
      <c r="E40" s="109">
        <v>0</v>
      </c>
      <c r="F40" s="109">
        <v>0</v>
      </c>
      <c r="G40" s="109">
        <v>0</v>
      </c>
      <c r="H40" s="109">
        <v>0</v>
      </c>
      <c r="I40" s="109">
        <v>0</v>
      </c>
      <c r="J40" s="109">
        <v>0</v>
      </c>
      <c r="K40" s="109">
        <v>0</v>
      </c>
    </row>
    <row r="41" spans="1:11">
      <c r="A41" t="s">
        <v>111</v>
      </c>
      <c r="B41" t="s">
        <v>112</v>
      </c>
      <c r="C41" t="s">
        <v>113</v>
      </c>
      <c r="D41" s="109">
        <v>137416238</v>
      </c>
      <c r="E41" s="109">
        <v>0</v>
      </c>
      <c r="F41" s="109">
        <v>0</v>
      </c>
      <c r="G41" s="109">
        <v>0</v>
      </c>
      <c r="H41" s="109">
        <v>137416238</v>
      </c>
      <c r="I41" s="109">
        <v>137416238</v>
      </c>
      <c r="J41" s="109">
        <v>137416238</v>
      </c>
      <c r="K41" s="109">
        <v>0</v>
      </c>
    </row>
    <row r="42" spans="1:11">
      <c r="A42" t="s">
        <v>111</v>
      </c>
      <c r="B42" t="s">
        <v>112</v>
      </c>
      <c r="C42" t="s">
        <v>114</v>
      </c>
      <c r="D42" s="109">
        <v>0</v>
      </c>
      <c r="E42" s="109">
        <v>0</v>
      </c>
      <c r="F42" s="109">
        <v>0</v>
      </c>
      <c r="G42" s="109">
        <v>0</v>
      </c>
      <c r="H42" s="109">
        <v>0</v>
      </c>
      <c r="I42" s="109">
        <v>0</v>
      </c>
      <c r="J42" s="109">
        <v>0</v>
      </c>
      <c r="K42" s="109">
        <v>0</v>
      </c>
    </row>
    <row r="43" spans="1:11">
      <c r="A43" t="s">
        <v>111</v>
      </c>
      <c r="B43" t="s">
        <v>115</v>
      </c>
      <c r="C43" t="s">
        <v>116</v>
      </c>
      <c r="D43" s="109">
        <v>57635677</v>
      </c>
      <c r="E43" s="109">
        <v>0</v>
      </c>
      <c r="F43" s="109">
        <v>0</v>
      </c>
      <c r="G43" s="109">
        <v>0</v>
      </c>
      <c r="H43" s="109">
        <v>57635677</v>
      </c>
      <c r="I43" s="109">
        <v>57635677</v>
      </c>
      <c r="J43" s="109">
        <v>57635677</v>
      </c>
      <c r="K43" s="109">
        <v>0</v>
      </c>
    </row>
    <row r="44" spans="1:11">
      <c r="A44" t="s">
        <v>111</v>
      </c>
      <c r="B44" t="s">
        <v>115</v>
      </c>
      <c r="C44" t="s">
        <v>117</v>
      </c>
      <c r="D44" s="109">
        <v>33282508</v>
      </c>
      <c r="E44" s="109">
        <v>0</v>
      </c>
      <c r="F44" s="109">
        <v>0</v>
      </c>
      <c r="G44" s="109">
        <v>0</v>
      </c>
      <c r="H44" s="109">
        <v>33282508</v>
      </c>
      <c r="I44" s="109">
        <v>33282508</v>
      </c>
      <c r="J44" s="109">
        <v>33282508</v>
      </c>
      <c r="K44" s="109">
        <v>0</v>
      </c>
    </row>
    <row r="45" spans="1:11">
      <c r="A45" t="s">
        <v>111</v>
      </c>
      <c r="B45" t="s">
        <v>115</v>
      </c>
      <c r="C45" t="s">
        <v>118</v>
      </c>
      <c r="D45" s="109">
        <v>183914292</v>
      </c>
      <c r="E45" s="109">
        <v>0</v>
      </c>
      <c r="F45" s="109">
        <v>0</v>
      </c>
      <c r="G45" s="109">
        <v>0</v>
      </c>
      <c r="H45" s="109">
        <v>183914292</v>
      </c>
      <c r="I45" s="109">
        <v>183914292</v>
      </c>
      <c r="J45" s="109">
        <v>183914292</v>
      </c>
      <c r="K45" s="109">
        <v>0</v>
      </c>
    </row>
    <row r="46" spans="1:11">
      <c r="A46" t="s">
        <v>111</v>
      </c>
      <c r="B46" t="s">
        <v>119</v>
      </c>
      <c r="C46" t="s">
        <v>120</v>
      </c>
      <c r="D46" s="109">
        <v>67333957</v>
      </c>
      <c r="E46" s="109">
        <v>0</v>
      </c>
      <c r="F46" s="109">
        <v>0</v>
      </c>
      <c r="G46" s="109">
        <v>0</v>
      </c>
      <c r="H46" s="109">
        <v>67333957</v>
      </c>
      <c r="I46" s="109">
        <v>67333957</v>
      </c>
      <c r="J46" s="109">
        <v>67333957</v>
      </c>
      <c r="K46" s="109">
        <v>0</v>
      </c>
    </row>
    <row r="47" spans="1:11">
      <c r="A47" t="s">
        <v>111</v>
      </c>
      <c r="B47" t="s">
        <v>119</v>
      </c>
      <c r="C47" t="s">
        <v>121</v>
      </c>
      <c r="D47" s="109">
        <v>0</v>
      </c>
      <c r="E47" s="109">
        <v>0</v>
      </c>
      <c r="F47" s="109">
        <v>0</v>
      </c>
      <c r="G47" s="109">
        <v>0</v>
      </c>
      <c r="H47" s="109">
        <v>0</v>
      </c>
      <c r="I47" s="109">
        <v>0</v>
      </c>
      <c r="J47" s="109">
        <v>0</v>
      </c>
      <c r="K47" s="109">
        <v>0</v>
      </c>
    </row>
    <row r="48" spans="1:11">
      <c r="A48" t="s">
        <v>111</v>
      </c>
      <c r="B48" t="s">
        <v>122</v>
      </c>
      <c r="C48" t="s">
        <v>123</v>
      </c>
      <c r="D48" s="109">
        <v>50231089</v>
      </c>
      <c r="E48" s="109">
        <v>3786501.88</v>
      </c>
      <c r="F48" s="109">
        <v>0</v>
      </c>
      <c r="G48" s="109">
        <v>3786501.88</v>
      </c>
      <c r="H48" s="109">
        <v>50231089</v>
      </c>
      <c r="I48" s="109">
        <v>46444587.119999997</v>
      </c>
      <c r="J48" s="109">
        <v>50231089</v>
      </c>
      <c r="K48" s="109">
        <v>0</v>
      </c>
    </row>
    <row r="49" spans="1:12">
      <c r="A49" s="138" t="s">
        <v>111</v>
      </c>
      <c r="B49" s="138" t="s">
        <v>122</v>
      </c>
      <c r="C49" s="138" t="s">
        <v>124</v>
      </c>
      <c r="D49" s="139"/>
      <c r="E49" s="139"/>
      <c r="F49" s="139">
        <v>390000</v>
      </c>
      <c r="G49" s="139">
        <v>1300000</v>
      </c>
      <c r="H49" s="139">
        <v>1300000</v>
      </c>
      <c r="I49" s="139">
        <v>0</v>
      </c>
      <c r="J49" s="139">
        <v>1300000</v>
      </c>
      <c r="K49" s="139">
        <v>0</v>
      </c>
      <c r="L49" s="140" t="s">
        <v>125</v>
      </c>
    </row>
    <row r="50" spans="1:12">
      <c r="A50" t="s">
        <v>111</v>
      </c>
      <c r="B50" t="s">
        <v>126</v>
      </c>
      <c r="C50" t="s">
        <v>127</v>
      </c>
      <c r="D50" s="109">
        <v>19238273</v>
      </c>
      <c r="E50" s="109">
        <v>0</v>
      </c>
      <c r="F50" s="109">
        <v>0</v>
      </c>
      <c r="G50" s="109">
        <v>0</v>
      </c>
      <c r="H50" s="109">
        <v>19238273</v>
      </c>
      <c r="I50" s="109">
        <v>19238273</v>
      </c>
      <c r="J50" s="109">
        <v>19238273</v>
      </c>
      <c r="K50" s="109">
        <v>0</v>
      </c>
    </row>
    <row r="51" spans="1:12">
      <c r="A51" t="s">
        <v>111</v>
      </c>
      <c r="B51" t="s">
        <v>126</v>
      </c>
      <c r="C51" t="s">
        <v>128</v>
      </c>
      <c r="D51" s="109">
        <v>0</v>
      </c>
      <c r="E51" s="109">
        <v>0</v>
      </c>
      <c r="F51" s="109">
        <v>0</v>
      </c>
      <c r="G51" s="109">
        <v>0</v>
      </c>
      <c r="H51" s="109">
        <v>0</v>
      </c>
      <c r="I51" s="109">
        <v>0</v>
      </c>
      <c r="J51" s="109">
        <v>0</v>
      </c>
      <c r="K51" s="109">
        <v>0</v>
      </c>
    </row>
    <row r="52" spans="1:12">
      <c r="A52" s="110" t="s">
        <v>129</v>
      </c>
      <c r="B52" s="110" t="s">
        <v>130</v>
      </c>
      <c r="C52" s="110" t="s">
        <v>131</v>
      </c>
      <c r="D52" s="111">
        <v>11603049.300000001</v>
      </c>
      <c r="E52" s="109">
        <v>0</v>
      </c>
      <c r="F52" s="109">
        <v>0</v>
      </c>
      <c r="G52" s="109">
        <v>0</v>
      </c>
      <c r="H52" s="109">
        <v>11603049.300000001</v>
      </c>
      <c r="I52" s="109">
        <v>11603049.300000001</v>
      </c>
      <c r="J52" s="109">
        <v>11603049.300000001</v>
      </c>
      <c r="K52" s="109">
        <v>0</v>
      </c>
    </row>
    <row r="53" spans="1:12">
      <c r="A53" s="110" t="s">
        <v>129</v>
      </c>
      <c r="B53" s="110" t="s">
        <v>130</v>
      </c>
      <c r="C53" s="110" t="s">
        <v>132</v>
      </c>
      <c r="D53" s="111">
        <v>3396950.7</v>
      </c>
      <c r="E53" s="109">
        <v>3396950.7</v>
      </c>
      <c r="F53" s="109">
        <v>0</v>
      </c>
      <c r="G53" s="109">
        <v>3396950.7</v>
      </c>
      <c r="H53" s="109">
        <v>3396950.7</v>
      </c>
      <c r="I53" s="109">
        <v>0</v>
      </c>
      <c r="J53" s="109">
        <v>3396950.7</v>
      </c>
      <c r="K53" s="109">
        <v>0</v>
      </c>
    </row>
    <row r="54" spans="1:12">
      <c r="A54" t="s">
        <v>129</v>
      </c>
      <c r="B54" t="s">
        <v>133</v>
      </c>
      <c r="C54" t="s">
        <v>134</v>
      </c>
      <c r="D54" s="109">
        <v>19238273</v>
      </c>
      <c r="E54" s="109">
        <v>0</v>
      </c>
      <c r="F54" s="109">
        <v>0</v>
      </c>
      <c r="G54" s="109">
        <v>0</v>
      </c>
      <c r="H54" s="109">
        <v>19238273</v>
      </c>
      <c r="I54" s="109">
        <v>19238273</v>
      </c>
      <c r="J54" s="109">
        <v>19238273</v>
      </c>
      <c r="K54" s="109">
        <v>0</v>
      </c>
    </row>
    <row r="55" spans="1:12">
      <c r="A55" t="s">
        <v>129</v>
      </c>
      <c r="B55" t="s">
        <v>133</v>
      </c>
      <c r="C55" t="s">
        <v>135</v>
      </c>
      <c r="D55" s="109">
        <v>0</v>
      </c>
      <c r="E55" s="109">
        <v>0</v>
      </c>
      <c r="F55" s="109">
        <v>0</v>
      </c>
      <c r="G55" s="109">
        <v>0</v>
      </c>
      <c r="H55" s="109">
        <v>0</v>
      </c>
      <c r="I55" s="109">
        <v>0</v>
      </c>
      <c r="J55" s="109">
        <v>0</v>
      </c>
      <c r="K55" s="109">
        <v>0</v>
      </c>
    </row>
    <row r="56" spans="1:12">
      <c r="A56" t="s">
        <v>129</v>
      </c>
      <c r="B56" t="s">
        <v>136</v>
      </c>
      <c r="C56" t="s">
        <v>137</v>
      </c>
      <c r="D56" s="109">
        <v>173144460</v>
      </c>
      <c r="E56" s="109">
        <v>0</v>
      </c>
      <c r="F56" s="109">
        <v>0</v>
      </c>
      <c r="G56" s="109">
        <v>0</v>
      </c>
      <c r="H56" s="109">
        <v>173144460</v>
      </c>
      <c r="I56" s="109">
        <v>173144460</v>
      </c>
      <c r="J56" s="109">
        <v>173144460</v>
      </c>
      <c r="K56" s="109">
        <v>0</v>
      </c>
    </row>
    <row r="57" spans="1:12">
      <c r="A57" t="s">
        <v>129</v>
      </c>
      <c r="B57" t="s">
        <v>136</v>
      </c>
      <c r="C57" t="s">
        <v>138</v>
      </c>
      <c r="D57" s="109">
        <v>0</v>
      </c>
      <c r="E57" s="109">
        <v>0</v>
      </c>
      <c r="F57" s="109">
        <v>0</v>
      </c>
      <c r="G57">
        <v>0</v>
      </c>
      <c r="H57" s="109">
        <v>0</v>
      </c>
      <c r="I57" s="109">
        <v>0</v>
      </c>
      <c r="J57" s="109">
        <v>0</v>
      </c>
      <c r="K57" s="109">
        <v>0</v>
      </c>
    </row>
    <row r="58" spans="1:12">
      <c r="D58" s="109">
        <f>SUM(D2:D57)</f>
        <v>2803282274</v>
      </c>
      <c r="E58" s="109">
        <f t="shared" ref="E58:K58" si="0">SUM(E2:E57)</f>
        <v>132981152.69999999</v>
      </c>
      <c r="F58" s="109">
        <f t="shared" si="0"/>
        <v>96613168.739999995</v>
      </c>
      <c r="G58" s="109">
        <f t="shared" si="0"/>
        <v>134281152.69999999</v>
      </c>
      <c r="H58" s="109">
        <f t="shared" si="0"/>
        <v>2804582274</v>
      </c>
      <c r="I58" s="109">
        <f t="shared" si="0"/>
        <v>2671433929.9200006</v>
      </c>
      <c r="J58" s="109">
        <f t="shared" si="0"/>
        <v>2805715082.6200004</v>
      </c>
      <c r="K58" s="109">
        <f t="shared" si="0"/>
        <v>-1132808.6200000001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235C1-1022-4ECA-85B7-3A499CEA51CB}">
  <dimension ref="A2:R36"/>
  <sheetViews>
    <sheetView showGridLines="0" topLeftCell="B1" zoomScale="97" zoomScaleNormal="80" workbookViewId="0">
      <selection activeCell="F15" sqref="F15"/>
    </sheetView>
  </sheetViews>
  <sheetFormatPr baseColWidth="10" defaultColWidth="11.44140625" defaultRowHeight="14.4"/>
  <cols>
    <col min="1" max="1" width="3.44140625" customWidth="1"/>
    <col min="2" max="2" width="26.33203125" bestFit="1" customWidth="1"/>
    <col min="3" max="3" width="5.6640625" bestFit="1" customWidth="1"/>
    <col min="4" max="4" width="19.88671875" bestFit="1" customWidth="1"/>
    <col min="5" max="5" width="16.5546875" bestFit="1" customWidth="1"/>
    <col min="6" max="6" width="6.88671875" hidden="1" customWidth="1"/>
    <col min="7" max="7" width="6.44140625" hidden="1" customWidth="1"/>
    <col min="8" max="8" width="7" hidden="1" customWidth="1"/>
    <col min="9" max="9" width="19.5546875" bestFit="1" customWidth="1"/>
    <col min="10" max="10" width="18.88671875" bestFit="1" customWidth="1"/>
    <col min="11" max="11" width="20.88671875" customWidth="1"/>
    <col min="12" max="12" width="21.109375" bestFit="1" customWidth="1"/>
    <col min="13" max="13" width="14.44140625" bestFit="1" customWidth="1"/>
    <col min="14" max="14" width="15.5546875" bestFit="1" customWidth="1"/>
    <col min="15" max="18" width="15.44140625" bestFit="1" customWidth="1"/>
    <col min="19" max="19" width="14.44140625" bestFit="1" customWidth="1"/>
  </cols>
  <sheetData>
    <row r="2" spans="1:15" ht="15" thickBot="1">
      <c r="I2" t="s">
        <v>139</v>
      </c>
      <c r="J2" t="s">
        <v>140</v>
      </c>
      <c r="L2" t="s">
        <v>141</v>
      </c>
    </row>
    <row r="3" spans="1:15" ht="15.6">
      <c r="B3" s="61" t="s">
        <v>142</v>
      </c>
      <c r="C3" s="62"/>
      <c r="D3" s="62"/>
      <c r="E3" s="141">
        <v>59.1</v>
      </c>
      <c r="F3" s="2098" t="s">
        <v>143</v>
      </c>
      <c r="G3" s="2099"/>
      <c r="H3" s="2100"/>
      <c r="I3" s="2105" t="s">
        <v>144</v>
      </c>
      <c r="J3" s="2105" t="s">
        <v>145</v>
      </c>
      <c r="K3" s="2105" t="s">
        <v>146</v>
      </c>
      <c r="L3" s="2107" t="s">
        <v>147</v>
      </c>
    </row>
    <row r="4" spans="1:15" ht="15.6">
      <c r="A4" s="152"/>
      <c r="B4" s="25" t="s">
        <v>29</v>
      </c>
      <c r="C4" s="25"/>
      <c r="D4" s="25" t="s">
        <v>30</v>
      </c>
      <c r="E4" s="65" t="s">
        <v>31</v>
      </c>
      <c r="F4" s="37">
        <v>45292</v>
      </c>
      <c r="G4" s="38">
        <v>45323</v>
      </c>
      <c r="H4" s="39">
        <v>45352</v>
      </c>
      <c r="I4" s="2106"/>
      <c r="J4" s="2106"/>
      <c r="K4" s="2106"/>
      <c r="L4" s="2108"/>
    </row>
    <row r="5" spans="1:15">
      <c r="B5" s="66" t="s">
        <v>33</v>
      </c>
      <c r="C5" s="23"/>
      <c r="D5" s="26">
        <f>SUM('budget (6)'!D2:D3)</f>
        <v>103385169</v>
      </c>
      <c r="E5" s="67">
        <f>D5/E3</f>
        <v>1749326.0406091369</v>
      </c>
      <c r="F5" s="123"/>
      <c r="G5" s="26"/>
      <c r="H5" s="52"/>
      <c r="I5" s="87">
        <f>SUM('budget (6)'!F2:F3)</f>
        <v>96213168.739999995</v>
      </c>
      <c r="J5" s="87">
        <f>SUM('budget (6)'!E2:E3)</f>
        <v>96213168.739999995</v>
      </c>
      <c r="K5" s="87">
        <f>SUM('budget (6)'!J2:J3)</f>
        <v>103385169</v>
      </c>
      <c r="L5" s="87">
        <f t="shared" ref="L5:L16" si="0">J5-I5</f>
        <v>0</v>
      </c>
    </row>
    <row r="6" spans="1:15">
      <c r="B6" s="115" t="s">
        <v>35</v>
      </c>
      <c r="C6" s="120"/>
      <c r="D6" s="116">
        <f>SUM('budget (6)'!D9:D22)</f>
        <v>451749059.99999994</v>
      </c>
      <c r="E6" s="117">
        <f>D6/$E$3</f>
        <v>7643808.1218274096</v>
      </c>
      <c r="F6" s="124"/>
      <c r="G6" s="116"/>
      <c r="H6" s="125"/>
      <c r="I6" s="132">
        <f>9038515</f>
        <v>9038515</v>
      </c>
      <c r="J6" s="132">
        <f>SUM('budget (6)'!E9:E22)</f>
        <v>9038515</v>
      </c>
      <c r="K6" s="132">
        <f>SUM('budget (6)'!J9:J22)</f>
        <v>451749059.99999994</v>
      </c>
      <c r="L6" s="132">
        <f>J6-I6</f>
        <v>0</v>
      </c>
    </row>
    <row r="7" spans="1:15">
      <c r="B7" s="112" t="s">
        <v>38</v>
      </c>
      <c r="C7" s="121"/>
      <c r="D7" s="113">
        <f>SUM('budget (6)'!D23:D36)</f>
        <v>1265953920</v>
      </c>
      <c r="E7" s="114">
        <f t="shared" ref="E7:E9" si="1">D7/$E$3</f>
        <v>21420540.101522841</v>
      </c>
      <c r="F7" s="126"/>
      <c r="G7" s="113"/>
      <c r="H7" s="127"/>
      <c r="I7" s="133">
        <f>SUM('budget (6)'!F23:F36)</f>
        <v>0</v>
      </c>
      <c r="J7" s="133">
        <f>SUM('budget (6)'!E23:E36)</f>
        <v>0</v>
      </c>
      <c r="K7" s="133">
        <f>SUM('budget (6)'!J23:J36)</f>
        <v>1265953920</v>
      </c>
      <c r="L7" s="133">
        <f>J7-I7</f>
        <v>0</v>
      </c>
    </row>
    <row r="8" spans="1:15">
      <c r="B8" s="115" t="s">
        <v>148</v>
      </c>
      <c r="C8" s="120"/>
      <c r="D8" s="118">
        <f>SUM('budget (6)'!D37:D38)</f>
        <v>171770298</v>
      </c>
      <c r="E8" s="117">
        <f t="shared" si="1"/>
        <v>2906434.8223350253</v>
      </c>
      <c r="F8" s="128"/>
      <c r="G8" s="118"/>
      <c r="H8" s="129"/>
      <c r="I8" s="134">
        <f>SUM('budget (6)'!F37:F38)</f>
        <v>0</v>
      </c>
      <c r="J8" s="134">
        <f>SUM('budget (6)'!E37:E38)</f>
        <v>0</v>
      </c>
      <c r="K8" s="134">
        <f>SUM('budget (6)'!J37:J38)</f>
        <v>171770298</v>
      </c>
      <c r="L8" s="134">
        <f t="shared" si="0"/>
        <v>0</v>
      </c>
    </row>
    <row r="9" spans="1:15">
      <c r="B9" s="112" t="s">
        <v>40</v>
      </c>
      <c r="C9" s="121"/>
      <c r="D9" s="113">
        <f>'budget (6)'!D39+'budget (6)'!D40</f>
        <v>34354060</v>
      </c>
      <c r="E9" s="114">
        <f t="shared" si="1"/>
        <v>581286.97123519459</v>
      </c>
      <c r="F9" s="126"/>
      <c r="G9" s="113"/>
      <c r="H9" s="127"/>
      <c r="I9" s="133">
        <f>'budget (6)'!F39+'budget (6)'!F40</f>
        <v>0</v>
      </c>
      <c r="J9" s="133">
        <f>'budget (6)'!E39+'budget (6)'!E40</f>
        <v>0</v>
      </c>
      <c r="K9" s="133">
        <f>'budget (6)'!J39+'budget (6)'!J40</f>
        <v>34354060</v>
      </c>
      <c r="L9" s="133">
        <f t="shared" si="0"/>
        <v>0</v>
      </c>
    </row>
    <row r="10" spans="1:15">
      <c r="B10" s="66" t="s">
        <v>41</v>
      </c>
      <c r="C10" s="23"/>
      <c r="D10" s="31">
        <f>SUM(D6:D9)</f>
        <v>1923827338</v>
      </c>
      <c r="E10" s="52">
        <f>SUM(E6:E9)</f>
        <v>32552070.01692047</v>
      </c>
      <c r="F10" s="51"/>
      <c r="G10" s="31"/>
      <c r="H10" s="52"/>
      <c r="I10" s="87">
        <f>SUM(I6:I9)</f>
        <v>9038515</v>
      </c>
      <c r="J10" s="87">
        <f>SUM(J6:J9)</f>
        <v>9038515</v>
      </c>
      <c r="K10" s="87">
        <f>SUM(K6:K9)</f>
        <v>1923827338</v>
      </c>
      <c r="L10" s="87">
        <f t="shared" si="0"/>
        <v>0</v>
      </c>
    </row>
    <row r="11" spans="1:15">
      <c r="B11" s="112" t="s">
        <v>42</v>
      </c>
      <c r="C11" s="121"/>
      <c r="D11" s="113">
        <f>SUM('budget (6)'!D41:D42)</f>
        <v>137416238</v>
      </c>
      <c r="E11" s="114">
        <f>D11/$E$3</f>
        <v>2325147.8510998306</v>
      </c>
      <c r="F11" s="126"/>
      <c r="G11" s="113"/>
      <c r="H11" s="127"/>
      <c r="I11" s="133">
        <f>SUM('budget (6)'!F41:F42)</f>
        <v>0</v>
      </c>
      <c r="J11" s="133">
        <f>SUM('budget (6)'!E41:E42)</f>
        <v>0</v>
      </c>
      <c r="K11" s="133">
        <f>SUM('budget (6)'!J41:J42)</f>
        <v>137416238</v>
      </c>
      <c r="L11" s="133">
        <f t="shared" si="0"/>
        <v>0</v>
      </c>
    </row>
    <row r="12" spans="1:15">
      <c r="B12" s="115" t="s">
        <v>43</v>
      </c>
      <c r="C12" s="120"/>
      <c r="D12" s="119">
        <f>SUM('budget (6)'!D43:D45)</f>
        <v>274832477</v>
      </c>
      <c r="E12" s="117">
        <f t="shared" ref="E12:E20" si="2">D12/$E$3</f>
        <v>4650295.7191201355</v>
      </c>
      <c r="F12" s="130"/>
      <c r="G12" s="119"/>
      <c r="H12" s="131"/>
      <c r="I12" s="135">
        <f>SUM('budget (6)'!F43:F45)</f>
        <v>0</v>
      </c>
      <c r="J12" s="135">
        <f>SUM('budget (6)'!E43:E45)</f>
        <v>0</v>
      </c>
      <c r="K12" s="135">
        <f>SUM('budget (6)'!J43:J45)</f>
        <v>274832477</v>
      </c>
      <c r="L12" s="135">
        <f t="shared" si="0"/>
        <v>0</v>
      </c>
    </row>
    <row r="13" spans="1:15">
      <c r="B13" s="112" t="s">
        <v>44</v>
      </c>
      <c r="C13" s="121"/>
      <c r="D13" s="113">
        <f>SUM('budget (6)'!D46:D47)</f>
        <v>67333957</v>
      </c>
      <c r="E13" s="114">
        <f t="shared" si="2"/>
        <v>1139322.4534686971</v>
      </c>
      <c r="F13" s="126"/>
      <c r="G13" s="113"/>
      <c r="H13" s="127"/>
      <c r="I13" s="133">
        <f>SUM('budget (6)'!F46:F47)</f>
        <v>0</v>
      </c>
      <c r="J13" s="133">
        <f>SUM('budget (6)'!E46:E47)</f>
        <v>0</v>
      </c>
      <c r="K13" s="133">
        <f>SUM('budget (6)'!J46:J47)</f>
        <v>67333957</v>
      </c>
      <c r="L13" s="133">
        <f t="shared" si="0"/>
        <v>0</v>
      </c>
    </row>
    <row r="14" spans="1:15">
      <c r="B14" s="115" t="s">
        <v>45</v>
      </c>
      <c r="C14" s="120"/>
      <c r="D14" s="119">
        <f>SUM('budget (6)'!D48:D49)</f>
        <v>50231089</v>
      </c>
      <c r="E14" s="117">
        <f t="shared" si="2"/>
        <v>849933.82402707275</v>
      </c>
      <c r="F14" s="130"/>
      <c r="G14" s="119"/>
      <c r="H14" s="131"/>
      <c r="I14" s="135">
        <f>446334.38</f>
        <v>446334.38</v>
      </c>
      <c r="J14" s="135">
        <f>SUM('budget (6)'!E48)</f>
        <v>3786501.88</v>
      </c>
      <c r="K14" s="158">
        <v>50231089</v>
      </c>
      <c r="L14" s="135">
        <f t="shared" si="0"/>
        <v>3340167.5</v>
      </c>
    </row>
    <row r="15" spans="1:15">
      <c r="B15" s="112" t="s">
        <v>46</v>
      </c>
      <c r="C15" s="121"/>
      <c r="D15" s="113">
        <f>SUM('budget (6)'!D50:D51)</f>
        <v>19238273</v>
      </c>
      <c r="E15" s="114">
        <f t="shared" si="2"/>
        <v>325520.69373942469</v>
      </c>
      <c r="F15" s="126"/>
      <c r="G15" s="113"/>
      <c r="H15" s="127"/>
      <c r="I15" s="133">
        <v>0</v>
      </c>
      <c r="J15" s="133">
        <f>SUM('budget (6)'!E50:E51)</f>
        <v>0</v>
      </c>
      <c r="K15" s="133">
        <f>SUM('budget (6)'!J50:J51)</f>
        <v>19238273</v>
      </c>
      <c r="L15" s="133">
        <f t="shared" si="0"/>
        <v>0</v>
      </c>
    </row>
    <row r="16" spans="1:15">
      <c r="B16" s="66" t="s">
        <v>47</v>
      </c>
      <c r="C16" s="23"/>
      <c r="D16" s="31">
        <f>SUM(D11:D15)</f>
        <v>549052034</v>
      </c>
      <c r="E16" s="52">
        <f>SUM(E11:E15)</f>
        <v>9290220.5414551608</v>
      </c>
      <c r="F16" s="51"/>
      <c r="G16" s="31"/>
      <c r="H16" s="52"/>
      <c r="I16" s="87">
        <f>SUM(I11:I15)</f>
        <v>446334.38</v>
      </c>
      <c r="J16" s="87">
        <f>SUM(J11:J15)</f>
        <v>3786501.88</v>
      </c>
      <c r="K16" s="87">
        <f t="shared" ref="K16" si="3">SUM(K11:K15)</f>
        <v>549052034</v>
      </c>
      <c r="L16" s="87">
        <f t="shared" si="0"/>
        <v>3340167.5</v>
      </c>
      <c r="N16" t="s">
        <v>149</v>
      </c>
      <c r="O16" t="s">
        <v>150</v>
      </c>
    </row>
    <row r="17" spans="1:18">
      <c r="B17" s="112" t="s">
        <v>48</v>
      </c>
      <c r="C17" s="121"/>
      <c r="D17" s="113">
        <f>SUM('budget (6)'!D52:D53)</f>
        <v>15000000</v>
      </c>
      <c r="E17" s="114">
        <f t="shared" si="2"/>
        <v>253807.10659898477</v>
      </c>
      <c r="F17" s="126"/>
      <c r="G17" s="113"/>
      <c r="H17" s="127"/>
      <c r="I17" s="133">
        <v>1576990</v>
      </c>
      <c r="J17" s="133">
        <f>N17+I17+O17</f>
        <v>13841814.75</v>
      </c>
      <c r="K17" s="133">
        <f>SUM('budget (6)'!J52:J53)</f>
        <v>15000000</v>
      </c>
      <c r="L17" s="133">
        <f>J17-I17</f>
        <v>12264824.75</v>
      </c>
      <c r="N17" s="142">
        <v>11255347</v>
      </c>
      <c r="O17" s="142">
        <v>1009477.75</v>
      </c>
    </row>
    <row r="18" spans="1:18">
      <c r="A18" s="110" t="s">
        <v>151</v>
      </c>
      <c r="B18" s="115" t="s">
        <v>49</v>
      </c>
      <c r="C18" s="120"/>
      <c r="D18" s="119">
        <v>22000000</v>
      </c>
      <c r="E18" s="117">
        <f t="shared" si="2"/>
        <v>372250.42301184434</v>
      </c>
      <c r="F18" s="130"/>
      <c r="G18" s="119"/>
      <c r="H18" s="131"/>
      <c r="I18" s="158">
        <f>12246486.57</f>
        <v>12246486.57</v>
      </c>
      <c r="J18" s="135">
        <f>SUM('budget (6)'!E4:E8)</f>
        <v>20546016.379999999</v>
      </c>
      <c r="K18" s="158">
        <v>22000000</v>
      </c>
      <c r="L18" s="135">
        <f t="shared" ref="L18:L22" si="4">J18-I18</f>
        <v>8299529.8099999987</v>
      </c>
    </row>
    <row r="19" spans="1:18">
      <c r="B19" s="112" t="s">
        <v>50</v>
      </c>
      <c r="C19" s="121"/>
      <c r="D19" s="113">
        <f>'budget (6)'!D56+'budget (6)'!D57</f>
        <v>173144460</v>
      </c>
      <c r="E19" s="114">
        <f t="shared" si="2"/>
        <v>2929686.2944162437</v>
      </c>
      <c r="F19" s="126"/>
      <c r="G19" s="113"/>
      <c r="H19" s="127"/>
      <c r="I19" s="133">
        <f>'budget (6)'!F56+'budget (6)'!F57</f>
        <v>0</v>
      </c>
      <c r="J19" s="133">
        <f>'budget (6)'!E56+'budget (6)'!E57</f>
        <v>0</v>
      </c>
      <c r="K19" s="133">
        <f>'budget (6)'!J56+'budget (6)'!J57</f>
        <v>173144460</v>
      </c>
      <c r="L19" s="133">
        <f t="shared" si="4"/>
        <v>0</v>
      </c>
    </row>
    <row r="20" spans="1:18">
      <c r="B20" s="115" t="s">
        <v>51</v>
      </c>
      <c r="C20" s="120"/>
      <c r="D20" s="119">
        <f>'budget (6)'!D54+'budget (6)'!D55</f>
        <v>19238273</v>
      </c>
      <c r="E20" s="117">
        <f t="shared" si="2"/>
        <v>325520.69373942469</v>
      </c>
      <c r="F20" s="130"/>
      <c r="G20" s="119"/>
      <c r="H20" s="131"/>
      <c r="I20" s="135">
        <f>'budget (6)'!F54+'budget (6)'!F55</f>
        <v>0</v>
      </c>
      <c r="J20" s="135">
        <f>'budget (6)'!E54+'budget (6)'!E55</f>
        <v>0</v>
      </c>
      <c r="K20" s="135">
        <f>'budget (6)'!J54+'budget (6)'!J55</f>
        <v>19238273</v>
      </c>
      <c r="L20" s="135">
        <f t="shared" si="4"/>
        <v>0</v>
      </c>
    </row>
    <row r="21" spans="1:18">
      <c r="B21" s="66" t="s">
        <v>52</v>
      </c>
      <c r="C21" s="23"/>
      <c r="D21" s="31">
        <f>SUM(D17:D20)</f>
        <v>229382733</v>
      </c>
      <c r="E21" s="52">
        <f>SUM(E17:E20)</f>
        <v>3881264.5177664971</v>
      </c>
      <c r="F21" s="51"/>
      <c r="G21" s="31"/>
      <c r="H21" s="52"/>
      <c r="I21" s="87">
        <f>SUM(I17:I20)</f>
        <v>13823476.57</v>
      </c>
      <c r="J21" s="87">
        <f>SUM(J17:J20)</f>
        <v>34387831.129999995</v>
      </c>
      <c r="K21" s="87">
        <f t="shared" ref="K21" si="5">SUM(K17:K20)</f>
        <v>229382733</v>
      </c>
      <c r="L21" s="87">
        <f t="shared" si="4"/>
        <v>20564354.559999995</v>
      </c>
    </row>
    <row r="22" spans="1:18" ht="18.600000000000001" thickBot="1">
      <c r="B22" s="153" t="s">
        <v>53</v>
      </c>
      <c r="C22" s="154"/>
      <c r="D22" s="155">
        <f>D5+D10+D16+D21</f>
        <v>2805647274</v>
      </c>
      <c r="E22" s="156">
        <f>E5+E10+E16+E21</f>
        <v>47472881.116751261</v>
      </c>
      <c r="F22" s="101">
        <f>F21+F16+F10+F5</f>
        <v>0</v>
      </c>
      <c r="G22" s="157">
        <f>G21+G16+G10+G5</f>
        <v>0</v>
      </c>
      <c r="H22" s="122">
        <f>H21+H16+H10+H5</f>
        <v>0</v>
      </c>
      <c r="I22" s="90">
        <f>I21+I16+I10+I5</f>
        <v>119521494.69</v>
      </c>
      <c r="J22" s="90">
        <f>J21+J16+J10+J5</f>
        <v>143426016.75</v>
      </c>
      <c r="K22" s="90">
        <f t="shared" ref="K22" si="6">K21+K16+K10+K5</f>
        <v>2805647274</v>
      </c>
      <c r="L22" s="90">
        <f t="shared" si="4"/>
        <v>23904522.060000002</v>
      </c>
    </row>
    <row r="23" spans="1:18">
      <c r="J23" s="108"/>
    </row>
    <row r="24" spans="1:18">
      <c r="I24" s="143"/>
    </row>
    <row r="25" spans="1:18" ht="18.600000000000001" thickBot="1">
      <c r="I25" t="s">
        <v>152</v>
      </c>
      <c r="J25" s="90">
        <v>160000000</v>
      </c>
      <c r="L25" s="159">
        <f>J26/J25</f>
        <v>0.89641260468749995</v>
      </c>
    </row>
    <row r="26" spans="1:18">
      <c r="I26" t="s">
        <v>153</v>
      </c>
      <c r="J26" s="108">
        <f>J22</f>
        <v>143426016.75</v>
      </c>
    </row>
    <row r="27" spans="1:18">
      <c r="E27" s="108">
        <f>J27-SUM(I35:I38)</f>
        <v>1500000</v>
      </c>
      <c r="I27" t="s">
        <v>154</v>
      </c>
      <c r="J27" s="108">
        <f>J25-J26</f>
        <v>16573983.25</v>
      </c>
    </row>
    <row r="29" spans="1:18">
      <c r="E29" s="149" t="s">
        <v>29</v>
      </c>
      <c r="F29" s="150"/>
      <c r="G29" s="150"/>
      <c r="H29" s="150"/>
      <c r="I29" s="151" t="s">
        <v>155</v>
      </c>
      <c r="J29" s="151" t="s">
        <v>156</v>
      </c>
      <c r="K29" s="151" t="s">
        <v>157</v>
      </c>
      <c r="L29" s="151" t="s">
        <v>158</v>
      </c>
      <c r="M29" s="151" t="s">
        <v>159</v>
      </c>
      <c r="N29" s="151" t="s">
        <v>160</v>
      </c>
      <c r="O29" s="151" t="s">
        <v>161</v>
      </c>
      <c r="P29" s="151" t="s">
        <v>162</v>
      </c>
      <c r="Q29" s="151" t="s">
        <v>163</v>
      </c>
      <c r="R29" s="151" t="s">
        <v>164</v>
      </c>
    </row>
    <row r="30" spans="1:18">
      <c r="E30" s="136" t="s">
        <v>165</v>
      </c>
      <c r="F30" s="136"/>
      <c r="G30" s="136"/>
      <c r="H30" s="136"/>
      <c r="I30" s="145">
        <v>1000000</v>
      </c>
      <c r="J30" s="145">
        <v>1000000</v>
      </c>
      <c r="K30" s="145">
        <v>1000000</v>
      </c>
      <c r="L30" s="145">
        <v>1000000</v>
      </c>
      <c r="M30" s="145">
        <v>1000000</v>
      </c>
      <c r="N30" s="145">
        <v>1000000</v>
      </c>
      <c r="O30" s="145">
        <v>1000000</v>
      </c>
      <c r="P30" s="145">
        <v>1000000</v>
      </c>
      <c r="Q30" s="145">
        <v>1000000</v>
      </c>
      <c r="R30" s="144">
        <f>SUM(I30:Q30)</f>
        <v>9000000</v>
      </c>
    </row>
    <row r="31" spans="1:18">
      <c r="E31" s="136" t="s">
        <v>166</v>
      </c>
      <c r="F31" s="136"/>
      <c r="G31" s="136"/>
      <c r="H31" s="136"/>
      <c r="I31" s="145">
        <v>500000</v>
      </c>
      <c r="J31" s="145">
        <v>500000</v>
      </c>
      <c r="K31" s="145">
        <v>500000</v>
      </c>
      <c r="L31" s="145">
        <v>500000</v>
      </c>
      <c r="M31" s="145">
        <v>500000</v>
      </c>
      <c r="N31" s="145">
        <v>500000</v>
      </c>
      <c r="O31" s="145">
        <v>500000</v>
      </c>
      <c r="P31" s="145">
        <v>500000</v>
      </c>
      <c r="Q31" s="145">
        <v>500000</v>
      </c>
      <c r="R31" s="144">
        <f>SUM(I31:Q31)</f>
        <v>4500000</v>
      </c>
    </row>
    <row r="32" spans="1:18">
      <c r="E32" s="136" t="s">
        <v>167</v>
      </c>
      <c r="F32" s="136"/>
      <c r="G32" s="136"/>
      <c r="H32" s="136"/>
      <c r="I32" s="136"/>
      <c r="J32" s="136"/>
      <c r="K32" s="144" t="s">
        <v>18</v>
      </c>
      <c r="L32" s="144">
        <v>350000</v>
      </c>
      <c r="M32" s="144">
        <v>350000</v>
      </c>
      <c r="N32" s="144">
        <v>350000</v>
      </c>
      <c r="O32" s="144">
        <v>350000</v>
      </c>
      <c r="P32" s="144">
        <v>350000</v>
      </c>
      <c r="Q32" s="144">
        <v>350000</v>
      </c>
      <c r="R32" s="144">
        <f>SUM(I32:Q32)</f>
        <v>2100000</v>
      </c>
    </row>
    <row r="33" spans="5:18">
      <c r="E33" s="136"/>
      <c r="F33" s="136"/>
      <c r="G33" s="136"/>
      <c r="H33" s="136"/>
      <c r="I33" s="146">
        <f t="shared" ref="I33:Q33" si="7">SUM(I30:I32)</f>
        <v>1500000</v>
      </c>
      <c r="J33" s="146">
        <f t="shared" si="7"/>
        <v>1500000</v>
      </c>
      <c r="K33" s="146">
        <f t="shared" si="7"/>
        <v>1500000</v>
      </c>
      <c r="L33" s="146">
        <f t="shared" si="7"/>
        <v>1850000</v>
      </c>
      <c r="M33" s="146">
        <f t="shared" si="7"/>
        <v>1850000</v>
      </c>
      <c r="N33" s="146">
        <f t="shared" si="7"/>
        <v>1850000</v>
      </c>
      <c r="O33" s="146">
        <f t="shared" si="7"/>
        <v>1850000</v>
      </c>
      <c r="P33" s="146">
        <f t="shared" si="7"/>
        <v>1850000</v>
      </c>
      <c r="Q33" s="146">
        <f t="shared" si="7"/>
        <v>1850000</v>
      </c>
      <c r="R33" s="144"/>
    </row>
    <row r="34" spans="5:18">
      <c r="E34" s="147" t="s">
        <v>168</v>
      </c>
      <c r="F34" s="136"/>
      <c r="G34" s="136"/>
      <c r="H34" s="136"/>
      <c r="I34" s="136"/>
      <c r="J34" s="148">
        <f>I33+J33</f>
        <v>3000000</v>
      </c>
      <c r="K34" s="148">
        <f t="shared" ref="K34:Q34" si="8">J33+J34</f>
        <v>4500000</v>
      </c>
      <c r="L34" s="148">
        <f t="shared" si="8"/>
        <v>6000000</v>
      </c>
      <c r="M34" s="148">
        <f t="shared" si="8"/>
        <v>7850000</v>
      </c>
      <c r="N34" s="148">
        <f t="shared" si="8"/>
        <v>9700000</v>
      </c>
      <c r="O34" s="148">
        <f t="shared" si="8"/>
        <v>11550000</v>
      </c>
      <c r="P34" s="148">
        <f t="shared" si="8"/>
        <v>13400000</v>
      </c>
      <c r="Q34" s="148">
        <f t="shared" si="8"/>
        <v>15250000</v>
      </c>
      <c r="R34" s="136"/>
    </row>
    <row r="36" spans="5:18">
      <c r="E36" t="s">
        <v>154</v>
      </c>
      <c r="I36" s="108">
        <f>$J$27-I33</f>
        <v>15073983.25</v>
      </c>
      <c r="J36" s="108">
        <f t="shared" ref="J36:Q36" si="9">$J$27-J34</f>
        <v>13573983.25</v>
      </c>
      <c r="K36" s="108">
        <f t="shared" si="9"/>
        <v>12073983.25</v>
      </c>
      <c r="L36" s="108">
        <f t="shared" si="9"/>
        <v>10573983.25</v>
      </c>
      <c r="M36" s="108">
        <f t="shared" si="9"/>
        <v>8723983.25</v>
      </c>
      <c r="N36" s="108">
        <f t="shared" si="9"/>
        <v>6873983.25</v>
      </c>
      <c r="O36" s="108">
        <f t="shared" si="9"/>
        <v>5023983.25</v>
      </c>
      <c r="P36" s="108">
        <f t="shared" si="9"/>
        <v>3173983.25</v>
      </c>
      <c r="Q36" s="108">
        <f t="shared" si="9"/>
        <v>1323983.25</v>
      </c>
    </row>
  </sheetData>
  <mergeCells count="5">
    <mergeCell ref="K3:K4"/>
    <mergeCell ref="F3:H3"/>
    <mergeCell ref="I3:I4"/>
    <mergeCell ref="J3:J4"/>
    <mergeCell ref="L3:L4"/>
  </mergeCells>
  <phoneticPr fontId="3" type="noConversion"/>
  <conditionalFormatting sqref="M6:M7">
    <cfRule type="iconSet" priority="7">
      <iconSet iconSet="3Arrows">
        <cfvo type="percent" val="0"/>
        <cfvo type="percent" val="45"/>
        <cfvo type="percent" val="80"/>
      </iconSet>
    </cfRule>
  </conditionalFormatting>
  <conditionalFormatting sqref="M9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M12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M14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M18">
    <cfRule type="iconSet" priority="2">
      <iconSet iconSet="3Arrows">
        <cfvo type="percent" val="0"/>
        <cfvo type="percent" val="45"/>
        <cfvo type="percent" val="80"/>
      </iconSet>
    </cfRule>
  </conditionalFormatting>
  <conditionalFormatting sqref="M20">
    <cfRule type="iconSet" priority="1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ignoredErrors>
    <ignoredError sqref="D17 D7:D8 D11:D15 I5 I11:I13 K5:K8 K17 I19:I20 I7:I9 K15 J6 K10:K13" formulaRange="1"/>
    <ignoredError sqref="J11:J13 J18:J20 J5 K21 K16 J15 J7:J9" formula="1" formulaRange="1"/>
    <ignoredError sqref="J10 J21 J16 E10 E16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E5E72-7CF2-4601-AB19-4E537E374583}">
  <sheetPr>
    <tabColor rgb="FFFF0000"/>
  </sheetPr>
  <dimension ref="A1:K65"/>
  <sheetViews>
    <sheetView topLeftCell="F55" workbookViewId="0">
      <selection activeCell="D5" sqref="D5:I21"/>
    </sheetView>
  </sheetViews>
  <sheetFormatPr baseColWidth="10" defaultColWidth="11.44140625" defaultRowHeight="14.4"/>
  <cols>
    <col min="1" max="1" width="20.44140625" bestFit="1" customWidth="1"/>
    <col min="2" max="2" width="33.109375" bestFit="1" customWidth="1"/>
    <col min="3" max="3" width="43.44140625" bestFit="1" customWidth="1"/>
    <col min="4" max="4" width="18.109375" bestFit="1" customWidth="1"/>
    <col min="5" max="5" width="20.44140625" bestFit="1" customWidth="1"/>
    <col min="6" max="6" width="24.5546875" bestFit="1" customWidth="1"/>
    <col min="7" max="7" width="17.109375" bestFit="1" customWidth="1"/>
    <col min="8" max="8" width="27.109375" bestFit="1" customWidth="1"/>
    <col min="9" max="9" width="22" bestFit="1" customWidth="1"/>
    <col min="10" max="10" width="23.88671875" bestFit="1" customWidth="1"/>
    <col min="11" max="11" width="35.5546875" bestFit="1" customWidth="1"/>
  </cols>
  <sheetData>
    <row r="1" spans="1:11" ht="28.8">
      <c r="A1" t="s">
        <v>169</v>
      </c>
      <c r="B1" t="s">
        <v>170</v>
      </c>
      <c r="C1" t="s">
        <v>171</v>
      </c>
      <c r="D1" t="s">
        <v>172</v>
      </c>
      <c r="E1" s="182" t="s">
        <v>173</v>
      </c>
      <c r="F1" s="182" t="s">
        <v>174</v>
      </c>
      <c r="G1" t="s">
        <v>175</v>
      </c>
      <c r="H1" t="s">
        <v>176</v>
      </c>
      <c r="I1" t="s">
        <v>177</v>
      </c>
      <c r="J1" t="s">
        <v>178</v>
      </c>
      <c r="K1" t="s">
        <v>179</v>
      </c>
    </row>
    <row r="2" spans="1:11">
      <c r="A2" t="s">
        <v>64</v>
      </c>
      <c r="B2" t="s">
        <v>65</v>
      </c>
      <c r="C2" t="s">
        <v>66</v>
      </c>
      <c r="D2" s="166">
        <v>7172000.2599999998</v>
      </c>
      <c r="E2" s="166">
        <v>0</v>
      </c>
      <c r="F2" s="167">
        <v>0</v>
      </c>
      <c r="G2" s="161">
        <v>0</v>
      </c>
      <c r="H2" s="161">
        <v>7172000.2599999998</v>
      </c>
      <c r="I2" s="161">
        <v>7172000.2599999998</v>
      </c>
      <c r="J2" s="161">
        <v>7172000.2599999998</v>
      </c>
      <c r="K2" s="161">
        <v>0</v>
      </c>
    </row>
    <row r="3" spans="1:11">
      <c r="A3" t="s">
        <v>64</v>
      </c>
      <c r="B3" t="s">
        <v>65</v>
      </c>
      <c r="C3" t="s">
        <v>67</v>
      </c>
      <c r="D3" s="166">
        <v>96213168.739999995</v>
      </c>
      <c r="E3" s="166">
        <v>96272168.739999995</v>
      </c>
      <c r="F3" s="167">
        <v>96272168.739999995</v>
      </c>
      <c r="G3" s="161">
        <v>96272168.739999995</v>
      </c>
      <c r="H3" s="161">
        <v>96213168.739999995</v>
      </c>
      <c r="I3" s="161">
        <v>0</v>
      </c>
      <c r="J3" s="161">
        <v>96272168.739999995</v>
      </c>
      <c r="K3" s="161">
        <v>-59000</v>
      </c>
    </row>
    <row r="4" spans="1:11">
      <c r="A4" t="s">
        <v>64</v>
      </c>
      <c r="B4" t="s">
        <v>68</v>
      </c>
      <c r="C4" t="s">
        <v>69</v>
      </c>
      <c r="D4" s="167">
        <v>22191.38</v>
      </c>
      <c r="E4" s="167">
        <v>0</v>
      </c>
      <c r="F4" s="166">
        <v>0</v>
      </c>
      <c r="G4" s="161">
        <v>0</v>
      </c>
      <c r="H4" s="161">
        <v>22191.38</v>
      </c>
      <c r="I4" s="161">
        <v>22191.38</v>
      </c>
      <c r="J4" s="180">
        <v>22191.38</v>
      </c>
      <c r="K4" s="161">
        <v>0</v>
      </c>
    </row>
    <row r="5" spans="1:11">
      <c r="A5" t="s">
        <v>64</v>
      </c>
      <c r="B5" t="s">
        <v>68</v>
      </c>
      <c r="C5" t="s">
        <v>70</v>
      </c>
      <c r="D5" s="167">
        <v>0</v>
      </c>
      <c r="E5" s="167">
        <v>0</v>
      </c>
      <c r="F5" s="166">
        <v>0</v>
      </c>
      <c r="G5" s="161">
        <v>0</v>
      </c>
      <c r="H5" s="161">
        <v>0</v>
      </c>
      <c r="I5" s="161"/>
      <c r="J5" s="161"/>
      <c r="K5" s="161"/>
    </row>
    <row r="6" spans="1:11">
      <c r="A6" t="s">
        <v>64</v>
      </c>
      <c r="B6" t="s">
        <v>68</v>
      </c>
      <c r="C6" t="s">
        <v>70</v>
      </c>
      <c r="D6" s="167">
        <v>5641221.5099999998</v>
      </c>
      <c r="E6" s="167">
        <v>5641221.5099999998</v>
      </c>
      <c r="F6" s="166">
        <v>0</v>
      </c>
      <c r="G6" s="161">
        <v>5641221.5099999998</v>
      </c>
      <c r="H6" s="161">
        <v>5641221.5099999998</v>
      </c>
      <c r="I6" s="161">
        <v>0</v>
      </c>
      <c r="J6" s="161">
        <v>5641221.5099999998</v>
      </c>
      <c r="K6" s="161">
        <v>0</v>
      </c>
    </row>
    <row r="7" spans="1:11">
      <c r="A7" t="s">
        <v>64</v>
      </c>
      <c r="B7" t="s">
        <v>68</v>
      </c>
      <c r="C7" t="s">
        <v>71</v>
      </c>
      <c r="D7" s="167">
        <v>8804294.5700000003</v>
      </c>
      <c r="E7" s="167">
        <v>8785614.5500000007</v>
      </c>
      <c r="F7" s="166">
        <v>0</v>
      </c>
      <c r="G7" s="161">
        <v>8785614.5500000007</v>
      </c>
      <c r="H7" s="161">
        <v>8804294.5700000003</v>
      </c>
      <c r="I7" s="161">
        <v>18680.02</v>
      </c>
      <c r="J7" s="161">
        <v>8804294.5700000003</v>
      </c>
      <c r="K7" s="161">
        <v>0</v>
      </c>
    </row>
    <row r="8" spans="1:11">
      <c r="A8" t="s">
        <v>64</v>
      </c>
      <c r="B8" t="s">
        <v>68</v>
      </c>
      <c r="C8" t="s">
        <v>72</v>
      </c>
      <c r="D8" s="167">
        <v>5954647.5899999999</v>
      </c>
      <c r="E8" s="167">
        <v>5932855.3499999996</v>
      </c>
      <c r="F8" s="166">
        <v>0</v>
      </c>
      <c r="G8" s="161">
        <v>5932855.3499999996</v>
      </c>
      <c r="H8" s="161">
        <v>5954647.5899999999</v>
      </c>
      <c r="I8" s="161">
        <v>21792.240000000002</v>
      </c>
      <c r="J8" s="161">
        <v>5954647.5899999999</v>
      </c>
      <c r="K8" s="161">
        <v>0</v>
      </c>
    </row>
    <row r="9" spans="1:11">
      <c r="A9" t="s">
        <v>64</v>
      </c>
      <c r="B9" t="s">
        <v>68</v>
      </c>
      <c r="C9" t="s">
        <v>73</v>
      </c>
      <c r="D9" s="167">
        <v>367644.95</v>
      </c>
      <c r="E9" s="167">
        <v>367644.95</v>
      </c>
      <c r="F9" s="166">
        <v>0</v>
      </c>
      <c r="G9" s="161">
        <v>367644.95</v>
      </c>
      <c r="H9" s="161">
        <v>367644.95</v>
      </c>
      <c r="I9" s="161">
        <v>0</v>
      </c>
      <c r="J9" s="161">
        <v>367644.95</v>
      </c>
      <c r="K9" s="161">
        <v>0</v>
      </c>
    </row>
    <row r="10" spans="1:11">
      <c r="A10" t="s">
        <v>64</v>
      </c>
      <c r="B10" t="s">
        <v>74</v>
      </c>
      <c r="C10" t="s">
        <v>75</v>
      </c>
      <c r="D10" s="166">
        <v>2608628.29</v>
      </c>
      <c r="E10" s="166">
        <v>0</v>
      </c>
      <c r="F10" s="203">
        <v>0</v>
      </c>
      <c r="G10" s="161">
        <v>0</v>
      </c>
      <c r="H10" s="161">
        <v>2608628.29</v>
      </c>
      <c r="I10" s="161">
        <v>2608628.29</v>
      </c>
      <c r="J10" s="161">
        <v>2608628.29</v>
      </c>
      <c r="K10" s="161">
        <v>0</v>
      </c>
    </row>
    <row r="11" spans="1:11">
      <c r="A11" t="s">
        <v>64</v>
      </c>
      <c r="B11" t="s">
        <v>74</v>
      </c>
      <c r="C11" t="s">
        <v>76</v>
      </c>
      <c r="D11" s="166">
        <v>1897166.4</v>
      </c>
      <c r="E11" s="166">
        <v>1897166.4</v>
      </c>
      <c r="F11" s="203">
        <v>480315</v>
      </c>
      <c r="G11" s="161">
        <v>1897166.4</v>
      </c>
      <c r="H11" s="161">
        <v>1897166.4</v>
      </c>
      <c r="I11" s="161">
        <v>0</v>
      </c>
      <c r="J11" s="161">
        <v>1897166.4</v>
      </c>
      <c r="K11" s="161">
        <v>0</v>
      </c>
    </row>
    <row r="12" spans="1:11">
      <c r="A12" t="s">
        <v>64</v>
      </c>
      <c r="B12" t="s">
        <v>74</v>
      </c>
      <c r="C12" t="s">
        <v>77</v>
      </c>
      <c r="D12" s="166">
        <v>7141348.9900000002</v>
      </c>
      <c r="E12" s="166">
        <v>7141348.9900000002</v>
      </c>
      <c r="F12" s="203">
        <v>1209931.51</v>
      </c>
      <c r="G12" s="161">
        <v>7141348.9900000002</v>
      </c>
      <c r="H12" s="161">
        <v>7141348.9900000002</v>
      </c>
      <c r="I12" s="161">
        <v>0</v>
      </c>
      <c r="J12" s="161">
        <v>7141348.9900000002</v>
      </c>
      <c r="K12" s="161">
        <v>0</v>
      </c>
    </row>
    <row r="13" spans="1:11">
      <c r="A13" t="s">
        <v>64</v>
      </c>
      <c r="B13" t="s">
        <v>78</v>
      </c>
      <c r="C13" t="s">
        <v>79</v>
      </c>
      <c r="D13" s="166">
        <v>11813426.560000001</v>
      </c>
      <c r="E13" s="166">
        <v>0</v>
      </c>
      <c r="F13" s="203">
        <v>0</v>
      </c>
      <c r="G13" s="161">
        <v>0</v>
      </c>
      <c r="H13" s="161">
        <v>11813426.560000001</v>
      </c>
      <c r="I13" s="161">
        <v>11813426.560000001</v>
      </c>
      <c r="J13" s="161">
        <v>11813426.560000001</v>
      </c>
      <c r="K13" s="161">
        <v>0</v>
      </c>
    </row>
    <row r="14" spans="1:11">
      <c r="A14" t="s">
        <v>64</v>
      </c>
      <c r="B14" t="s">
        <v>78</v>
      </c>
      <c r="C14" t="s">
        <v>80</v>
      </c>
      <c r="D14" s="166">
        <v>54584719.920000002</v>
      </c>
      <c r="E14" s="166">
        <v>0</v>
      </c>
      <c r="F14" s="203">
        <v>0</v>
      </c>
      <c r="G14" s="161">
        <v>0</v>
      </c>
      <c r="H14" s="161">
        <v>54584719.920000002</v>
      </c>
      <c r="I14" s="161">
        <v>54584719.920000002</v>
      </c>
      <c r="J14" s="161">
        <v>54584719.920000002</v>
      </c>
      <c r="K14" s="161">
        <v>0</v>
      </c>
    </row>
    <row r="15" spans="1:11">
      <c r="A15" t="s">
        <v>64</v>
      </c>
      <c r="B15" t="s">
        <v>78</v>
      </c>
      <c r="C15" t="s">
        <v>81</v>
      </c>
      <c r="D15" s="166">
        <v>56232240.789999999</v>
      </c>
      <c r="E15" s="166">
        <v>0</v>
      </c>
      <c r="F15" s="203">
        <v>0</v>
      </c>
      <c r="G15" s="161">
        <v>0</v>
      </c>
      <c r="H15" s="161">
        <v>56232240.789999999</v>
      </c>
      <c r="I15" s="161">
        <v>56232240.789999999</v>
      </c>
      <c r="J15" s="161">
        <v>56232240.789999999</v>
      </c>
      <c r="K15" s="161">
        <v>0</v>
      </c>
    </row>
    <row r="16" spans="1:11">
      <c r="A16" t="s">
        <v>64</v>
      </c>
      <c r="B16" t="s">
        <v>78</v>
      </c>
      <c r="C16" t="s">
        <v>82</v>
      </c>
      <c r="D16" s="166">
        <v>35679322.68</v>
      </c>
      <c r="E16" s="166">
        <v>0</v>
      </c>
      <c r="F16" s="203">
        <v>0</v>
      </c>
      <c r="G16" s="161">
        <v>0</v>
      </c>
      <c r="H16" s="161">
        <v>35679322.68</v>
      </c>
      <c r="I16" s="161">
        <v>35679322.68</v>
      </c>
      <c r="J16" s="161">
        <v>35679322.68</v>
      </c>
      <c r="K16" s="161">
        <v>0</v>
      </c>
    </row>
    <row r="17" spans="1:11">
      <c r="A17" t="s">
        <v>64</v>
      </c>
      <c r="B17" t="s">
        <v>78</v>
      </c>
      <c r="C17" t="s">
        <v>83</v>
      </c>
      <c r="D17" s="166">
        <v>135138026.36000001</v>
      </c>
      <c r="E17" s="166">
        <v>0</v>
      </c>
      <c r="F17" s="203">
        <v>0</v>
      </c>
      <c r="G17" s="161">
        <v>0</v>
      </c>
      <c r="H17" s="161">
        <v>135138026.36000001</v>
      </c>
      <c r="I17" s="161">
        <v>135138026.36000001</v>
      </c>
      <c r="J17" s="161">
        <v>135138026.36000001</v>
      </c>
      <c r="K17" s="161">
        <v>0</v>
      </c>
    </row>
    <row r="18" spans="1:11">
      <c r="A18" t="s">
        <v>64</v>
      </c>
      <c r="B18" t="s">
        <v>78</v>
      </c>
      <c r="C18" t="s">
        <v>84</v>
      </c>
      <c r="D18" s="166">
        <v>8535640.8900000006</v>
      </c>
      <c r="E18" s="166">
        <v>0</v>
      </c>
      <c r="F18" s="203">
        <v>0</v>
      </c>
      <c r="G18" s="161">
        <v>0</v>
      </c>
      <c r="H18" s="161">
        <v>8535640.8900000006</v>
      </c>
      <c r="I18" s="161">
        <v>8535640.8900000006</v>
      </c>
      <c r="J18" s="161">
        <v>8535640.8900000006</v>
      </c>
      <c r="K18" s="161">
        <v>0</v>
      </c>
    </row>
    <row r="19" spans="1:11">
      <c r="A19" t="s">
        <v>64</v>
      </c>
      <c r="B19" t="s">
        <v>78</v>
      </c>
      <c r="C19" t="s">
        <v>85</v>
      </c>
      <c r="D19" s="166">
        <v>14797543.15</v>
      </c>
      <c r="E19" s="166">
        <v>0</v>
      </c>
      <c r="F19" s="203">
        <v>0</v>
      </c>
      <c r="G19" s="161">
        <v>0</v>
      </c>
      <c r="H19" s="161">
        <v>14797543.15</v>
      </c>
      <c r="I19" s="161">
        <v>14797543.15</v>
      </c>
      <c r="J19" s="161">
        <v>14797543.15</v>
      </c>
      <c r="K19" s="161">
        <v>0</v>
      </c>
    </row>
    <row r="20" spans="1:11">
      <c r="A20" t="s">
        <v>64</v>
      </c>
      <c r="B20" t="s">
        <v>78</v>
      </c>
      <c r="C20" t="s">
        <v>86</v>
      </c>
      <c r="D20" s="166">
        <v>62873368.450000003</v>
      </c>
      <c r="E20" s="166">
        <v>0</v>
      </c>
      <c r="F20" s="203">
        <v>0</v>
      </c>
      <c r="G20" s="161">
        <v>0</v>
      </c>
      <c r="H20" s="161">
        <v>62873368.450000003</v>
      </c>
      <c r="I20" s="161">
        <v>62873368.450000003</v>
      </c>
      <c r="J20" s="161">
        <v>62873368.450000003</v>
      </c>
      <c r="K20" s="161">
        <v>0</v>
      </c>
    </row>
    <row r="21" spans="1:11">
      <c r="A21" t="s">
        <v>64</v>
      </c>
      <c r="B21" t="s">
        <v>78</v>
      </c>
      <c r="C21" t="s">
        <v>87</v>
      </c>
      <c r="D21" s="166">
        <v>26736231.68</v>
      </c>
      <c r="E21" s="166">
        <v>0</v>
      </c>
      <c r="F21" s="203">
        <v>0</v>
      </c>
      <c r="G21" s="161">
        <v>0</v>
      </c>
      <c r="H21" s="161">
        <v>26736231.68</v>
      </c>
      <c r="I21" s="161">
        <v>26736231.68</v>
      </c>
      <c r="J21" s="161">
        <v>26736231.68</v>
      </c>
      <c r="K21" s="161">
        <v>0</v>
      </c>
    </row>
    <row r="22" spans="1:11">
      <c r="A22" t="s">
        <v>64</v>
      </c>
      <c r="B22" t="s">
        <v>78</v>
      </c>
      <c r="C22" t="s">
        <v>88</v>
      </c>
      <c r="D22" s="166">
        <v>27763645.809999999</v>
      </c>
      <c r="E22" s="166">
        <v>0</v>
      </c>
      <c r="F22" s="203">
        <v>0</v>
      </c>
      <c r="G22" s="161">
        <v>0</v>
      </c>
      <c r="H22" s="161">
        <v>27763645.809999999</v>
      </c>
      <c r="I22" s="161">
        <v>27763645.809999999</v>
      </c>
      <c r="J22" s="161">
        <v>27763645.809999999</v>
      </c>
      <c r="K22" s="161">
        <v>0</v>
      </c>
    </row>
    <row r="23" spans="1:11">
      <c r="A23" t="s">
        <v>64</v>
      </c>
      <c r="B23" t="s">
        <v>78</v>
      </c>
      <c r="C23" t="s">
        <v>89</v>
      </c>
      <c r="D23" s="166">
        <v>5957690.0300000003</v>
      </c>
      <c r="E23" s="166">
        <v>0</v>
      </c>
      <c r="F23" s="203">
        <v>0</v>
      </c>
      <c r="G23" s="161">
        <v>0</v>
      </c>
      <c r="H23" s="161">
        <v>5957690.0300000003</v>
      </c>
      <c r="I23" s="161">
        <v>5957690.0300000003</v>
      </c>
      <c r="J23" s="161">
        <v>5957690.0300000003</v>
      </c>
      <c r="K23" s="161">
        <v>0</v>
      </c>
    </row>
    <row r="24" spans="1:11">
      <c r="A24" t="s">
        <v>64</v>
      </c>
      <c r="B24" t="s">
        <v>90</v>
      </c>
      <c r="C24" t="s">
        <v>91</v>
      </c>
      <c r="D24" s="167">
        <v>7612584.9800000004</v>
      </c>
      <c r="E24" s="161">
        <v>0</v>
      </c>
      <c r="F24" s="161">
        <v>0</v>
      </c>
      <c r="G24" s="161">
        <v>0</v>
      </c>
      <c r="H24" s="161">
        <v>7612584.9800000004</v>
      </c>
      <c r="I24" s="161">
        <v>7612584.9800000004</v>
      </c>
      <c r="J24" s="161">
        <v>7612584.9800000004</v>
      </c>
      <c r="K24" s="161">
        <v>0</v>
      </c>
    </row>
    <row r="25" spans="1:11">
      <c r="A25" t="s">
        <v>64</v>
      </c>
      <c r="B25" t="s">
        <v>90</v>
      </c>
      <c r="C25" t="s">
        <v>92</v>
      </c>
      <c r="D25" s="167">
        <v>85437791.670000002</v>
      </c>
      <c r="E25" s="161">
        <v>0</v>
      </c>
      <c r="F25" s="161">
        <v>0</v>
      </c>
      <c r="G25" s="161">
        <v>0</v>
      </c>
      <c r="H25" s="161">
        <v>85437791.670000002</v>
      </c>
      <c r="I25" s="161">
        <v>85437791.670000002</v>
      </c>
      <c r="J25" s="161">
        <v>85437791.670000002</v>
      </c>
      <c r="K25" s="161">
        <v>0</v>
      </c>
    </row>
    <row r="26" spans="1:11">
      <c r="A26" t="s">
        <v>64</v>
      </c>
      <c r="B26" t="s">
        <v>90</v>
      </c>
      <c r="C26" t="s">
        <v>93</v>
      </c>
      <c r="D26" s="167">
        <v>283042948.64999998</v>
      </c>
      <c r="E26" s="161">
        <v>0</v>
      </c>
      <c r="F26" s="161">
        <v>0</v>
      </c>
      <c r="G26" s="161">
        <v>0</v>
      </c>
      <c r="H26" s="161">
        <v>283042948.64999998</v>
      </c>
      <c r="I26" s="161">
        <v>283042948.64999998</v>
      </c>
      <c r="J26" s="161">
        <v>283042948.64999998</v>
      </c>
      <c r="K26" s="161">
        <v>0</v>
      </c>
    </row>
    <row r="27" spans="1:11">
      <c r="A27" t="s">
        <v>64</v>
      </c>
      <c r="B27" t="s">
        <v>90</v>
      </c>
      <c r="C27" t="s">
        <v>94</v>
      </c>
      <c r="D27" s="167">
        <v>0</v>
      </c>
      <c r="E27" s="161">
        <v>0</v>
      </c>
      <c r="F27" s="161">
        <v>0</v>
      </c>
      <c r="G27" s="161">
        <v>0</v>
      </c>
      <c r="H27" s="161">
        <v>0</v>
      </c>
      <c r="I27" s="161"/>
      <c r="J27" s="161"/>
      <c r="K27" s="161"/>
    </row>
    <row r="28" spans="1:11">
      <c r="A28" t="s">
        <v>64</v>
      </c>
      <c r="B28" t="s">
        <v>90</v>
      </c>
      <c r="C28" t="s">
        <v>94</v>
      </c>
      <c r="D28" s="167">
        <v>60439199.590000004</v>
      </c>
      <c r="E28" s="161">
        <v>0</v>
      </c>
      <c r="F28" s="161">
        <v>0</v>
      </c>
      <c r="G28" s="161">
        <v>0</v>
      </c>
      <c r="H28" s="161">
        <v>60439199.590000004</v>
      </c>
      <c r="I28" s="161">
        <v>60439199.590000004</v>
      </c>
      <c r="J28" s="161">
        <v>60439199.590000004</v>
      </c>
      <c r="K28" s="161">
        <v>0</v>
      </c>
    </row>
    <row r="29" spans="1:11">
      <c r="A29" t="s">
        <v>64</v>
      </c>
      <c r="B29" t="s">
        <v>90</v>
      </c>
      <c r="C29" t="s">
        <v>95</v>
      </c>
      <c r="D29" s="167">
        <v>8446912.3200000003</v>
      </c>
      <c r="E29" s="161">
        <v>0</v>
      </c>
      <c r="F29" s="161">
        <v>0</v>
      </c>
      <c r="G29" s="161">
        <v>0</v>
      </c>
      <c r="H29" s="161">
        <v>8446912.3200000003</v>
      </c>
      <c r="I29" s="161">
        <v>8446912.3200000003</v>
      </c>
      <c r="J29" s="161">
        <v>8446912.3200000003</v>
      </c>
      <c r="K29" s="161">
        <v>0</v>
      </c>
    </row>
    <row r="30" spans="1:11">
      <c r="A30" t="s">
        <v>64</v>
      </c>
      <c r="B30" t="s">
        <v>90</v>
      </c>
      <c r="C30" t="s">
        <v>96</v>
      </c>
      <c r="D30" s="167">
        <v>101007491.2</v>
      </c>
      <c r="E30" s="161">
        <v>0</v>
      </c>
      <c r="F30" s="161">
        <v>0</v>
      </c>
      <c r="G30" s="161">
        <v>0</v>
      </c>
      <c r="H30" s="161">
        <v>101007491.2</v>
      </c>
      <c r="I30" s="161">
        <v>101007491.2</v>
      </c>
      <c r="J30" s="161">
        <v>101007491.2</v>
      </c>
      <c r="K30" s="161">
        <v>0</v>
      </c>
    </row>
    <row r="31" spans="1:11">
      <c r="A31" t="s">
        <v>64</v>
      </c>
      <c r="B31" t="s">
        <v>90</v>
      </c>
      <c r="C31" t="s">
        <v>97</v>
      </c>
      <c r="D31" s="167">
        <v>455797.65</v>
      </c>
      <c r="E31" s="161">
        <v>0</v>
      </c>
      <c r="F31" s="161">
        <v>0</v>
      </c>
      <c r="G31" s="161">
        <v>0</v>
      </c>
      <c r="H31" s="161">
        <v>455797.65</v>
      </c>
      <c r="I31" s="161">
        <v>455797.65</v>
      </c>
      <c r="J31" s="161">
        <v>455797.65</v>
      </c>
      <c r="K31" s="161">
        <v>0</v>
      </c>
    </row>
    <row r="32" spans="1:11">
      <c r="A32" t="s">
        <v>64</v>
      </c>
      <c r="B32" t="s">
        <v>90</v>
      </c>
      <c r="C32" t="s">
        <v>98</v>
      </c>
      <c r="D32" s="167">
        <v>79619985.829999998</v>
      </c>
      <c r="E32" s="161">
        <v>0</v>
      </c>
      <c r="F32" s="161">
        <v>0</v>
      </c>
      <c r="G32" s="161">
        <v>0</v>
      </c>
      <c r="H32" s="161">
        <v>79619985.829999998</v>
      </c>
      <c r="I32" s="161">
        <v>79619985.829999998</v>
      </c>
      <c r="J32" s="161">
        <v>79619985.829999998</v>
      </c>
      <c r="K32" s="161">
        <v>0</v>
      </c>
    </row>
    <row r="33" spans="1:11">
      <c r="A33" t="s">
        <v>64</v>
      </c>
      <c r="B33" t="s">
        <v>90</v>
      </c>
      <c r="C33" t="s">
        <v>99</v>
      </c>
      <c r="D33" s="167">
        <v>55148949.240000002</v>
      </c>
      <c r="E33" s="161">
        <v>0</v>
      </c>
      <c r="F33" s="161">
        <v>0</v>
      </c>
      <c r="G33" s="161">
        <v>0</v>
      </c>
      <c r="H33" s="161">
        <v>55148949.240000002</v>
      </c>
      <c r="I33" s="161">
        <v>55148949.240000002</v>
      </c>
      <c r="J33" s="161">
        <v>55148949.240000002</v>
      </c>
      <c r="K33" s="161">
        <v>0</v>
      </c>
    </row>
    <row r="34" spans="1:11">
      <c r="A34" t="s">
        <v>64</v>
      </c>
      <c r="B34" t="s">
        <v>90</v>
      </c>
      <c r="C34" t="s">
        <v>100</v>
      </c>
      <c r="D34" s="167">
        <v>179792572.19</v>
      </c>
      <c r="E34" s="161">
        <v>0</v>
      </c>
      <c r="F34" s="161">
        <v>0</v>
      </c>
      <c r="G34" s="161">
        <v>0</v>
      </c>
      <c r="H34" s="161">
        <v>179792572.19</v>
      </c>
      <c r="I34" s="161">
        <v>179792572.19</v>
      </c>
      <c r="J34" s="161">
        <v>179792572.19</v>
      </c>
      <c r="K34" s="161">
        <v>0</v>
      </c>
    </row>
    <row r="35" spans="1:11">
      <c r="A35" t="s">
        <v>64</v>
      </c>
      <c r="B35" t="s">
        <v>90</v>
      </c>
      <c r="C35" t="s">
        <v>101</v>
      </c>
      <c r="D35" s="167">
        <v>113405914.16</v>
      </c>
      <c r="E35" s="161">
        <v>0</v>
      </c>
      <c r="F35" s="161">
        <v>0</v>
      </c>
      <c r="G35" s="161">
        <v>0</v>
      </c>
      <c r="H35" s="161">
        <v>113405914.16</v>
      </c>
      <c r="I35" s="161">
        <v>113405914.16</v>
      </c>
      <c r="J35" s="161">
        <v>113405914.16</v>
      </c>
      <c r="K35" s="161">
        <v>0</v>
      </c>
    </row>
    <row r="36" spans="1:11">
      <c r="A36" t="s">
        <v>64</v>
      </c>
      <c r="B36" t="s">
        <v>90</v>
      </c>
      <c r="C36" t="s">
        <v>102</v>
      </c>
      <c r="D36" s="167">
        <v>95070319.959999993</v>
      </c>
      <c r="E36" s="161">
        <v>0</v>
      </c>
      <c r="F36" s="161">
        <v>0</v>
      </c>
      <c r="G36" s="161">
        <v>0</v>
      </c>
      <c r="H36" s="161">
        <v>95070319.959999993</v>
      </c>
      <c r="I36" s="161">
        <v>95070319.959999993</v>
      </c>
      <c r="J36" s="161">
        <v>95070319.959999993</v>
      </c>
      <c r="K36" s="161">
        <v>0</v>
      </c>
    </row>
    <row r="37" spans="1:11">
      <c r="A37" t="s">
        <v>64</v>
      </c>
      <c r="B37" t="s">
        <v>90</v>
      </c>
      <c r="C37" t="s">
        <v>103</v>
      </c>
      <c r="D37" s="167">
        <v>121904327.93000001</v>
      </c>
      <c r="E37" s="161">
        <v>0</v>
      </c>
      <c r="F37" s="161">
        <v>0</v>
      </c>
      <c r="G37" s="161">
        <v>0</v>
      </c>
      <c r="H37" s="161">
        <v>121904327.93000001</v>
      </c>
      <c r="I37" s="161">
        <v>121904327.93000001</v>
      </c>
      <c r="J37" s="161">
        <v>121904327.93000001</v>
      </c>
      <c r="K37" s="161">
        <v>0</v>
      </c>
    </row>
    <row r="38" spans="1:11">
      <c r="A38" t="s">
        <v>64</v>
      </c>
      <c r="B38" t="s">
        <v>90</v>
      </c>
      <c r="C38" t="s">
        <v>104</v>
      </c>
      <c r="D38" s="167">
        <v>74569124.629999995</v>
      </c>
      <c r="E38" s="161">
        <v>0</v>
      </c>
      <c r="F38" s="161">
        <v>0</v>
      </c>
      <c r="G38" s="161">
        <v>0</v>
      </c>
      <c r="H38" s="161">
        <v>74569124.629999995</v>
      </c>
      <c r="I38" s="161">
        <v>74569124.629999995</v>
      </c>
      <c r="J38" s="161">
        <v>74569124.629999995</v>
      </c>
      <c r="K38" s="161">
        <v>0</v>
      </c>
    </row>
    <row r="39" spans="1:11">
      <c r="A39" t="s">
        <v>64</v>
      </c>
      <c r="B39" t="s">
        <v>105</v>
      </c>
      <c r="C39" t="s">
        <v>106</v>
      </c>
      <c r="D39" s="168">
        <v>171771292</v>
      </c>
      <c r="E39" s="161">
        <v>0</v>
      </c>
      <c r="F39" s="161">
        <v>0</v>
      </c>
      <c r="G39" s="161">
        <v>0</v>
      </c>
      <c r="H39" s="161">
        <v>171771292</v>
      </c>
      <c r="I39" s="161">
        <v>171771292</v>
      </c>
      <c r="J39" s="161">
        <v>171771292</v>
      </c>
      <c r="K39" s="161">
        <v>0</v>
      </c>
    </row>
    <row r="40" spans="1:11">
      <c r="A40" t="s">
        <v>64</v>
      </c>
      <c r="B40" t="s">
        <v>105</v>
      </c>
      <c r="C40" t="s">
        <v>107</v>
      </c>
      <c r="D40" s="168">
        <v>0</v>
      </c>
      <c r="E40" s="161">
        <v>0</v>
      </c>
      <c r="F40" s="161">
        <v>0</v>
      </c>
      <c r="G40" s="161">
        <v>0</v>
      </c>
      <c r="H40" s="161">
        <v>0</v>
      </c>
      <c r="I40" s="161">
        <v>0</v>
      </c>
      <c r="J40" s="161">
        <v>0</v>
      </c>
      <c r="K40" s="161">
        <v>0</v>
      </c>
    </row>
    <row r="41" spans="1:11">
      <c r="A41" t="s">
        <v>64</v>
      </c>
      <c r="B41" t="s">
        <v>108</v>
      </c>
      <c r="C41" t="s">
        <v>109</v>
      </c>
      <c r="D41" s="166">
        <v>34354258</v>
      </c>
      <c r="E41" s="161">
        <v>0</v>
      </c>
      <c r="F41" s="161">
        <v>0</v>
      </c>
      <c r="G41" s="161">
        <v>0</v>
      </c>
      <c r="H41" s="161">
        <v>34354258</v>
      </c>
      <c r="I41" s="161">
        <v>34354258</v>
      </c>
      <c r="J41" s="161">
        <v>34354258</v>
      </c>
      <c r="K41" s="161">
        <v>0</v>
      </c>
    </row>
    <row r="42" spans="1:11">
      <c r="A42" t="s">
        <v>64</v>
      </c>
      <c r="B42" t="s">
        <v>108</v>
      </c>
      <c r="C42" t="s">
        <v>110</v>
      </c>
      <c r="D42" s="166">
        <v>0</v>
      </c>
      <c r="E42" s="161">
        <v>0</v>
      </c>
      <c r="F42" s="161">
        <v>0</v>
      </c>
      <c r="G42" s="161">
        <v>0</v>
      </c>
      <c r="H42" s="161">
        <v>0</v>
      </c>
      <c r="I42" s="161">
        <v>0</v>
      </c>
      <c r="J42" s="161">
        <v>0</v>
      </c>
      <c r="K42" s="161">
        <v>0</v>
      </c>
    </row>
    <row r="43" spans="1:11">
      <c r="A43" t="s">
        <v>111</v>
      </c>
      <c r="B43" t="s">
        <v>112</v>
      </c>
      <c r="C43" t="s">
        <v>113</v>
      </c>
      <c r="D43" s="169">
        <v>137417034</v>
      </c>
      <c r="E43" s="161">
        <v>137416238</v>
      </c>
      <c r="F43" s="161">
        <v>0</v>
      </c>
      <c r="G43" s="161">
        <v>137416238</v>
      </c>
      <c r="H43" s="161">
        <v>137417034</v>
      </c>
      <c r="I43" s="161">
        <v>796</v>
      </c>
      <c r="J43" s="161">
        <v>137417034</v>
      </c>
      <c r="K43" s="161">
        <v>0</v>
      </c>
    </row>
    <row r="44" spans="1:11">
      <c r="A44" t="s">
        <v>111</v>
      </c>
      <c r="B44" t="s">
        <v>112</v>
      </c>
      <c r="C44" t="s">
        <v>114</v>
      </c>
      <c r="D44" s="169">
        <v>0</v>
      </c>
      <c r="E44" s="161">
        <v>0</v>
      </c>
      <c r="F44" s="161">
        <v>0</v>
      </c>
      <c r="G44" s="161">
        <v>0</v>
      </c>
      <c r="H44" s="161">
        <v>0</v>
      </c>
      <c r="I44" s="161">
        <v>0</v>
      </c>
      <c r="J44" s="161">
        <v>0</v>
      </c>
      <c r="K44" s="161">
        <v>0</v>
      </c>
    </row>
    <row r="45" spans="1:11">
      <c r="A45" t="s">
        <v>111</v>
      </c>
      <c r="B45" t="s">
        <v>115</v>
      </c>
      <c r="C45" t="s">
        <v>116</v>
      </c>
      <c r="D45" s="168">
        <v>0</v>
      </c>
      <c r="E45" s="161">
        <v>0</v>
      </c>
      <c r="F45" s="161">
        <v>0</v>
      </c>
      <c r="G45" s="161">
        <v>0</v>
      </c>
      <c r="H45" s="161">
        <v>0</v>
      </c>
      <c r="I45" s="161">
        <v>0</v>
      </c>
      <c r="J45" s="161">
        <v>0</v>
      </c>
      <c r="K45" s="161">
        <v>0</v>
      </c>
    </row>
    <row r="46" spans="1:11">
      <c r="A46" t="s">
        <v>111</v>
      </c>
      <c r="B46" t="s">
        <v>115</v>
      </c>
      <c r="C46" t="s">
        <v>117</v>
      </c>
      <c r="D46" s="168">
        <v>35151584</v>
      </c>
      <c r="E46" s="161">
        <v>0</v>
      </c>
      <c r="F46" s="161">
        <v>0</v>
      </c>
      <c r="G46" s="161">
        <v>0</v>
      </c>
      <c r="H46" s="161">
        <v>35151584</v>
      </c>
      <c r="I46" s="161">
        <v>35151584</v>
      </c>
      <c r="J46" s="161">
        <v>35151584</v>
      </c>
      <c r="K46" s="161">
        <v>0</v>
      </c>
    </row>
    <row r="47" spans="1:11">
      <c r="A47" t="s">
        <v>111</v>
      </c>
      <c r="B47" t="s">
        <v>115</v>
      </c>
      <c r="C47" t="s">
        <v>118</v>
      </c>
      <c r="D47" s="168">
        <v>246553335</v>
      </c>
      <c r="E47" s="161">
        <v>0</v>
      </c>
      <c r="F47" s="161">
        <v>0</v>
      </c>
      <c r="G47" s="161">
        <v>0</v>
      </c>
      <c r="H47" s="161">
        <v>246553335</v>
      </c>
      <c r="I47" s="161">
        <v>246553335</v>
      </c>
      <c r="J47" s="161">
        <v>246553335</v>
      </c>
      <c r="K47" s="161">
        <v>0</v>
      </c>
    </row>
    <row r="48" spans="1:11">
      <c r="A48" t="s">
        <v>111</v>
      </c>
      <c r="B48" t="s">
        <v>119</v>
      </c>
      <c r="C48" t="s">
        <v>120</v>
      </c>
      <c r="D48" s="166">
        <v>67334346</v>
      </c>
      <c r="E48" s="161">
        <v>0</v>
      </c>
      <c r="F48" s="161">
        <v>0</v>
      </c>
      <c r="G48" s="161">
        <v>0</v>
      </c>
      <c r="H48" s="161">
        <v>67334346</v>
      </c>
      <c r="I48" s="161">
        <v>67334346</v>
      </c>
      <c r="J48" s="161">
        <v>67334346</v>
      </c>
      <c r="K48" s="161">
        <v>0</v>
      </c>
    </row>
    <row r="49" spans="1:11">
      <c r="A49" t="s">
        <v>111</v>
      </c>
      <c r="B49" t="s">
        <v>119</v>
      </c>
      <c r="C49" t="s">
        <v>121</v>
      </c>
      <c r="D49" s="166">
        <v>0</v>
      </c>
      <c r="E49" s="161">
        <v>0</v>
      </c>
      <c r="F49" s="161">
        <v>0</v>
      </c>
      <c r="G49" s="161">
        <v>0</v>
      </c>
      <c r="H49" s="161">
        <v>0</v>
      </c>
      <c r="I49" s="161">
        <v>0</v>
      </c>
      <c r="J49" s="161">
        <v>0</v>
      </c>
      <c r="K49" s="161">
        <v>0</v>
      </c>
    </row>
    <row r="50" spans="1:11">
      <c r="A50" t="s">
        <v>111</v>
      </c>
      <c r="B50" t="s">
        <v>122</v>
      </c>
      <c r="C50" t="s">
        <v>123</v>
      </c>
      <c r="D50" s="167">
        <v>50231388</v>
      </c>
      <c r="E50" s="167">
        <v>3786501.88</v>
      </c>
      <c r="F50" s="161">
        <v>0</v>
      </c>
      <c r="G50" s="161">
        <v>3786501.88</v>
      </c>
      <c r="H50" s="161">
        <v>50231388</v>
      </c>
      <c r="I50" s="161">
        <v>46444886.119999997</v>
      </c>
      <c r="J50" s="161">
        <v>50231388</v>
      </c>
      <c r="K50" s="161">
        <v>0</v>
      </c>
    </row>
    <row r="51" spans="1:11">
      <c r="A51" t="s">
        <v>111</v>
      </c>
      <c r="B51" t="s">
        <v>122</v>
      </c>
      <c r="C51" t="s">
        <v>180</v>
      </c>
      <c r="D51" s="167">
        <v>1300000</v>
      </c>
      <c r="E51" s="167">
        <v>1300000</v>
      </c>
      <c r="F51" s="161">
        <v>390000</v>
      </c>
      <c r="G51" s="161">
        <v>1300000</v>
      </c>
      <c r="H51" s="161">
        <v>1300000</v>
      </c>
      <c r="I51" s="161">
        <v>0</v>
      </c>
      <c r="J51" s="161">
        <v>1300000</v>
      </c>
      <c r="K51" s="161">
        <v>0</v>
      </c>
    </row>
    <row r="52" spans="1:11">
      <c r="A52" t="s">
        <v>111</v>
      </c>
      <c r="B52" t="s">
        <v>126</v>
      </c>
      <c r="C52" t="s">
        <v>127</v>
      </c>
      <c r="D52" s="166">
        <v>19238385</v>
      </c>
      <c r="E52" s="161">
        <v>0</v>
      </c>
      <c r="F52" s="161">
        <v>0</v>
      </c>
      <c r="G52" s="161">
        <v>0</v>
      </c>
      <c r="H52" s="161">
        <v>19238385</v>
      </c>
      <c r="I52" s="161">
        <v>19238385</v>
      </c>
      <c r="J52" s="161">
        <v>19238385</v>
      </c>
      <c r="K52" s="161">
        <v>0</v>
      </c>
    </row>
    <row r="53" spans="1:11">
      <c r="A53" t="s">
        <v>111</v>
      </c>
      <c r="B53" t="s">
        <v>126</v>
      </c>
      <c r="C53" t="s">
        <v>128</v>
      </c>
      <c r="D53" s="166">
        <v>0</v>
      </c>
      <c r="E53" s="161">
        <v>0</v>
      </c>
      <c r="F53" s="161">
        <v>0</v>
      </c>
      <c r="G53" s="161">
        <v>0</v>
      </c>
      <c r="H53" s="161">
        <v>0</v>
      </c>
      <c r="I53" s="161">
        <v>0</v>
      </c>
      <c r="J53" s="161">
        <v>0</v>
      </c>
      <c r="K53" s="161">
        <v>0</v>
      </c>
    </row>
    <row r="54" spans="1:11">
      <c r="A54" t="s">
        <v>129</v>
      </c>
      <c r="B54" t="s">
        <v>181</v>
      </c>
      <c r="C54" t="s">
        <v>182</v>
      </c>
      <c r="D54" s="167">
        <v>11603049.300000001</v>
      </c>
      <c r="E54" s="161">
        <v>0</v>
      </c>
      <c r="F54" s="161">
        <v>0</v>
      </c>
      <c r="G54" s="161">
        <v>0</v>
      </c>
      <c r="H54" s="161">
        <v>11603049.300000001</v>
      </c>
      <c r="I54" s="161">
        <v>11603049.300000001</v>
      </c>
      <c r="J54" s="161">
        <v>11603049.300000001</v>
      </c>
      <c r="K54" s="161">
        <v>0</v>
      </c>
    </row>
    <row r="55" spans="1:11">
      <c r="A55" t="s">
        <v>129</v>
      </c>
      <c r="B55" t="s">
        <v>181</v>
      </c>
      <c r="C55" t="s">
        <v>182</v>
      </c>
      <c r="D55" s="167">
        <v>3396950.7</v>
      </c>
      <c r="E55" s="161">
        <v>3396950.7</v>
      </c>
      <c r="F55" s="161">
        <v>0</v>
      </c>
      <c r="G55" s="161">
        <v>3396950.7</v>
      </c>
      <c r="H55" s="161">
        <v>3396950.7</v>
      </c>
      <c r="I55" s="161">
        <v>0</v>
      </c>
      <c r="J55" s="161">
        <v>3396950.7</v>
      </c>
      <c r="K55" s="161">
        <v>0</v>
      </c>
    </row>
    <row r="56" spans="1:11">
      <c r="A56" t="s">
        <v>129</v>
      </c>
      <c r="B56" t="s">
        <v>133</v>
      </c>
      <c r="C56" t="s">
        <v>134</v>
      </c>
      <c r="D56" s="161">
        <v>19238385</v>
      </c>
      <c r="E56" s="161">
        <v>0</v>
      </c>
      <c r="F56" s="161">
        <v>0</v>
      </c>
      <c r="G56" s="161">
        <v>0</v>
      </c>
      <c r="H56" s="161">
        <v>19238385</v>
      </c>
      <c r="I56" s="161">
        <v>19238385</v>
      </c>
      <c r="J56" s="161">
        <v>19238385</v>
      </c>
      <c r="K56" s="161">
        <v>0</v>
      </c>
    </row>
    <row r="57" spans="1:11">
      <c r="A57" t="s">
        <v>129</v>
      </c>
      <c r="B57" t="s">
        <v>133</v>
      </c>
      <c r="C57" t="s">
        <v>135</v>
      </c>
      <c r="D57" s="161">
        <v>0</v>
      </c>
      <c r="E57" s="161">
        <v>0</v>
      </c>
      <c r="F57" s="161">
        <v>0</v>
      </c>
      <c r="G57" s="161">
        <v>0</v>
      </c>
      <c r="H57" s="161">
        <v>0</v>
      </c>
      <c r="I57" s="161">
        <v>0</v>
      </c>
      <c r="J57" s="161">
        <v>0</v>
      </c>
      <c r="K57" s="161">
        <v>0</v>
      </c>
    </row>
    <row r="58" spans="1:11">
      <c r="A58" t="s">
        <v>129</v>
      </c>
      <c r="B58" t="s">
        <v>136</v>
      </c>
      <c r="C58" t="s">
        <v>137</v>
      </c>
      <c r="D58" s="161">
        <v>192383847</v>
      </c>
      <c r="E58" s="161">
        <v>0</v>
      </c>
      <c r="F58" s="161">
        <v>0</v>
      </c>
      <c r="G58" s="161">
        <v>0</v>
      </c>
      <c r="H58" s="161">
        <v>192383847</v>
      </c>
      <c r="I58" s="161">
        <v>192383847</v>
      </c>
      <c r="J58" s="161">
        <v>192383847</v>
      </c>
      <c r="K58" s="161">
        <v>0</v>
      </c>
    </row>
    <row r="59" spans="1:11">
      <c r="A59" t="s">
        <v>129</v>
      </c>
      <c r="B59" t="s">
        <v>136</v>
      </c>
      <c r="C59" t="s">
        <v>138</v>
      </c>
      <c r="D59" s="161">
        <v>0</v>
      </c>
      <c r="E59" s="161">
        <v>0</v>
      </c>
      <c r="F59" s="161">
        <v>0</v>
      </c>
      <c r="G59" s="161">
        <v>0</v>
      </c>
      <c r="H59" s="161">
        <v>0</v>
      </c>
      <c r="I59" s="161">
        <v>0</v>
      </c>
      <c r="J59" s="161">
        <v>0</v>
      </c>
      <c r="K59" s="161">
        <v>0</v>
      </c>
    </row>
    <row r="60" spans="1:11">
      <c r="D60" s="161">
        <f>SUM(D2:D59)</f>
        <v>2831861943</v>
      </c>
      <c r="E60" s="161">
        <f t="shared" ref="E60:K60" si="0">SUM(E2:E59)</f>
        <v>271937711.06999999</v>
      </c>
      <c r="F60" s="161">
        <f t="shared" si="0"/>
        <v>98352415.25</v>
      </c>
      <c r="G60" s="161">
        <f t="shared" si="0"/>
        <v>271937711.06999999</v>
      </c>
      <c r="H60" s="161">
        <f t="shared" si="0"/>
        <v>2831861943</v>
      </c>
      <c r="I60" s="161">
        <f t="shared" si="0"/>
        <v>2559983231.9300003</v>
      </c>
      <c r="J60" s="161">
        <f t="shared" si="0"/>
        <v>2831920943</v>
      </c>
      <c r="K60" s="161">
        <f t="shared" si="0"/>
        <v>-59000</v>
      </c>
    </row>
    <row r="62" spans="1:11">
      <c r="D62" s="142">
        <v>2816861943</v>
      </c>
      <c r="E62" s="142">
        <v>267240760.37</v>
      </c>
      <c r="F62" s="142">
        <v>98832093.579999998</v>
      </c>
      <c r="G62" s="142">
        <v>267240760.37</v>
      </c>
      <c r="H62" s="142">
        <v>2816861943</v>
      </c>
      <c r="I62" s="142">
        <v>2549680182.6300001</v>
      </c>
      <c r="J62" s="142">
        <v>2816920943</v>
      </c>
      <c r="K62" s="142">
        <v>-59000</v>
      </c>
    </row>
    <row r="63" spans="1:11">
      <c r="D63" t="s">
        <v>172</v>
      </c>
      <c r="E63" t="s">
        <v>183</v>
      </c>
      <c r="F63" t="s">
        <v>184</v>
      </c>
      <c r="G63" t="s">
        <v>175</v>
      </c>
      <c r="H63" t="s">
        <v>176</v>
      </c>
      <c r="I63" t="s">
        <v>177</v>
      </c>
      <c r="J63" t="s">
        <v>178</v>
      </c>
      <c r="K63" t="s">
        <v>179</v>
      </c>
    </row>
    <row r="64" spans="1:11">
      <c r="D64" t="str">
        <f t="shared" ref="D64:J64" si="1">D1</f>
        <v>Presupuesto Original</v>
      </c>
      <c r="E64" t="str">
        <f t="shared" si="1"/>
        <v>Costos Comprometidos (CONTRATO)</v>
      </c>
      <c r="F64" t="str">
        <f t="shared" si="1"/>
        <v>Costos de Trabajo a la Fecha  (CUBICADO)</v>
      </c>
      <c r="G64" t="str">
        <f t="shared" si="1"/>
        <v>Costos Proyectados</v>
      </c>
      <c r="H64" t="str">
        <f t="shared" si="1"/>
        <v>Precio unitario del presupuesto</v>
      </c>
      <c r="I64" t="str">
        <f t="shared" si="1"/>
        <v>Proyección para terminar</v>
      </c>
      <c r="J64" t="str">
        <f t="shared" si="1"/>
        <v>Costo Estimado al Terminar</v>
      </c>
      <c r="K64" t="str">
        <f>K1</f>
        <v>Proyectado Arriba/Abajo del Presupuesto</v>
      </c>
    </row>
    <row r="65" spans="4:11">
      <c r="D65" s="161">
        <f t="shared" ref="D65" si="2">D60-D62</f>
        <v>15000000</v>
      </c>
      <c r="E65" s="161">
        <f>E60-E62</f>
        <v>4696950.6999999881</v>
      </c>
      <c r="F65" s="161">
        <f t="shared" ref="F65:K65" si="3">F60-F62</f>
        <v>-479678.32999999821</v>
      </c>
      <c r="G65" s="161">
        <f t="shared" si="3"/>
        <v>4696950.6999999881</v>
      </c>
      <c r="H65" s="161">
        <f t="shared" si="3"/>
        <v>15000000</v>
      </c>
      <c r="I65" s="161">
        <f t="shared" si="3"/>
        <v>10303049.300000191</v>
      </c>
      <c r="J65" s="161">
        <f t="shared" si="3"/>
        <v>15000000</v>
      </c>
      <c r="K65" s="161">
        <f t="shared" si="3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5B5C6-9E24-48B9-8965-F4566D7FE68D}">
  <dimension ref="B1:M49"/>
  <sheetViews>
    <sheetView showGridLines="0" topLeftCell="A4" zoomScale="89" zoomScaleNormal="110" workbookViewId="0">
      <selection activeCell="D5" sqref="D5:I21"/>
    </sheetView>
  </sheetViews>
  <sheetFormatPr baseColWidth="10" defaultColWidth="11.44140625" defaultRowHeight="14.4"/>
  <cols>
    <col min="1" max="1" width="10.109375" customWidth="1"/>
    <col min="2" max="2" width="26.33203125" bestFit="1" customWidth="1"/>
    <col min="3" max="3" width="5.6640625" bestFit="1" customWidth="1"/>
    <col min="4" max="4" width="23.109375" customWidth="1"/>
    <col min="5" max="5" width="22.109375" customWidth="1"/>
    <col min="6" max="6" width="18.5546875" bestFit="1" customWidth="1"/>
    <col min="7" max="7" width="18.88671875" bestFit="1" customWidth="1"/>
    <col min="8" max="8" width="20.88671875" customWidth="1"/>
    <col min="9" max="9" width="21.109375" bestFit="1" customWidth="1"/>
    <col min="10" max="10" width="16.109375" customWidth="1"/>
    <col min="11" max="11" width="18.5546875" customWidth="1"/>
    <col min="12" max="12" width="17" customWidth="1"/>
    <col min="13" max="15" width="15.44140625" bestFit="1" customWidth="1"/>
    <col min="16" max="16" width="14.44140625" bestFit="1" customWidth="1"/>
  </cols>
  <sheetData>
    <row r="1" spans="2:13" ht="14.4" customHeight="1">
      <c r="J1" s="2109" t="s">
        <v>185</v>
      </c>
      <c r="K1" s="2109"/>
      <c r="L1" s="2109"/>
      <c r="M1" s="2109"/>
    </row>
    <row r="2" spans="2:13" ht="15" thickBot="1">
      <c r="E2" s="181" t="s">
        <v>186</v>
      </c>
      <c r="J2" s="2109"/>
      <c r="K2" s="2109"/>
      <c r="L2" s="2109"/>
      <c r="M2" s="2109"/>
    </row>
    <row r="3" spans="2:13" ht="15.6">
      <c r="B3" s="160" t="s">
        <v>187</v>
      </c>
      <c r="C3" s="62"/>
      <c r="D3" s="62"/>
      <c r="E3" s="141">
        <v>59.15</v>
      </c>
      <c r="F3" s="2105" t="s">
        <v>188</v>
      </c>
      <c r="G3" s="2105" t="s">
        <v>145</v>
      </c>
      <c r="H3" s="2105" t="s">
        <v>146</v>
      </c>
      <c r="I3" s="2107" t="s">
        <v>147</v>
      </c>
      <c r="J3" s="183"/>
      <c r="K3" s="183"/>
      <c r="L3" s="183"/>
      <c r="M3" s="183"/>
    </row>
    <row r="4" spans="2:13" ht="15" thickBot="1">
      <c r="B4" s="25" t="s">
        <v>29</v>
      </c>
      <c r="C4" s="25"/>
      <c r="D4" s="25" t="s">
        <v>30</v>
      </c>
      <c r="E4" s="65" t="s">
        <v>31</v>
      </c>
      <c r="F4" s="2106"/>
      <c r="G4" s="2106"/>
      <c r="H4" s="2106"/>
      <c r="I4" s="2108"/>
      <c r="J4" s="183"/>
      <c r="K4" s="183"/>
      <c r="L4" s="183"/>
      <c r="M4" s="183"/>
    </row>
    <row r="5" spans="2:13" ht="15" thickBot="1">
      <c r="B5" s="66" t="s">
        <v>33</v>
      </c>
      <c r="C5" s="23"/>
      <c r="D5" s="26">
        <f>SUM('budget (8)'!D2:D3)</f>
        <v>103385169</v>
      </c>
      <c r="E5" s="67">
        <f>D5/E3</f>
        <v>1747847.3203719358</v>
      </c>
      <c r="F5" s="206">
        <f>SUM('budget (8)'!F2:F3)</f>
        <v>96272168.739999995</v>
      </c>
      <c r="G5" s="204">
        <f>SUM('budget (8)'!E2:E3)</f>
        <v>96272168.739999995</v>
      </c>
      <c r="H5" s="172">
        <f>SUM('budget (8)'!J2:J3)</f>
        <v>103444169</v>
      </c>
      <c r="I5" s="52">
        <f t="shared" ref="I5:I16" si="0">G5-F5</f>
        <v>0</v>
      </c>
      <c r="J5" s="183"/>
      <c r="K5" s="183"/>
      <c r="L5" s="183"/>
      <c r="M5" s="183"/>
    </row>
    <row r="6" spans="2:13">
      <c r="B6" s="115" t="s">
        <v>35</v>
      </c>
      <c r="C6" s="120"/>
      <c r="D6" s="116">
        <f>SUM('budget (8)'!D10:D23)</f>
        <v>451758999.99999994</v>
      </c>
      <c r="E6" s="117">
        <f>D6/$E$3</f>
        <v>7637514.7928994074</v>
      </c>
      <c r="F6" s="132">
        <f>SUM('budget (8)'!F10:F23)</f>
        <v>1690246.51</v>
      </c>
      <c r="G6" s="205">
        <f>SUM('budget (8)'!E10:E23)</f>
        <v>9038515.3900000006</v>
      </c>
      <c r="H6" s="173">
        <f>SUM('budget (8)'!J10:J23)</f>
        <v>451758999.99999994</v>
      </c>
      <c r="I6" s="125">
        <f>G6-F6</f>
        <v>7348268.8800000008</v>
      </c>
      <c r="J6" s="183"/>
      <c r="K6" s="184"/>
      <c r="L6" s="183"/>
      <c r="M6" s="183"/>
    </row>
    <row r="7" spans="2:13">
      <c r="B7" s="112" t="s">
        <v>38</v>
      </c>
      <c r="C7" s="121"/>
      <c r="D7" s="113">
        <f>SUM('budget (8)'!D24:D38)</f>
        <v>1265953920</v>
      </c>
      <c r="E7" s="114">
        <f t="shared" ref="E7:E9" si="1">D7/$E$3</f>
        <v>21402433.136094674</v>
      </c>
      <c r="F7" s="133">
        <f>SUM('budget (8)'!F24:F38)</f>
        <v>0</v>
      </c>
      <c r="G7" s="170">
        <f>SUM('budget (8)'!E24:E38)</f>
        <v>0</v>
      </c>
      <c r="H7" s="133">
        <f>SUM('budget (8)'!J24:J38)</f>
        <v>1265953920</v>
      </c>
      <c r="I7" s="127">
        <f>G7-F7</f>
        <v>0</v>
      </c>
      <c r="J7" s="183"/>
      <c r="K7" s="184"/>
      <c r="L7" s="183"/>
      <c r="M7" s="183"/>
    </row>
    <row r="8" spans="2:13">
      <c r="B8" s="115" t="s">
        <v>148</v>
      </c>
      <c r="C8" s="120"/>
      <c r="D8" s="118">
        <f>SUM('budget (8)'!D39:D40)</f>
        <v>171771292</v>
      </c>
      <c r="E8" s="117">
        <f t="shared" si="1"/>
        <v>2903994.7928994084</v>
      </c>
      <c r="F8" s="134">
        <f>SUM('budget (8)'!F39:F40)</f>
        <v>0</v>
      </c>
      <c r="G8" s="171">
        <f>SUM('budget (8)'!E39:E40)</f>
        <v>0</v>
      </c>
      <c r="H8" s="134">
        <f>SUM('budget (8)'!J39:J40)</f>
        <v>171771292</v>
      </c>
      <c r="I8" s="129">
        <f t="shared" si="0"/>
        <v>0</v>
      </c>
      <c r="J8" s="183"/>
      <c r="K8" s="184"/>
      <c r="L8" s="183"/>
      <c r="M8" s="183"/>
    </row>
    <row r="9" spans="2:13">
      <c r="B9" s="112" t="s">
        <v>40</v>
      </c>
      <c r="C9" s="121"/>
      <c r="D9" s="113">
        <f>SUM('budget (8)'!D41:D42)</f>
        <v>34354258</v>
      </c>
      <c r="E9" s="114">
        <f t="shared" si="1"/>
        <v>580798.95181741333</v>
      </c>
      <c r="F9" s="133">
        <f>SUM('budget (8)'!F41:F42)</f>
        <v>0</v>
      </c>
      <c r="G9" s="170">
        <f>SUM('budget (8)'!E41:E42)</f>
        <v>0</v>
      </c>
      <c r="H9" s="133">
        <f>SUM('budget (8)'!J41:J42)</f>
        <v>34354258</v>
      </c>
      <c r="I9" s="127">
        <f t="shared" si="0"/>
        <v>0</v>
      </c>
      <c r="J9" s="183"/>
      <c r="K9" s="184"/>
      <c r="L9" s="183"/>
      <c r="M9" s="183"/>
    </row>
    <row r="10" spans="2:13" ht="15" thickBot="1">
      <c r="B10" s="66" t="s">
        <v>41</v>
      </c>
      <c r="C10" s="23"/>
      <c r="D10" s="164">
        <f>SUM(D6:D9)</f>
        <v>1923838470</v>
      </c>
      <c r="E10" s="52">
        <f>SUM(E6:E9)</f>
        <v>32524741.673710901</v>
      </c>
      <c r="F10" s="87">
        <f>SUM(F6:F9)</f>
        <v>1690246.51</v>
      </c>
      <c r="G10" s="204">
        <f>SUM(G6:G9)</f>
        <v>9038515.3900000006</v>
      </c>
      <c r="H10" s="174">
        <f>SUM(H6:H9)</f>
        <v>1923838470</v>
      </c>
      <c r="I10" s="52">
        <f t="shared" si="0"/>
        <v>7348268.8800000008</v>
      </c>
      <c r="J10" s="183"/>
      <c r="K10" s="184"/>
      <c r="L10" s="183"/>
      <c r="M10" s="183"/>
    </row>
    <row r="11" spans="2:13">
      <c r="B11" s="112" t="s">
        <v>42</v>
      </c>
      <c r="C11" s="121"/>
      <c r="D11" s="163">
        <f>SUM('budget (8)'!D43:D44)</f>
        <v>137417034</v>
      </c>
      <c r="E11" s="114">
        <f>D11/$E$3</f>
        <v>2323195.8410819951</v>
      </c>
      <c r="F11" s="179">
        <f>SUM('budget (8)'!F43:F44)</f>
        <v>0</v>
      </c>
      <c r="G11" s="175">
        <f>SUM('budget (8)'!E43:E44)</f>
        <v>137416238</v>
      </c>
      <c r="H11" s="177">
        <f>SUM('budget (8)'!J43:J44)</f>
        <v>137417034</v>
      </c>
      <c r="I11" s="133">
        <f t="shared" si="0"/>
        <v>137416238</v>
      </c>
      <c r="J11" s="183"/>
      <c r="K11" s="184"/>
      <c r="L11" s="183"/>
      <c r="M11" s="183"/>
    </row>
    <row r="12" spans="2:13">
      <c r="B12" s="115" t="s">
        <v>43</v>
      </c>
      <c r="C12" s="120"/>
      <c r="D12" s="165">
        <f>SUM('budget (8)'!D45:D47)</f>
        <v>281704919</v>
      </c>
      <c r="E12" s="117">
        <f t="shared" ref="E12:E20" si="2">D12/$E$3</f>
        <v>4762551.4623837704</v>
      </c>
      <c r="F12" s="178">
        <f>SUM('budget (8)'!F45:F47)</f>
        <v>0</v>
      </c>
      <c r="G12" s="176">
        <f>SUM('budget (8)'!E45:E47)</f>
        <v>0</v>
      </c>
      <c r="H12" s="178">
        <f>SUM('budget (8)'!J45:J47)</f>
        <v>281704919</v>
      </c>
      <c r="I12" s="135">
        <f t="shared" si="0"/>
        <v>0</v>
      </c>
      <c r="J12" s="183"/>
      <c r="K12" s="184"/>
      <c r="L12" s="183"/>
      <c r="M12" s="183"/>
    </row>
    <row r="13" spans="2:13">
      <c r="B13" s="112" t="s">
        <v>44</v>
      </c>
      <c r="C13" s="121"/>
      <c r="D13" s="163">
        <f>SUM('budget (8)'!D48:D49)</f>
        <v>67334346</v>
      </c>
      <c r="E13" s="114">
        <f t="shared" si="2"/>
        <v>1138365.9509721049</v>
      </c>
      <c r="F13" s="179">
        <f>SUM('budget (8)'!F48:F49)</f>
        <v>0</v>
      </c>
      <c r="G13" s="175">
        <f>SUM('budget (8)'!E48:E49)</f>
        <v>0</v>
      </c>
      <c r="H13" s="179">
        <f>SUM('budget (8)'!J48:J49)</f>
        <v>67334346</v>
      </c>
      <c r="I13" s="133">
        <f t="shared" si="0"/>
        <v>0</v>
      </c>
      <c r="J13" s="183"/>
      <c r="K13" s="184"/>
      <c r="L13" s="183"/>
      <c r="M13" s="183"/>
    </row>
    <row r="14" spans="2:13">
      <c r="B14" s="115" t="s">
        <v>45</v>
      </c>
      <c r="C14" s="120"/>
      <c r="D14" s="165">
        <f>SUM('budget (8)'!D50:D51)</f>
        <v>51531388</v>
      </c>
      <c r="E14" s="117">
        <f t="shared" si="2"/>
        <v>871198.44463229086</v>
      </c>
      <c r="F14" s="178">
        <f>SUM('budget (8)'!F50:F51)</f>
        <v>390000</v>
      </c>
      <c r="G14" s="176">
        <f>SUM('budget (8)'!E50:E51)</f>
        <v>5086501.88</v>
      </c>
      <c r="H14" s="178">
        <f>SUM('budget (8)'!J50:J51)</f>
        <v>51531388</v>
      </c>
      <c r="I14" s="135">
        <f t="shared" si="0"/>
        <v>4696501.88</v>
      </c>
      <c r="J14" s="183"/>
      <c r="K14" s="184"/>
      <c r="L14" s="183"/>
      <c r="M14" s="183"/>
    </row>
    <row r="15" spans="2:13">
      <c r="B15" s="112" t="s">
        <v>46</v>
      </c>
      <c r="C15" s="121"/>
      <c r="D15" s="163">
        <f>SUM('budget (8)'!D52:D53)</f>
        <v>19238385</v>
      </c>
      <c r="E15" s="114">
        <f t="shared" si="2"/>
        <v>325247.42180896027</v>
      </c>
      <c r="F15" s="179">
        <f>SUM('budget (8)'!F52:F53)</f>
        <v>0</v>
      </c>
      <c r="G15" s="175">
        <f>SUM('budget (8)'!E52:E53)</f>
        <v>0</v>
      </c>
      <c r="H15" s="179">
        <f>SUM('budget (8)'!J52:J53)</f>
        <v>19238385</v>
      </c>
      <c r="I15" s="133">
        <f t="shared" si="0"/>
        <v>0</v>
      </c>
      <c r="J15" s="183"/>
      <c r="K15" s="184"/>
      <c r="L15" s="183"/>
      <c r="M15" s="183"/>
    </row>
    <row r="16" spans="2:13" ht="15" thickBot="1">
      <c r="B16" s="66" t="s">
        <v>47</v>
      </c>
      <c r="C16" s="23"/>
      <c r="D16" s="164">
        <f>SUM(D11:D15)</f>
        <v>557226072</v>
      </c>
      <c r="E16" s="52">
        <f>SUM(E11:E15)</f>
        <v>9420559.1208791193</v>
      </c>
      <c r="F16" s="87">
        <f>SUM(F11:F15)</f>
        <v>390000</v>
      </c>
      <c r="G16" s="204">
        <f>SUM(G11:G15)</f>
        <v>142502739.88</v>
      </c>
      <c r="H16" s="174">
        <f t="shared" ref="H16" si="3">SUM(H11:H15)</f>
        <v>557226072</v>
      </c>
      <c r="I16" s="87">
        <f t="shared" si="0"/>
        <v>142112739.88</v>
      </c>
      <c r="J16" s="183"/>
      <c r="K16" s="184"/>
      <c r="L16" s="183"/>
      <c r="M16" s="183"/>
    </row>
    <row r="17" spans="2:13">
      <c r="B17" s="112" t="s">
        <v>48</v>
      </c>
      <c r="C17" s="121"/>
      <c r="D17" s="163">
        <f>SUM('budget (8)'!D54:D55)</f>
        <v>15000000</v>
      </c>
      <c r="E17" s="114">
        <f t="shared" si="2"/>
        <v>253592.56128486898</v>
      </c>
      <c r="F17" s="179">
        <f>SUM('budget (8)'!F54:F55)</f>
        <v>0</v>
      </c>
      <c r="G17" s="175">
        <f>SUM('budget (8)'!E54:E55)</f>
        <v>3396950.7</v>
      </c>
      <c r="H17" s="177">
        <f>SUM('budget (8)'!J54:J55)</f>
        <v>15000000</v>
      </c>
      <c r="I17" s="133">
        <f>G17-F17</f>
        <v>3396950.7</v>
      </c>
      <c r="J17" s="183"/>
      <c r="K17" s="184"/>
      <c r="L17" s="183"/>
      <c r="M17" s="185"/>
    </row>
    <row r="18" spans="2:13">
      <c r="B18" s="115" t="s">
        <v>49</v>
      </c>
      <c r="C18" s="120"/>
      <c r="D18" s="165">
        <f>SUM('budget (8)'!D5:D9)</f>
        <v>20767808.620000001</v>
      </c>
      <c r="E18" s="117">
        <f t="shared" si="2"/>
        <v>351104.11868131871</v>
      </c>
      <c r="F18" s="178">
        <f>SUM('budget (8)'!F5:F9)</f>
        <v>0</v>
      </c>
      <c r="G18" s="176">
        <f>SUM('budget (8)'!E5:E9)</f>
        <v>20727336.359999999</v>
      </c>
      <c r="H18" s="178">
        <f>SUM('budget (8)'!J5:J9)</f>
        <v>20767808.620000001</v>
      </c>
      <c r="I18" s="135">
        <f t="shared" ref="I18:I22" si="4">G18-F18</f>
        <v>20727336.359999999</v>
      </c>
      <c r="J18" s="183"/>
      <c r="K18" s="184"/>
      <c r="L18" s="183"/>
      <c r="M18" s="183"/>
    </row>
    <row r="19" spans="2:13">
      <c r="B19" s="112" t="s">
        <v>50</v>
      </c>
      <c r="C19" s="121"/>
      <c r="D19" s="163">
        <f>SUM('budget (8)'!D58:D59)</f>
        <v>192383847</v>
      </c>
      <c r="E19" s="114">
        <f t="shared" si="2"/>
        <v>3252474.1673710905</v>
      </c>
      <c r="F19" s="179">
        <f>SUM('budget (8)'!F58:F59)</f>
        <v>0</v>
      </c>
      <c r="G19" s="175">
        <f>SUM('budget (8)'!E58:E59)</f>
        <v>0</v>
      </c>
      <c r="H19" s="179">
        <f>SUM('budget (8)'!J58:J59)</f>
        <v>192383847</v>
      </c>
      <c r="I19" s="133">
        <f t="shared" si="4"/>
        <v>0</v>
      </c>
      <c r="J19" s="183"/>
      <c r="K19" s="184"/>
      <c r="L19" s="183"/>
      <c r="M19" s="183"/>
    </row>
    <row r="20" spans="2:13">
      <c r="B20" s="115" t="s">
        <v>51</v>
      </c>
      <c r="C20" s="120"/>
      <c r="D20" s="165">
        <f>SUM('budget (8)'!D56:D57)</f>
        <v>19238385</v>
      </c>
      <c r="E20" s="117">
        <f t="shared" si="2"/>
        <v>325247.42180896027</v>
      </c>
      <c r="F20" s="178">
        <f>SUM('budget (8)'!F56:F57)</f>
        <v>0</v>
      </c>
      <c r="G20" s="176">
        <f>SUM('budget (8)'!E56:E57)</f>
        <v>0</v>
      </c>
      <c r="H20" s="178">
        <f>SUM('budget (8)'!J56:J57)</f>
        <v>19238385</v>
      </c>
      <c r="I20" s="135">
        <f t="shared" si="4"/>
        <v>0</v>
      </c>
      <c r="J20" s="183"/>
      <c r="K20" s="184"/>
      <c r="L20" s="183"/>
      <c r="M20" s="183"/>
    </row>
    <row r="21" spans="2:13" ht="15" thickBot="1">
      <c r="B21" s="66" t="s">
        <v>52</v>
      </c>
      <c r="C21" s="23"/>
      <c r="D21" s="164">
        <f>SUM(D17:D20)</f>
        <v>247390040.62</v>
      </c>
      <c r="E21" s="52">
        <f>SUM(E17:E20)</f>
        <v>4182418.2691462385</v>
      </c>
      <c r="F21" s="174">
        <f>SUM(F17:F20)</f>
        <v>0</v>
      </c>
      <c r="G21" s="204">
        <f>SUM(G17:G20)</f>
        <v>24124287.059999999</v>
      </c>
      <c r="H21" s="174">
        <f t="shared" ref="H21" si="5">SUM(H17:H20)</f>
        <v>247390040.62</v>
      </c>
      <c r="I21" s="87">
        <f t="shared" si="4"/>
        <v>24124287.059999999</v>
      </c>
      <c r="J21" s="183"/>
      <c r="K21" s="184"/>
      <c r="L21" s="183"/>
      <c r="M21" s="183"/>
    </row>
    <row r="22" spans="2:13" ht="18.600000000000001" thickBot="1">
      <c r="B22" s="153" t="s">
        <v>53</v>
      </c>
      <c r="C22" s="154"/>
      <c r="D22" s="155">
        <f>D5+D10+D16+D21</f>
        <v>2831839751.6199999</v>
      </c>
      <c r="E22" s="156">
        <f>E5+E10+E16+E21</f>
        <v>47875566.384108201</v>
      </c>
      <c r="F22" s="90">
        <f>F21+F16+F10+F5</f>
        <v>98352415.25</v>
      </c>
      <c r="G22" s="90">
        <f>G21+G16+G10+G5</f>
        <v>271937711.06999999</v>
      </c>
      <c r="H22" s="90">
        <f t="shared" ref="H22" si="6">H21+H16+H10+H5</f>
        <v>2831898751.6199999</v>
      </c>
      <c r="I22" s="90">
        <f t="shared" si="4"/>
        <v>173585295.81999999</v>
      </c>
      <c r="J22" s="183"/>
      <c r="K22" s="184"/>
      <c r="L22" s="183"/>
      <c r="M22" s="183"/>
    </row>
    <row r="23" spans="2:13" ht="15" thickBot="1"/>
    <row r="24" spans="2:13" ht="15" thickBot="1">
      <c r="K24" s="186" t="s">
        <v>189</v>
      </c>
      <c r="L24" s="190">
        <v>2831861942.3920002</v>
      </c>
    </row>
    <row r="25" spans="2:13" ht="15" thickBot="1">
      <c r="K25" s="188" t="s">
        <v>190</v>
      </c>
      <c r="L25" s="189">
        <f>D22</f>
        <v>2831839751.6199999</v>
      </c>
    </row>
    <row r="26" spans="2:13" ht="15" thickBot="1">
      <c r="K26" s="187" t="s">
        <v>191</v>
      </c>
      <c r="L26" s="191">
        <f>L24-L25</f>
        <v>22190.772000312805</v>
      </c>
    </row>
    <row r="28" spans="2:13">
      <c r="B28" s="192"/>
      <c r="C28" s="192"/>
      <c r="D28" s="192"/>
      <c r="E28" s="192"/>
      <c r="F28" s="192"/>
      <c r="G28" s="192"/>
      <c r="H28" s="192"/>
      <c r="I28" s="192"/>
      <c r="J28" s="192"/>
      <c r="K28" s="192"/>
      <c r="L28" s="192"/>
      <c r="M28" s="192"/>
    </row>
    <row r="29" spans="2:13">
      <c r="F29" s="143"/>
    </row>
    <row r="30" spans="2:13" ht="18.600000000000001" thickBot="1">
      <c r="B30" t="s">
        <v>152</v>
      </c>
      <c r="D30" s="90">
        <v>160000000</v>
      </c>
      <c r="K30" s="159"/>
    </row>
    <row r="31" spans="2:13">
      <c r="B31" t="s">
        <v>153</v>
      </c>
      <c r="D31" s="108">
        <f>G22</f>
        <v>271937711.06999999</v>
      </c>
    </row>
    <row r="32" spans="2:13">
      <c r="B32" t="s">
        <v>154</v>
      </c>
      <c r="D32" s="161">
        <f>D30-D31</f>
        <v>-111937711.06999999</v>
      </c>
      <c r="E32" s="108"/>
    </row>
    <row r="34" spans="2:13">
      <c r="B34" s="149" t="s">
        <v>29</v>
      </c>
      <c r="C34" s="149"/>
      <c r="D34" s="151" t="s">
        <v>155</v>
      </c>
      <c r="E34" s="151" t="s">
        <v>156</v>
      </c>
      <c r="F34" s="151" t="s">
        <v>157</v>
      </c>
      <c r="G34" s="151" t="s">
        <v>158</v>
      </c>
      <c r="H34" s="151" t="s">
        <v>159</v>
      </c>
      <c r="I34" s="151" t="s">
        <v>160</v>
      </c>
      <c r="J34" s="151" t="s">
        <v>161</v>
      </c>
      <c r="K34" s="151" t="s">
        <v>162</v>
      </c>
      <c r="L34" s="151" t="s">
        <v>163</v>
      </c>
      <c r="M34" s="151" t="s">
        <v>164</v>
      </c>
    </row>
    <row r="35" spans="2:13">
      <c r="B35" s="136" t="s">
        <v>165</v>
      </c>
      <c r="C35" s="136"/>
      <c r="D35" s="145">
        <v>1000000</v>
      </c>
      <c r="E35" s="145">
        <v>1000000</v>
      </c>
      <c r="F35" s="145">
        <v>1000000</v>
      </c>
      <c r="G35" s="145">
        <v>1000000</v>
      </c>
      <c r="H35" s="145">
        <v>1000000</v>
      </c>
      <c r="I35" s="145">
        <v>1000000</v>
      </c>
      <c r="J35" s="145">
        <v>1000000</v>
      </c>
      <c r="K35" s="145">
        <v>1000000</v>
      </c>
      <c r="L35" s="145">
        <v>1000000</v>
      </c>
      <c r="M35" s="144">
        <f>SUM(D35:L35)</f>
        <v>9000000</v>
      </c>
    </row>
    <row r="36" spans="2:13">
      <c r="B36" s="136" t="s">
        <v>166</v>
      </c>
      <c r="C36" s="136"/>
      <c r="D36" s="145">
        <v>500000</v>
      </c>
      <c r="E36" s="145">
        <v>500000</v>
      </c>
      <c r="F36" s="145">
        <v>500000</v>
      </c>
      <c r="G36" s="145">
        <v>500000</v>
      </c>
      <c r="H36" s="145">
        <v>500000</v>
      </c>
      <c r="I36" s="145">
        <v>500000</v>
      </c>
      <c r="J36" s="145">
        <v>500000</v>
      </c>
      <c r="K36" s="145">
        <v>500000</v>
      </c>
      <c r="L36" s="145">
        <v>500000</v>
      </c>
      <c r="M36" s="144">
        <f>SUM(D36:L36)</f>
        <v>4500000</v>
      </c>
    </row>
    <row r="37" spans="2:13">
      <c r="B37" s="136" t="s">
        <v>167</v>
      </c>
      <c r="C37" s="136"/>
      <c r="D37" s="136"/>
      <c r="E37" s="136"/>
      <c r="F37" s="144" t="s">
        <v>18</v>
      </c>
      <c r="G37" s="144">
        <v>350000</v>
      </c>
      <c r="H37" s="144">
        <v>350000</v>
      </c>
      <c r="I37" s="144">
        <v>350000</v>
      </c>
      <c r="J37" s="144">
        <v>350000</v>
      </c>
      <c r="K37" s="144">
        <v>350000</v>
      </c>
      <c r="L37" s="144">
        <v>350000</v>
      </c>
      <c r="M37" s="144">
        <f>SUM(D37:L37)</f>
        <v>2100000</v>
      </c>
    </row>
    <row r="38" spans="2:13">
      <c r="B38" s="136"/>
      <c r="C38" s="136"/>
      <c r="D38" s="146">
        <f t="shared" ref="D38:L38" si="7">SUM(D35:D37)</f>
        <v>1500000</v>
      </c>
      <c r="E38" s="146">
        <f t="shared" si="7"/>
        <v>1500000</v>
      </c>
      <c r="F38" s="146">
        <f t="shared" si="7"/>
        <v>1500000</v>
      </c>
      <c r="G38" s="146">
        <f t="shared" si="7"/>
        <v>1850000</v>
      </c>
      <c r="H38" s="146">
        <f t="shared" si="7"/>
        <v>1850000</v>
      </c>
      <c r="I38" s="146">
        <f t="shared" si="7"/>
        <v>1850000</v>
      </c>
      <c r="J38" s="146">
        <f t="shared" si="7"/>
        <v>1850000</v>
      </c>
      <c r="K38" s="146">
        <f t="shared" si="7"/>
        <v>1850000</v>
      </c>
      <c r="L38" s="146">
        <f t="shared" si="7"/>
        <v>1850000</v>
      </c>
      <c r="M38" s="144"/>
    </row>
    <row r="39" spans="2:13">
      <c r="B39" s="147" t="s">
        <v>168</v>
      </c>
      <c r="C39" s="147"/>
      <c r="D39" s="136"/>
      <c r="E39" s="148">
        <f>D38+E38</f>
        <v>3000000</v>
      </c>
      <c r="F39" s="148">
        <f t="shared" ref="F39:L39" si="8">E38+E39</f>
        <v>4500000</v>
      </c>
      <c r="G39" s="148">
        <f t="shared" si="8"/>
        <v>6000000</v>
      </c>
      <c r="H39" s="148">
        <f t="shared" si="8"/>
        <v>7850000</v>
      </c>
      <c r="I39" s="148">
        <f t="shared" si="8"/>
        <v>9700000</v>
      </c>
      <c r="J39" s="148">
        <f t="shared" si="8"/>
        <v>11550000</v>
      </c>
      <c r="K39" s="148">
        <f t="shared" si="8"/>
        <v>13400000</v>
      </c>
      <c r="L39" s="148">
        <f t="shared" si="8"/>
        <v>15250000</v>
      </c>
      <c r="M39" s="136"/>
    </row>
    <row r="41" spans="2:13">
      <c r="B41" t="s">
        <v>154</v>
      </c>
      <c r="D41" s="161">
        <f>$D$32-D38</f>
        <v>-113437711.06999999</v>
      </c>
      <c r="E41" s="161">
        <f t="shared" ref="E41:L41" si="9">$D$32-E39</f>
        <v>-114937711.06999999</v>
      </c>
      <c r="F41" s="161">
        <f t="shared" si="9"/>
        <v>-116437711.06999999</v>
      </c>
      <c r="G41" s="161">
        <f t="shared" si="9"/>
        <v>-117937711.06999999</v>
      </c>
      <c r="H41" s="161">
        <f t="shared" si="9"/>
        <v>-119787711.06999999</v>
      </c>
      <c r="I41" s="161">
        <f t="shared" si="9"/>
        <v>-121637711.06999999</v>
      </c>
      <c r="J41" s="161">
        <f t="shared" si="9"/>
        <v>-123487711.06999999</v>
      </c>
      <c r="K41" s="161">
        <f t="shared" si="9"/>
        <v>-125337711.06999999</v>
      </c>
      <c r="L41" s="161">
        <f t="shared" si="9"/>
        <v>-127187711.06999999</v>
      </c>
    </row>
    <row r="43" spans="2:13">
      <c r="K43">
        <f>1500000*59</f>
        <v>88500000</v>
      </c>
    </row>
    <row r="44" spans="2:13">
      <c r="K44" s="142">
        <f>K43*3%</f>
        <v>2655000</v>
      </c>
    </row>
    <row r="45" spans="2:13" ht="18.600000000000001" thickBot="1">
      <c r="D45" s="90">
        <v>160000000</v>
      </c>
      <c r="K45">
        <v>2800000</v>
      </c>
    </row>
    <row r="46" spans="2:13">
      <c r="D46" s="142">
        <v>119521495</v>
      </c>
      <c r="K46" s="162">
        <f>SUM(K44:K45)</f>
        <v>5455000</v>
      </c>
    </row>
    <row r="47" spans="2:13">
      <c r="D47" s="207">
        <f>D45-D46</f>
        <v>40478505</v>
      </c>
    </row>
    <row r="49" spans="4:4">
      <c r="D49" s="162">
        <f>D47-K44-K46</f>
        <v>32368505</v>
      </c>
    </row>
  </sheetData>
  <mergeCells count="5">
    <mergeCell ref="F3:F4"/>
    <mergeCell ref="G3:G4"/>
    <mergeCell ref="H3:H4"/>
    <mergeCell ref="I3:I4"/>
    <mergeCell ref="J1:M2"/>
  </mergeCells>
  <conditionalFormatting sqref="J6:J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J9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J12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J14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J18">
    <cfRule type="iconSet" priority="2">
      <iconSet iconSet="3Arrows">
        <cfvo type="percent" val="0"/>
        <cfvo type="percent" val="45"/>
        <cfvo type="percent" val="80"/>
      </iconSet>
    </cfRule>
  </conditionalFormatting>
  <conditionalFormatting sqref="J20">
    <cfRule type="iconSet" priority="1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ignoredErrors>
    <ignoredError sqref="D5:D6 G5 D7:D9 D11:D12 D15:D16 D13:D14 D17:D21 G6 G10:H10 H16 G7:G9 G11:G15 G18:G22 H5:H9 H11:H15 H17:H20 F10 F6 F5 F7:F9 F11:F20" formulaRange="1"/>
    <ignoredError sqref="E16" 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B3A83-2637-4470-86CD-B76FF594F24C}">
  <sheetPr>
    <tabColor rgb="FFFF0000"/>
  </sheetPr>
  <dimension ref="A1:K63"/>
  <sheetViews>
    <sheetView zoomScaleNormal="100" workbookViewId="0">
      <selection activeCell="F15" sqref="F15"/>
    </sheetView>
  </sheetViews>
  <sheetFormatPr baseColWidth="10" defaultColWidth="11.44140625" defaultRowHeight="14.4"/>
  <cols>
    <col min="1" max="2" width="32.109375" customWidth="1"/>
    <col min="3" max="3" width="43.44140625" bestFit="1" customWidth="1"/>
    <col min="4" max="11" width="32.109375" customWidth="1"/>
  </cols>
  <sheetData>
    <row r="1" spans="1:11">
      <c r="D1" t="s">
        <v>192</v>
      </c>
    </row>
    <row r="2" spans="1:11" ht="36">
      <c r="A2" s="209" t="s">
        <v>169</v>
      </c>
      <c r="B2" s="209" t="s">
        <v>170</v>
      </c>
      <c r="C2" s="209" t="s">
        <v>171</v>
      </c>
      <c r="D2" s="209" t="s">
        <v>172</v>
      </c>
      <c r="E2" s="209" t="s">
        <v>183</v>
      </c>
      <c r="F2" s="209" t="s">
        <v>184</v>
      </c>
      <c r="G2" s="209" t="s">
        <v>175</v>
      </c>
      <c r="H2" s="209" t="s">
        <v>176</v>
      </c>
      <c r="I2" s="209" t="s">
        <v>177</v>
      </c>
      <c r="J2" s="209" t="s">
        <v>178</v>
      </c>
      <c r="K2" s="209" t="s">
        <v>179</v>
      </c>
    </row>
    <row r="3" spans="1:11">
      <c r="A3" t="s">
        <v>64</v>
      </c>
      <c r="B3" t="s">
        <v>65</v>
      </c>
      <c r="C3" t="s">
        <v>66</v>
      </c>
      <c r="D3" s="208">
        <v>7172000.2599999998</v>
      </c>
      <c r="E3" s="208">
        <v>0</v>
      </c>
      <c r="F3" s="208">
        <v>0</v>
      </c>
      <c r="G3" s="208">
        <v>0</v>
      </c>
      <c r="H3" s="208">
        <v>7172000.2599999998</v>
      </c>
      <c r="I3" s="208">
        <v>7172000.2599999998</v>
      </c>
      <c r="J3" s="208">
        <v>7172000.2599999998</v>
      </c>
      <c r="K3" s="208">
        <v>0</v>
      </c>
    </row>
    <row r="4" spans="1:11">
      <c r="A4" t="s">
        <v>64</v>
      </c>
      <c r="B4" t="s">
        <v>65</v>
      </c>
      <c r="C4" t="s">
        <v>67</v>
      </c>
      <c r="D4" s="208">
        <v>96213168.739999995</v>
      </c>
      <c r="E4" s="208">
        <v>96272168.739999995</v>
      </c>
      <c r="F4" s="208">
        <v>96272168.739999995</v>
      </c>
      <c r="G4" s="208">
        <v>96272168.739999995</v>
      </c>
      <c r="H4" s="208">
        <v>96213168.739999995</v>
      </c>
      <c r="I4" s="208">
        <v>0</v>
      </c>
      <c r="J4" s="208">
        <v>96272168.739999995</v>
      </c>
      <c r="K4" s="208">
        <v>-59000</v>
      </c>
    </row>
    <row r="5" spans="1:11">
      <c r="A5" t="s">
        <v>64</v>
      </c>
      <c r="B5" t="s">
        <v>68</v>
      </c>
      <c r="C5" t="s">
        <v>69</v>
      </c>
      <c r="D5" s="210">
        <v>22191.38</v>
      </c>
      <c r="E5" s="210">
        <v>0</v>
      </c>
      <c r="F5" s="208">
        <v>0</v>
      </c>
      <c r="G5" s="208">
        <v>0</v>
      </c>
      <c r="H5" s="208">
        <v>22191.38</v>
      </c>
      <c r="I5" s="208">
        <v>22191.38</v>
      </c>
      <c r="J5" s="208">
        <v>22191.38</v>
      </c>
      <c r="K5" s="208">
        <v>0</v>
      </c>
    </row>
    <row r="6" spans="1:11">
      <c r="A6" t="s">
        <v>64</v>
      </c>
      <c r="B6" t="s">
        <v>68</v>
      </c>
      <c r="C6" t="s">
        <v>70</v>
      </c>
      <c r="D6" s="210">
        <v>0</v>
      </c>
      <c r="E6" s="210">
        <v>0</v>
      </c>
      <c r="F6" s="208">
        <v>0</v>
      </c>
      <c r="G6" s="208">
        <v>0</v>
      </c>
      <c r="H6" s="208"/>
      <c r="I6" s="208">
        <v>0</v>
      </c>
      <c r="J6" s="208">
        <v>0</v>
      </c>
      <c r="K6" s="208">
        <v>0</v>
      </c>
    </row>
    <row r="7" spans="1:11">
      <c r="A7" t="s">
        <v>64</v>
      </c>
      <c r="B7" t="s">
        <v>68</v>
      </c>
      <c r="C7" t="s">
        <v>70</v>
      </c>
      <c r="D7" s="210">
        <v>5641221.5099999998</v>
      </c>
      <c r="E7" s="210">
        <v>5641221.5099999998</v>
      </c>
      <c r="F7" s="208">
        <v>0</v>
      </c>
      <c r="G7" s="208">
        <v>5641221.5099999998</v>
      </c>
      <c r="H7" s="208">
        <v>5641221.5099999998</v>
      </c>
      <c r="I7" s="208">
        <v>0</v>
      </c>
      <c r="J7" s="208">
        <v>5641221.5099999998</v>
      </c>
      <c r="K7" s="208">
        <v>0</v>
      </c>
    </row>
    <row r="8" spans="1:11">
      <c r="A8" t="s">
        <v>64</v>
      </c>
      <c r="B8" t="s">
        <v>68</v>
      </c>
      <c r="C8" t="s">
        <v>71</v>
      </c>
      <c r="D8" s="210">
        <v>8804294.5700000003</v>
      </c>
      <c r="E8" s="210">
        <v>8785614.5500000007</v>
      </c>
      <c r="F8" s="208">
        <v>0</v>
      </c>
      <c r="G8" s="208">
        <v>8785614.5500000007</v>
      </c>
      <c r="H8" s="208">
        <v>8804294.5700000003</v>
      </c>
      <c r="I8" s="208">
        <v>18680.02</v>
      </c>
      <c r="J8" s="208">
        <v>8804294.5700000003</v>
      </c>
      <c r="K8" s="208">
        <v>0</v>
      </c>
    </row>
    <row r="9" spans="1:11">
      <c r="A9" t="s">
        <v>64</v>
      </c>
      <c r="B9" t="s">
        <v>68</v>
      </c>
      <c r="C9" t="s">
        <v>72</v>
      </c>
      <c r="D9" s="210">
        <v>5954647.5899999999</v>
      </c>
      <c r="E9" s="210">
        <v>5932855.3499999996</v>
      </c>
      <c r="F9" s="208">
        <v>0</v>
      </c>
      <c r="G9" s="208">
        <v>5932855.3499999996</v>
      </c>
      <c r="H9" s="208">
        <v>5954647.5899999999</v>
      </c>
      <c r="I9" s="208">
        <v>21792.240000000002</v>
      </c>
      <c r="J9" s="208">
        <v>5954647.5899999999</v>
      </c>
      <c r="K9" s="208">
        <v>0</v>
      </c>
    </row>
    <row r="10" spans="1:11">
      <c r="A10" t="s">
        <v>64</v>
      </c>
      <c r="B10" t="s">
        <v>68</v>
      </c>
      <c r="C10" t="s">
        <v>73</v>
      </c>
      <c r="D10" s="210">
        <v>367644.95</v>
      </c>
      <c r="E10" s="210">
        <v>367644.95</v>
      </c>
      <c r="F10" s="208">
        <v>0</v>
      </c>
      <c r="G10" s="208">
        <v>367644.95</v>
      </c>
      <c r="H10" s="208">
        <v>367644.95</v>
      </c>
      <c r="I10" s="208">
        <v>0</v>
      </c>
      <c r="J10" s="208">
        <v>367644.95</v>
      </c>
      <c r="K10" s="208">
        <v>0</v>
      </c>
    </row>
    <row r="11" spans="1:11">
      <c r="A11" t="s">
        <v>64</v>
      </c>
      <c r="B11" s="250" t="s">
        <v>74</v>
      </c>
      <c r="C11" s="250" t="s">
        <v>75</v>
      </c>
      <c r="D11" s="252">
        <v>2608628.29</v>
      </c>
      <c r="E11" s="253">
        <v>0</v>
      </c>
      <c r="F11" s="208">
        <v>0</v>
      </c>
      <c r="G11" s="208">
        <v>0</v>
      </c>
      <c r="H11" s="208">
        <v>2608628.29</v>
      </c>
      <c r="I11" s="208">
        <v>2608628.29</v>
      </c>
      <c r="J11" s="208">
        <v>2608628.29</v>
      </c>
      <c r="K11" s="208">
        <v>0</v>
      </c>
    </row>
    <row r="12" spans="1:11">
      <c r="A12" t="s">
        <v>64</v>
      </c>
      <c r="B12" s="250" t="s">
        <v>74</v>
      </c>
      <c r="C12" s="250" t="s">
        <v>76</v>
      </c>
      <c r="D12" s="252">
        <v>1897166.4</v>
      </c>
      <c r="E12" s="253">
        <v>1897166.4</v>
      </c>
      <c r="F12" s="208">
        <v>480315</v>
      </c>
      <c r="G12" s="208">
        <v>1897166.4</v>
      </c>
      <c r="H12" s="208">
        <v>1897166.4</v>
      </c>
      <c r="I12" s="208">
        <v>0</v>
      </c>
      <c r="J12" s="208">
        <v>1897166.4</v>
      </c>
      <c r="K12" s="208">
        <v>0</v>
      </c>
    </row>
    <row r="13" spans="1:11">
      <c r="A13" t="s">
        <v>64</v>
      </c>
      <c r="B13" s="250" t="s">
        <v>74</v>
      </c>
      <c r="C13" s="250" t="s">
        <v>77</v>
      </c>
      <c r="D13" s="252">
        <v>7141348.9900000002</v>
      </c>
      <c r="E13" s="253">
        <v>7141348.9900000002</v>
      </c>
      <c r="F13" s="208">
        <v>2079609.84</v>
      </c>
      <c r="G13" s="208">
        <v>7141348.9900000002</v>
      </c>
      <c r="H13" s="208">
        <v>7141348.9900000002</v>
      </c>
      <c r="I13" s="208">
        <v>0</v>
      </c>
      <c r="J13" s="208">
        <v>7141348.9900000002</v>
      </c>
      <c r="K13" s="208">
        <v>0</v>
      </c>
    </row>
    <row r="14" spans="1:11">
      <c r="A14" t="s">
        <v>64</v>
      </c>
      <c r="B14" s="250" t="s">
        <v>78</v>
      </c>
      <c r="C14" s="250" t="s">
        <v>79</v>
      </c>
      <c r="D14" s="251">
        <v>11813426.560000001</v>
      </c>
      <c r="E14" s="251">
        <v>0</v>
      </c>
      <c r="F14" s="208">
        <v>0</v>
      </c>
      <c r="G14" s="208">
        <v>0</v>
      </c>
      <c r="H14" s="208">
        <v>11813426.560000001</v>
      </c>
      <c r="I14" s="208">
        <v>11813426.560000001</v>
      </c>
      <c r="J14" s="208">
        <v>11813426.560000001</v>
      </c>
      <c r="K14" s="208">
        <v>0</v>
      </c>
    </row>
    <row r="15" spans="1:11">
      <c r="A15" t="s">
        <v>64</v>
      </c>
      <c r="B15" s="250" t="s">
        <v>78</v>
      </c>
      <c r="C15" s="250" t="s">
        <v>80</v>
      </c>
      <c r="D15" s="251">
        <v>54584719.920000002</v>
      </c>
      <c r="E15" s="251">
        <v>0</v>
      </c>
      <c r="F15" s="208">
        <v>0</v>
      </c>
      <c r="G15" s="208">
        <v>0</v>
      </c>
      <c r="H15" s="208">
        <v>54584719.920000002</v>
      </c>
      <c r="I15" s="208">
        <v>54584719.920000002</v>
      </c>
      <c r="J15" s="208">
        <v>54584719.920000002</v>
      </c>
      <c r="K15" s="208">
        <v>0</v>
      </c>
    </row>
    <row r="16" spans="1:11">
      <c r="A16" t="s">
        <v>64</v>
      </c>
      <c r="B16" s="250" t="s">
        <v>78</v>
      </c>
      <c r="C16" s="250" t="s">
        <v>81</v>
      </c>
      <c r="D16" s="251">
        <v>56232240.789999999</v>
      </c>
      <c r="E16" s="251">
        <v>0</v>
      </c>
      <c r="F16" s="208">
        <v>0</v>
      </c>
      <c r="G16" s="208">
        <v>0</v>
      </c>
      <c r="H16" s="208">
        <v>56232240.789999999</v>
      </c>
      <c r="I16" s="208">
        <v>56232240.789999999</v>
      </c>
      <c r="J16" s="208">
        <v>56232240.789999999</v>
      </c>
      <c r="K16" s="208">
        <v>0</v>
      </c>
    </row>
    <row r="17" spans="1:11">
      <c r="A17" t="s">
        <v>64</v>
      </c>
      <c r="B17" s="250" t="s">
        <v>78</v>
      </c>
      <c r="C17" s="250" t="s">
        <v>82</v>
      </c>
      <c r="D17" s="251">
        <v>35679322.68</v>
      </c>
      <c r="E17" s="251">
        <v>0</v>
      </c>
      <c r="F17" s="208">
        <v>0</v>
      </c>
      <c r="G17" s="208">
        <v>0</v>
      </c>
      <c r="H17" s="208">
        <v>35679322.68</v>
      </c>
      <c r="I17" s="208">
        <v>35679322.68</v>
      </c>
      <c r="J17" s="208">
        <v>35679322.68</v>
      </c>
      <c r="K17" s="208">
        <v>0</v>
      </c>
    </row>
    <row r="18" spans="1:11">
      <c r="A18" t="s">
        <v>64</v>
      </c>
      <c r="B18" s="250" t="s">
        <v>78</v>
      </c>
      <c r="C18" s="250" t="s">
        <v>83</v>
      </c>
      <c r="D18" s="251">
        <v>135138026.36000001</v>
      </c>
      <c r="E18" s="251">
        <v>0</v>
      </c>
      <c r="F18" s="208">
        <v>0</v>
      </c>
      <c r="G18" s="208">
        <v>0</v>
      </c>
      <c r="H18" s="208">
        <v>135138026.36000001</v>
      </c>
      <c r="I18" s="208">
        <v>135138026.36000001</v>
      </c>
      <c r="J18" s="208">
        <v>135138026.36000001</v>
      </c>
      <c r="K18" s="208">
        <v>0</v>
      </c>
    </row>
    <row r="19" spans="1:11">
      <c r="A19" t="s">
        <v>64</v>
      </c>
      <c r="B19" s="250" t="s">
        <v>78</v>
      </c>
      <c r="C19" s="250" t="s">
        <v>84</v>
      </c>
      <c r="D19" s="251">
        <v>8535640.8900000006</v>
      </c>
      <c r="E19" s="251">
        <v>0</v>
      </c>
      <c r="F19" s="208">
        <v>0</v>
      </c>
      <c r="G19" s="208">
        <v>0</v>
      </c>
      <c r="H19" s="208">
        <v>8535640.8900000006</v>
      </c>
      <c r="I19" s="208">
        <v>8535640.8900000006</v>
      </c>
      <c r="J19" s="208">
        <v>8535640.8900000006</v>
      </c>
      <c r="K19" s="208">
        <v>0</v>
      </c>
    </row>
    <row r="20" spans="1:11">
      <c r="A20" t="s">
        <v>64</v>
      </c>
      <c r="B20" s="250" t="s">
        <v>78</v>
      </c>
      <c r="C20" s="250" t="s">
        <v>85</v>
      </c>
      <c r="D20" s="251">
        <v>14797543.15</v>
      </c>
      <c r="E20" s="251">
        <v>0</v>
      </c>
      <c r="F20" s="208">
        <v>0</v>
      </c>
      <c r="G20" s="208">
        <v>0</v>
      </c>
      <c r="H20" s="208">
        <v>14797543.15</v>
      </c>
      <c r="I20" s="208">
        <v>14797543.15</v>
      </c>
      <c r="J20" s="208">
        <v>14797543.15</v>
      </c>
      <c r="K20" s="208">
        <v>0</v>
      </c>
    </row>
    <row r="21" spans="1:11">
      <c r="A21" t="s">
        <v>64</v>
      </c>
      <c r="B21" s="250" t="s">
        <v>78</v>
      </c>
      <c r="C21" s="250" t="s">
        <v>86</v>
      </c>
      <c r="D21" s="251">
        <v>62873368.450000003</v>
      </c>
      <c r="E21" s="251">
        <v>0</v>
      </c>
      <c r="F21" s="208">
        <v>0</v>
      </c>
      <c r="G21" s="208">
        <v>0</v>
      </c>
      <c r="H21" s="208">
        <v>62873368.450000003</v>
      </c>
      <c r="I21" s="208">
        <v>62873368.450000003</v>
      </c>
      <c r="J21" s="208">
        <v>62873368.450000003</v>
      </c>
      <c r="K21" s="208">
        <v>0</v>
      </c>
    </row>
    <row r="22" spans="1:11">
      <c r="A22" t="s">
        <v>64</v>
      </c>
      <c r="B22" s="250" t="s">
        <v>78</v>
      </c>
      <c r="C22" s="250" t="s">
        <v>87</v>
      </c>
      <c r="D22" s="251">
        <v>26736231.68</v>
      </c>
      <c r="E22" s="251">
        <v>0</v>
      </c>
      <c r="F22" s="208">
        <v>0</v>
      </c>
      <c r="G22" s="208">
        <v>0</v>
      </c>
      <c r="H22" s="208">
        <v>26736231.68</v>
      </c>
      <c r="I22" s="208">
        <v>26736231.68</v>
      </c>
      <c r="J22" s="208">
        <v>26736231.68</v>
      </c>
      <c r="K22" s="208">
        <v>0</v>
      </c>
    </row>
    <row r="23" spans="1:11">
      <c r="A23" t="s">
        <v>64</v>
      </c>
      <c r="B23" s="250" t="s">
        <v>78</v>
      </c>
      <c r="C23" s="250" t="s">
        <v>88</v>
      </c>
      <c r="D23" s="251">
        <v>27763645.809999999</v>
      </c>
      <c r="E23" s="251">
        <v>0</v>
      </c>
      <c r="F23" s="208">
        <v>0</v>
      </c>
      <c r="G23" s="208">
        <v>0</v>
      </c>
      <c r="H23" s="208">
        <v>27763645.809999999</v>
      </c>
      <c r="I23" s="208">
        <v>27763645.809999999</v>
      </c>
      <c r="J23" s="208">
        <v>27763645.809999999</v>
      </c>
      <c r="K23" s="208">
        <v>0</v>
      </c>
    </row>
    <row r="24" spans="1:11">
      <c r="A24" t="s">
        <v>64</v>
      </c>
      <c r="B24" s="250" t="s">
        <v>78</v>
      </c>
      <c r="C24" s="250" t="s">
        <v>89</v>
      </c>
      <c r="D24" s="251">
        <v>5957690.0300000003</v>
      </c>
      <c r="E24" s="251">
        <v>0</v>
      </c>
      <c r="F24" s="208">
        <v>0</v>
      </c>
      <c r="G24" s="208">
        <v>0</v>
      </c>
      <c r="H24" s="208">
        <v>5957690.0300000003</v>
      </c>
      <c r="I24" s="208">
        <v>5957690.0300000003</v>
      </c>
      <c r="J24" s="208">
        <v>5957690.0300000003</v>
      </c>
      <c r="K24" s="208">
        <v>0</v>
      </c>
    </row>
    <row r="25" spans="1:11">
      <c r="A25" t="s">
        <v>64</v>
      </c>
      <c r="B25" t="s">
        <v>90</v>
      </c>
      <c r="C25" t="s">
        <v>91</v>
      </c>
      <c r="D25" s="208">
        <v>7612584.9800000004</v>
      </c>
      <c r="E25" s="208">
        <v>0</v>
      </c>
      <c r="F25" s="208">
        <v>0</v>
      </c>
      <c r="G25" s="208">
        <v>0</v>
      </c>
      <c r="H25" s="208">
        <v>7612584.9800000004</v>
      </c>
      <c r="I25" s="208">
        <v>7612584.9800000004</v>
      </c>
      <c r="J25" s="208">
        <v>7612584.9800000004</v>
      </c>
      <c r="K25" s="208">
        <v>0</v>
      </c>
    </row>
    <row r="26" spans="1:11">
      <c r="A26" t="s">
        <v>64</v>
      </c>
      <c r="B26" t="s">
        <v>90</v>
      </c>
      <c r="C26" t="s">
        <v>92</v>
      </c>
      <c r="D26" s="208">
        <v>85437791.670000002</v>
      </c>
      <c r="E26" s="208">
        <v>0</v>
      </c>
      <c r="F26" s="208">
        <v>0</v>
      </c>
      <c r="G26" s="208">
        <v>0</v>
      </c>
      <c r="H26" s="208">
        <v>85437791.670000002</v>
      </c>
      <c r="I26" s="208">
        <v>85437791.670000002</v>
      </c>
      <c r="J26" s="208">
        <v>85437791.670000002</v>
      </c>
      <c r="K26" s="208">
        <v>0</v>
      </c>
    </row>
    <row r="27" spans="1:11">
      <c r="A27" t="s">
        <v>64</v>
      </c>
      <c r="B27" t="s">
        <v>90</v>
      </c>
      <c r="C27" t="s">
        <v>93</v>
      </c>
      <c r="D27" s="208">
        <v>283042948.64999998</v>
      </c>
      <c r="E27" s="208">
        <v>0</v>
      </c>
      <c r="F27" s="208">
        <v>0</v>
      </c>
      <c r="G27" s="208">
        <v>0</v>
      </c>
      <c r="H27" s="208">
        <v>283042948.64999998</v>
      </c>
      <c r="I27" s="208">
        <v>283042948.64999998</v>
      </c>
      <c r="J27" s="208">
        <v>283042948.64999998</v>
      </c>
      <c r="K27" s="208">
        <v>0</v>
      </c>
    </row>
    <row r="28" spans="1:11">
      <c r="A28" t="s">
        <v>64</v>
      </c>
      <c r="B28" t="s">
        <v>90</v>
      </c>
      <c r="C28" t="s">
        <v>94</v>
      </c>
      <c r="D28" s="208">
        <v>0</v>
      </c>
      <c r="E28" s="208">
        <v>0</v>
      </c>
      <c r="F28" s="208">
        <v>0</v>
      </c>
      <c r="G28" s="208">
        <v>0</v>
      </c>
      <c r="H28" s="208"/>
      <c r="I28" s="208">
        <v>0</v>
      </c>
      <c r="J28" s="208">
        <v>0</v>
      </c>
      <c r="K28" s="208">
        <v>0</v>
      </c>
    </row>
    <row r="29" spans="1:11">
      <c r="A29" t="s">
        <v>64</v>
      </c>
      <c r="B29" t="s">
        <v>90</v>
      </c>
      <c r="C29" t="s">
        <v>94</v>
      </c>
      <c r="D29" s="208">
        <v>60439199.590000004</v>
      </c>
      <c r="E29" s="208">
        <v>0</v>
      </c>
      <c r="F29" s="208">
        <v>0</v>
      </c>
      <c r="G29" s="208">
        <v>0</v>
      </c>
      <c r="H29" s="208">
        <v>60439199.590000004</v>
      </c>
      <c r="I29" s="208">
        <v>60439199.590000004</v>
      </c>
      <c r="J29" s="208">
        <v>60439199.590000004</v>
      </c>
      <c r="K29" s="208">
        <v>0</v>
      </c>
    </row>
    <row r="30" spans="1:11">
      <c r="A30" t="s">
        <v>64</v>
      </c>
      <c r="B30" t="s">
        <v>90</v>
      </c>
      <c r="C30" t="s">
        <v>95</v>
      </c>
      <c r="D30" s="208">
        <v>8446912.3200000003</v>
      </c>
      <c r="E30" s="208">
        <v>0</v>
      </c>
      <c r="F30" s="208">
        <v>0</v>
      </c>
      <c r="G30" s="208">
        <v>0</v>
      </c>
      <c r="H30" s="208">
        <v>8446912.3200000003</v>
      </c>
      <c r="I30" s="208">
        <v>8446912.3200000003</v>
      </c>
      <c r="J30" s="208">
        <v>8446912.3200000003</v>
      </c>
      <c r="K30" s="208">
        <v>0</v>
      </c>
    </row>
    <row r="31" spans="1:11">
      <c r="A31" t="s">
        <v>64</v>
      </c>
      <c r="B31" t="s">
        <v>90</v>
      </c>
      <c r="C31" t="s">
        <v>96</v>
      </c>
      <c r="D31" s="208">
        <v>101007491.2</v>
      </c>
      <c r="E31" s="208">
        <v>0</v>
      </c>
      <c r="F31" s="208">
        <v>0</v>
      </c>
      <c r="G31" s="208">
        <v>0</v>
      </c>
      <c r="H31" s="208">
        <v>101007491.2</v>
      </c>
      <c r="I31" s="208">
        <v>101007491.2</v>
      </c>
      <c r="J31" s="208">
        <v>101007491.2</v>
      </c>
      <c r="K31" s="208">
        <v>0</v>
      </c>
    </row>
    <row r="32" spans="1:11">
      <c r="A32" t="s">
        <v>64</v>
      </c>
      <c r="B32" t="s">
        <v>90</v>
      </c>
      <c r="C32" t="s">
        <v>97</v>
      </c>
      <c r="D32" s="208">
        <v>455797.65</v>
      </c>
      <c r="E32" s="208">
        <v>0</v>
      </c>
      <c r="F32" s="208">
        <v>0</v>
      </c>
      <c r="G32" s="208">
        <v>0</v>
      </c>
      <c r="H32" s="208">
        <v>455797.65</v>
      </c>
      <c r="I32" s="208">
        <v>455797.65</v>
      </c>
      <c r="J32" s="208">
        <v>455797.65</v>
      </c>
      <c r="K32" s="208">
        <v>0</v>
      </c>
    </row>
    <row r="33" spans="1:11">
      <c r="A33" t="s">
        <v>64</v>
      </c>
      <c r="B33" t="s">
        <v>90</v>
      </c>
      <c r="C33" t="s">
        <v>98</v>
      </c>
      <c r="D33" s="208">
        <v>79619985.829999998</v>
      </c>
      <c r="E33" s="208">
        <v>0</v>
      </c>
      <c r="F33" s="208">
        <v>0</v>
      </c>
      <c r="G33" s="208">
        <v>0</v>
      </c>
      <c r="H33" s="208">
        <v>79619985.829999998</v>
      </c>
      <c r="I33" s="208">
        <v>79619985.829999998</v>
      </c>
      <c r="J33" s="208">
        <v>79619985.829999998</v>
      </c>
      <c r="K33" s="208">
        <v>0</v>
      </c>
    </row>
    <row r="34" spans="1:11">
      <c r="A34" t="s">
        <v>64</v>
      </c>
      <c r="B34" t="s">
        <v>90</v>
      </c>
      <c r="C34" t="s">
        <v>99</v>
      </c>
      <c r="D34" s="208">
        <v>55148949.240000002</v>
      </c>
      <c r="E34" s="208">
        <v>0</v>
      </c>
      <c r="F34" s="208">
        <v>0</v>
      </c>
      <c r="G34" s="208">
        <v>0</v>
      </c>
      <c r="H34" s="208">
        <v>55148949.240000002</v>
      </c>
      <c r="I34" s="208">
        <v>55148949.240000002</v>
      </c>
      <c r="J34" s="208">
        <v>55148949.240000002</v>
      </c>
      <c r="K34" s="208">
        <v>0</v>
      </c>
    </row>
    <row r="35" spans="1:11">
      <c r="A35" t="s">
        <v>64</v>
      </c>
      <c r="B35" t="s">
        <v>90</v>
      </c>
      <c r="C35" t="s">
        <v>100</v>
      </c>
      <c r="D35" s="208">
        <v>179792572.19</v>
      </c>
      <c r="E35" s="208">
        <v>0</v>
      </c>
      <c r="F35" s="208">
        <v>0</v>
      </c>
      <c r="G35" s="208">
        <v>0</v>
      </c>
      <c r="H35" s="208">
        <v>179792572.19</v>
      </c>
      <c r="I35" s="208">
        <v>179792572.19</v>
      </c>
      <c r="J35" s="208">
        <v>179792572.19</v>
      </c>
      <c r="K35" s="208">
        <v>0</v>
      </c>
    </row>
    <row r="36" spans="1:11">
      <c r="A36" t="s">
        <v>64</v>
      </c>
      <c r="B36" t="s">
        <v>90</v>
      </c>
      <c r="C36" t="s">
        <v>101</v>
      </c>
      <c r="D36" s="208">
        <v>113405914.16</v>
      </c>
      <c r="E36" s="208">
        <v>0</v>
      </c>
      <c r="F36" s="208">
        <v>0</v>
      </c>
      <c r="G36" s="208">
        <v>0</v>
      </c>
      <c r="H36" s="208">
        <v>113405914.16</v>
      </c>
      <c r="I36" s="208">
        <v>113405914.16</v>
      </c>
      <c r="J36" s="208">
        <v>113405914.16</v>
      </c>
      <c r="K36" s="208">
        <v>0</v>
      </c>
    </row>
    <row r="37" spans="1:11">
      <c r="A37" t="s">
        <v>64</v>
      </c>
      <c r="B37" t="s">
        <v>90</v>
      </c>
      <c r="C37" t="s">
        <v>102</v>
      </c>
      <c r="D37" s="208">
        <v>95070319.959999993</v>
      </c>
      <c r="E37" s="208">
        <v>0</v>
      </c>
      <c r="F37" s="208">
        <v>0</v>
      </c>
      <c r="G37" s="208">
        <v>0</v>
      </c>
      <c r="H37" s="208">
        <v>95070319.959999993</v>
      </c>
      <c r="I37" s="208">
        <v>95070319.959999993</v>
      </c>
      <c r="J37" s="208">
        <v>95070319.959999993</v>
      </c>
      <c r="K37" s="208">
        <v>0</v>
      </c>
    </row>
    <row r="38" spans="1:11">
      <c r="A38" t="s">
        <v>64</v>
      </c>
      <c r="B38" t="s">
        <v>90</v>
      </c>
      <c r="C38" t="s">
        <v>103</v>
      </c>
      <c r="D38" s="208">
        <v>121904327.93000001</v>
      </c>
      <c r="E38" s="208">
        <v>0</v>
      </c>
      <c r="F38" s="208">
        <v>0</v>
      </c>
      <c r="G38" s="208">
        <v>0</v>
      </c>
      <c r="H38" s="208">
        <v>121904327.93000001</v>
      </c>
      <c r="I38" s="208">
        <v>121904327.93000001</v>
      </c>
      <c r="J38" s="208">
        <v>121904327.93000001</v>
      </c>
      <c r="K38" s="208">
        <v>0</v>
      </c>
    </row>
    <row r="39" spans="1:11">
      <c r="A39" t="s">
        <v>64</v>
      </c>
      <c r="B39" t="s">
        <v>90</v>
      </c>
      <c r="C39" t="s">
        <v>104</v>
      </c>
      <c r="D39" s="208">
        <v>74569124.629999995</v>
      </c>
      <c r="E39" s="208">
        <v>0</v>
      </c>
      <c r="F39" s="208">
        <v>0</v>
      </c>
      <c r="G39" s="208">
        <v>0</v>
      </c>
      <c r="H39" s="208">
        <v>74569124.629999995</v>
      </c>
      <c r="I39" s="208">
        <v>74569124.629999995</v>
      </c>
      <c r="J39" s="208">
        <v>74569124.629999995</v>
      </c>
      <c r="K39" s="208">
        <v>0</v>
      </c>
    </row>
    <row r="40" spans="1:11">
      <c r="A40" t="s">
        <v>64</v>
      </c>
      <c r="B40" t="s">
        <v>105</v>
      </c>
      <c r="C40" t="s">
        <v>106</v>
      </c>
      <c r="D40" s="208">
        <v>0</v>
      </c>
      <c r="E40" s="208">
        <v>0</v>
      </c>
      <c r="F40" s="208">
        <v>0</v>
      </c>
      <c r="G40" s="208">
        <v>0</v>
      </c>
      <c r="H40" s="208"/>
      <c r="I40" s="208">
        <v>0</v>
      </c>
      <c r="J40" s="208">
        <v>0</v>
      </c>
      <c r="K40" s="208">
        <v>0</v>
      </c>
    </row>
    <row r="41" spans="1:11">
      <c r="A41" t="s">
        <v>64</v>
      </c>
      <c r="B41" t="s">
        <v>105</v>
      </c>
      <c r="C41" t="s">
        <v>106</v>
      </c>
      <c r="D41" s="208">
        <v>171771292</v>
      </c>
      <c r="E41" s="208">
        <v>0</v>
      </c>
      <c r="F41" s="208">
        <v>0</v>
      </c>
      <c r="G41" s="208">
        <v>0</v>
      </c>
      <c r="H41" s="208">
        <v>171771292</v>
      </c>
      <c r="I41" s="208">
        <v>171771292</v>
      </c>
      <c r="J41" s="208">
        <v>171771292</v>
      </c>
      <c r="K41" s="208">
        <v>0</v>
      </c>
    </row>
    <row r="42" spans="1:11">
      <c r="A42" t="s">
        <v>64</v>
      </c>
      <c r="B42" t="s">
        <v>105</v>
      </c>
      <c r="C42" t="s">
        <v>107</v>
      </c>
      <c r="D42" s="208">
        <v>0</v>
      </c>
      <c r="E42" s="208">
        <v>0</v>
      </c>
      <c r="F42" s="208">
        <v>0</v>
      </c>
      <c r="G42" s="208">
        <v>0</v>
      </c>
      <c r="H42" s="208">
        <v>0</v>
      </c>
      <c r="I42" s="208">
        <v>0</v>
      </c>
      <c r="J42" s="208">
        <v>0</v>
      </c>
      <c r="K42" s="208">
        <v>0</v>
      </c>
    </row>
    <row r="43" spans="1:11">
      <c r="A43" t="s">
        <v>64</v>
      </c>
      <c r="B43" t="s">
        <v>108</v>
      </c>
      <c r="C43" t="s">
        <v>109</v>
      </c>
      <c r="D43" s="208">
        <v>34354258</v>
      </c>
      <c r="E43" s="208">
        <v>0</v>
      </c>
      <c r="F43" s="208">
        <v>0</v>
      </c>
      <c r="G43" s="208">
        <v>0</v>
      </c>
      <c r="H43" s="208">
        <v>34354258</v>
      </c>
      <c r="I43" s="208">
        <v>34354258</v>
      </c>
      <c r="J43" s="208">
        <v>34354258</v>
      </c>
      <c r="K43" s="208">
        <v>0</v>
      </c>
    </row>
    <row r="44" spans="1:11">
      <c r="A44" t="s">
        <v>64</v>
      </c>
      <c r="B44" t="s">
        <v>108</v>
      </c>
      <c r="C44" t="s">
        <v>110</v>
      </c>
      <c r="D44" s="208">
        <v>0</v>
      </c>
      <c r="E44" s="208">
        <v>0</v>
      </c>
      <c r="F44" s="208">
        <v>0</v>
      </c>
      <c r="G44" s="208">
        <v>0</v>
      </c>
      <c r="H44" s="208">
        <v>0</v>
      </c>
      <c r="I44" s="208">
        <v>0</v>
      </c>
      <c r="J44" s="208">
        <v>0</v>
      </c>
      <c r="K44" s="208">
        <v>0</v>
      </c>
    </row>
    <row r="45" spans="1:11">
      <c r="A45" t="s">
        <v>111</v>
      </c>
      <c r="B45" t="s">
        <v>112</v>
      </c>
      <c r="C45" t="s">
        <v>113</v>
      </c>
      <c r="D45" s="208">
        <v>137417034</v>
      </c>
      <c r="E45" s="208">
        <v>137416238</v>
      </c>
      <c r="F45" s="208">
        <v>0</v>
      </c>
      <c r="G45" s="208">
        <v>137416238</v>
      </c>
      <c r="H45" s="208">
        <v>137417034</v>
      </c>
      <c r="I45" s="208">
        <v>796</v>
      </c>
      <c r="J45" s="208">
        <v>137417034</v>
      </c>
      <c r="K45" s="208">
        <v>0</v>
      </c>
    </row>
    <row r="46" spans="1:11">
      <c r="A46" t="s">
        <v>111</v>
      </c>
      <c r="B46" t="s">
        <v>112</v>
      </c>
      <c r="C46" t="s">
        <v>114</v>
      </c>
      <c r="D46" s="208">
        <v>0</v>
      </c>
      <c r="E46" s="208">
        <v>0</v>
      </c>
      <c r="F46" s="208">
        <v>0</v>
      </c>
      <c r="G46" s="208">
        <v>0</v>
      </c>
      <c r="H46" s="208">
        <v>0</v>
      </c>
      <c r="I46" s="208">
        <v>0</v>
      </c>
      <c r="J46" s="208">
        <v>0</v>
      </c>
      <c r="K46" s="208">
        <v>0</v>
      </c>
    </row>
    <row r="47" spans="1:11">
      <c r="A47" t="s">
        <v>111</v>
      </c>
      <c r="B47" t="s">
        <v>115</v>
      </c>
      <c r="C47" t="s">
        <v>116</v>
      </c>
      <c r="D47" s="208">
        <v>0</v>
      </c>
      <c r="E47" s="208">
        <v>0</v>
      </c>
      <c r="F47" s="208">
        <v>0</v>
      </c>
      <c r="G47" s="208">
        <v>0</v>
      </c>
      <c r="H47" s="208">
        <v>0</v>
      </c>
      <c r="I47" s="208">
        <v>0</v>
      </c>
      <c r="J47" s="208">
        <v>0</v>
      </c>
      <c r="K47" s="208">
        <v>0</v>
      </c>
    </row>
    <row r="48" spans="1:11">
      <c r="A48" t="s">
        <v>111</v>
      </c>
      <c r="B48" t="s">
        <v>115</v>
      </c>
      <c r="C48" t="s">
        <v>117</v>
      </c>
      <c r="D48" s="208">
        <v>35151584</v>
      </c>
      <c r="E48" s="208">
        <v>0</v>
      </c>
      <c r="F48" s="208">
        <v>0</v>
      </c>
      <c r="G48" s="208">
        <v>0</v>
      </c>
      <c r="H48" s="208">
        <v>35151584</v>
      </c>
      <c r="I48" s="208">
        <v>35151584</v>
      </c>
      <c r="J48" s="208">
        <v>35151584</v>
      </c>
      <c r="K48" s="208">
        <v>0</v>
      </c>
    </row>
    <row r="49" spans="1:11">
      <c r="A49" t="s">
        <v>111</v>
      </c>
      <c r="B49" t="s">
        <v>115</v>
      </c>
      <c r="C49" t="s">
        <v>118</v>
      </c>
      <c r="D49" s="208">
        <v>246553335</v>
      </c>
      <c r="E49" s="208">
        <v>0</v>
      </c>
      <c r="F49" s="208">
        <v>0</v>
      </c>
      <c r="G49" s="208">
        <v>0</v>
      </c>
      <c r="H49" s="208">
        <v>246553335</v>
      </c>
      <c r="I49" s="208">
        <v>246553335</v>
      </c>
      <c r="J49" s="208">
        <v>246553335</v>
      </c>
      <c r="K49" s="208">
        <v>0</v>
      </c>
    </row>
    <row r="50" spans="1:11">
      <c r="A50" t="s">
        <v>111</v>
      </c>
      <c r="B50" t="s">
        <v>119</v>
      </c>
      <c r="C50" t="s">
        <v>120</v>
      </c>
      <c r="D50" s="208">
        <v>67334346</v>
      </c>
      <c r="E50" s="208">
        <v>0</v>
      </c>
      <c r="F50" s="208">
        <v>0</v>
      </c>
      <c r="G50" s="208">
        <v>0</v>
      </c>
      <c r="H50" s="208">
        <v>67334346</v>
      </c>
      <c r="I50" s="208">
        <v>67334346</v>
      </c>
      <c r="J50" s="208">
        <v>67334346</v>
      </c>
      <c r="K50" s="208">
        <v>0</v>
      </c>
    </row>
    <row r="51" spans="1:11">
      <c r="A51" t="s">
        <v>111</v>
      </c>
      <c r="B51" t="s">
        <v>119</v>
      </c>
      <c r="C51" t="s">
        <v>121</v>
      </c>
      <c r="D51" s="208">
        <v>0</v>
      </c>
      <c r="E51" s="208">
        <v>0</v>
      </c>
      <c r="F51" s="208">
        <v>0</v>
      </c>
      <c r="G51" s="208">
        <v>0</v>
      </c>
      <c r="H51" s="208">
        <v>0</v>
      </c>
      <c r="I51" s="208">
        <v>0</v>
      </c>
      <c r="J51" s="208">
        <v>0</v>
      </c>
      <c r="K51" s="208">
        <v>0</v>
      </c>
    </row>
    <row r="52" spans="1:11">
      <c r="A52" t="s">
        <v>111</v>
      </c>
      <c r="B52" t="s">
        <v>122</v>
      </c>
      <c r="C52" t="s">
        <v>123</v>
      </c>
      <c r="D52" s="208">
        <v>50231388</v>
      </c>
      <c r="E52" s="208">
        <v>3786501.88</v>
      </c>
      <c r="F52" s="208">
        <v>0</v>
      </c>
      <c r="G52" s="208">
        <v>3786501.88</v>
      </c>
      <c r="H52" s="208">
        <v>50231388</v>
      </c>
      <c r="I52" s="208">
        <v>46444886.119999997</v>
      </c>
      <c r="J52" s="208">
        <v>50231388</v>
      </c>
      <c r="K52" s="208">
        <v>0</v>
      </c>
    </row>
    <row r="53" spans="1:11">
      <c r="A53" t="s">
        <v>111</v>
      </c>
      <c r="B53" t="s">
        <v>122</v>
      </c>
      <c r="C53" t="s">
        <v>180</v>
      </c>
      <c r="D53" s="208">
        <v>1300000</v>
      </c>
      <c r="E53" s="208">
        <v>0</v>
      </c>
      <c r="F53" s="208">
        <v>0</v>
      </c>
      <c r="G53" s="208">
        <v>0</v>
      </c>
      <c r="H53" s="208">
        <v>1300000</v>
      </c>
      <c r="I53" s="208">
        <v>1300000</v>
      </c>
      <c r="J53" s="208">
        <v>1300000</v>
      </c>
      <c r="K53" s="208">
        <v>0</v>
      </c>
    </row>
    <row r="54" spans="1:11">
      <c r="A54" t="s">
        <v>111</v>
      </c>
      <c r="B54" t="s">
        <v>126</v>
      </c>
      <c r="C54" t="s">
        <v>127</v>
      </c>
      <c r="D54" s="208">
        <v>19238385</v>
      </c>
      <c r="E54" s="208">
        <v>0</v>
      </c>
      <c r="F54" s="208">
        <v>0</v>
      </c>
      <c r="G54" s="208">
        <v>0</v>
      </c>
      <c r="H54" s="208">
        <v>19238385</v>
      </c>
      <c r="I54" s="208">
        <v>19238385</v>
      </c>
      <c r="J54" s="208">
        <v>19238385</v>
      </c>
      <c r="K54" s="208">
        <v>0</v>
      </c>
    </row>
    <row r="55" spans="1:11">
      <c r="A55" t="s">
        <v>111</v>
      </c>
      <c r="B55" t="s">
        <v>126</v>
      </c>
      <c r="C55" t="s">
        <v>128</v>
      </c>
      <c r="D55" s="208">
        <v>0</v>
      </c>
      <c r="E55" s="208">
        <v>0</v>
      </c>
      <c r="F55" s="208">
        <v>0</v>
      </c>
      <c r="G55" s="208">
        <v>0</v>
      </c>
      <c r="H55" s="208">
        <v>0</v>
      </c>
      <c r="I55" s="208">
        <v>0</v>
      </c>
      <c r="J55" s="208">
        <v>0</v>
      </c>
      <c r="K55" s="208">
        <v>0</v>
      </c>
    </row>
    <row r="56" spans="1:11">
      <c r="A56" t="s">
        <v>129</v>
      </c>
      <c r="B56" t="s">
        <v>193</v>
      </c>
      <c r="C56" t="s">
        <v>194</v>
      </c>
      <c r="D56" s="208">
        <v>11603049.300000001</v>
      </c>
      <c r="E56" s="208">
        <v>3634527.52</v>
      </c>
      <c r="F56" s="208">
        <v>3634527.52</v>
      </c>
      <c r="G56" s="208">
        <v>3634527.52</v>
      </c>
      <c r="H56" s="208">
        <v>11603049.300000001</v>
      </c>
      <c r="I56" s="208">
        <v>7968521.7800000003</v>
      </c>
      <c r="J56" s="208">
        <v>11603049.300000001</v>
      </c>
      <c r="K56" s="208">
        <v>0</v>
      </c>
    </row>
    <row r="57" spans="1:11">
      <c r="A57" t="s">
        <v>129</v>
      </c>
      <c r="B57" t="s">
        <v>193</v>
      </c>
      <c r="C57" t="s">
        <v>195</v>
      </c>
      <c r="D57" s="208">
        <v>3396950.7</v>
      </c>
      <c r="E57" s="208">
        <v>3396950.7</v>
      </c>
      <c r="F57" s="208">
        <v>1009477.9</v>
      </c>
      <c r="G57" s="208">
        <v>3396950.7</v>
      </c>
      <c r="H57" s="208">
        <v>3396950.7</v>
      </c>
      <c r="I57" s="208">
        <v>0</v>
      </c>
      <c r="J57" s="208">
        <v>3396950.7</v>
      </c>
      <c r="K57" s="208">
        <v>0</v>
      </c>
    </row>
    <row r="58" spans="1:11">
      <c r="A58" t="s">
        <v>129</v>
      </c>
      <c r="B58" t="s">
        <v>133</v>
      </c>
      <c r="C58" t="s">
        <v>134</v>
      </c>
      <c r="D58" s="208">
        <v>19238385</v>
      </c>
      <c r="E58" s="208">
        <v>0</v>
      </c>
      <c r="F58" s="208">
        <v>0</v>
      </c>
      <c r="G58" s="208">
        <v>0</v>
      </c>
      <c r="H58" s="208">
        <v>19238385</v>
      </c>
      <c r="I58" s="208">
        <v>19238385</v>
      </c>
      <c r="J58" s="208">
        <v>19238385</v>
      </c>
      <c r="K58" s="208">
        <v>0</v>
      </c>
    </row>
    <row r="59" spans="1:11">
      <c r="A59" t="s">
        <v>129</v>
      </c>
      <c r="B59" t="s">
        <v>133</v>
      </c>
      <c r="C59" t="s">
        <v>135</v>
      </c>
      <c r="D59" s="208">
        <v>0</v>
      </c>
      <c r="E59" s="208">
        <v>0</v>
      </c>
      <c r="F59" s="208">
        <v>0</v>
      </c>
      <c r="G59" s="208">
        <v>0</v>
      </c>
      <c r="H59" s="208">
        <v>0</v>
      </c>
      <c r="I59" s="208">
        <v>0</v>
      </c>
      <c r="J59" s="208">
        <v>0</v>
      </c>
      <c r="K59" s="208">
        <v>0</v>
      </c>
    </row>
    <row r="60" spans="1:11">
      <c r="A60" t="s">
        <v>129</v>
      </c>
      <c r="B60" t="s">
        <v>136</v>
      </c>
      <c r="C60" t="s">
        <v>137</v>
      </c>
      <c r="D60" s="208">
        <v>192383847</v>
      </c>
      <c r="E60" s="208">
        <v>0</v>
      </c>
      <c r="F60" s="208">
        <v>0</v>
      </c>
      <c r="G60" s="208">
        <v>0</v>
      </c>
      <c r="H60" s="208">
        <v>192383847</v>
      </c>
      <c r="I60" s="208">
        <v>192383847</v>
      </c>
      <c r="J60" s="208">
        <v>192383847</v>
      </c>
      <c r="K60" s="208">
        <v>0</v>
      </c>
    </row>
    <row r="61" spans="1:11">
      <c r="A61" t="s">
        <v>129</v>
      </c>
      <c r="B61" t="s">
        <v>136</v>
      </c>
      <c r="C61" t="s">
        <v>138</v>
      </c>
      <c r="D61" s="208">
        <v>0</v>
      </c>
      <c r="E61" s="208">
        <v>0</v>
      </c>
      <c r="F61" s="208">
        <v>0</v>
      </c>
      <c r="G61" s="208">
        <v>0</v>
      </c>
      <c r="H61" s="208">
        <v>0</v>
      </c>
      <c r="I61" s="208">
        <v>0</v>
      </c>
      <c r="J61" s="208">
        <v>0</v>
      </c>
      <c r="K61" s="208">
        <v>0</v>
      </c>
    </row>
    <row r="63" spans="1:11">
      <c r="D63" s="161">
        <f>SUM(D3:D61)</f>
        <v>2831861943</v>
      </c>
      <c r="E63" s="161">
        <f t="shared" ref="E63:K63" si="0">SUM(E3:E61)</f>
        <v>274272238.58999997</v>
      </c>
      <c r="F63" s="161">
        <f>SUM(F3:F61)</f>
        <v>103476099</v>
      </c>
      <c r="G63" s="161">
        <f t="shared" si="0"/>
        <v>274272238.58999997</v>
      </c>
      <c r="H63" s="161">
        <f t="shared" si="0"/>
        <v>2831861943</v>
      </c>
      <c r="I63" s="161">
        <f t="shared" si="0"/>
        <v>2557648704.4100003</v>
      </c>
      <c r="J63" s="161">
        <f t="shared" si="0"/>
        <v>2831920943</v>
      </c>
      <c r="K63" s="161">
        <f t="shared" si="0"/>
        <v>-59000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7C386-EF4E-4FCB-A10F-4B7D31FD04F5}">
  <dimension ref="A1:N49"/>
  <sheetViews>
    <sheetView showGridLines="0" topLeftCell="A23" zoomScale="71" zoomScaleNormal="90" workbookViewId="0">
      <selection activeCell="F15" sqref="F15"/>
    </sheetView>
  </sheetViews>
  <sheetFormatPr baseColWidth="10" defaultColWidth="11.44140625" defaultRowHeight="14.4"/>
  <cols>
    <col min="1" max="1" width="10.109375" customWidth="1"/>
    <col min="2" max="2" width="26.33203125" bestFit="1" customWidth="1"/>
    <col min="3" max="3" width="5.6640625" bestFit="1" customWidth="1"/>
    <col min="4" max="4" width="19.5546875" bestFit="1" customWidth="1"/>
    <col min="5" max="5" width="22.109375" customWidth="1"/>
    <col min="6" max="6" width="19.109375" bestFit="1" customWidth="1"/>
    <col min="7" max="7" width="18.88671875" bestFit="1" customWidth="1"/>
    <col min="8" max="8" width="20.88671875" customWidth="1"/>
    <col min="9" max="9" width="21.109375" bestFit="1" customWidth="1"/>
    <col min="10" max="10" width="14.5546875" bestFit="1" customWidth="1"/>
    <col min="11" max="11" width="16.109375" customWidth="1"/>
    <col min="12" max="12" width="18.5546875" customWidth="1"/>
    <col min="13" max="13" width="17" customWidth="1"/>
    <col min="14" max="16" width="15.44140625" bestFit="1" customWidth="1"/>
    <col min="17" max="17" width="14.44140625" bestFit="1" customWidth="1"/>
  </cols>
  <sheetData>
    <row r="1" spans="2:14" ht="14.4" customHeight="1">
      <c r="E1" s="110" t="s">
        <v>196</v>
      </c>
      <c r="F1" s="110"/>
      <c r="K1" s="2109" t="s">
        <v>185</v>
      </c>
      <c r="L1" s="2109"/>
      <c r="M1" s="2109"/>
      <c r="N1" s="2109"/>
    </row>
    <row r="2" spans="2:14" ht="15" thickBot="1">
      <c r="E2" s="249" t="s">
        <v>186</v>
      </c>
      <c r="F2" s="181" t="s">
        <v>197</v>
      </c>
      <c r="G2" s="181" t="s">
        <v>198</v>
      </c>
      <c r="H2" s="181" t="s">
        <v>199</v>
      </c>
      <c r="I2" s="181" t="s">
        <v>200</v>
      </c>
      <c r="J2" s="181"/>
      <c r="K2" s="2109"/>
      <c r="L2" s="2109"/>
      <c r="M2" s="2109"/>
      <c r="N2" s="2109"/>
    </row>
    <row r="3" spans="2:14" ht="15.6">
      <c r="B3" s="160" t="s">
        <v>187</v>
      </c>
      <c r="C3" s="62"/>
      <c r="D3" s="62"/>
      <c r="E3" s="141">
        <v>59.15</v>
      </c>
      <c r="F3" s="2105" t="s">
        <v>188</v>
      </c>
      <c r="G3" s="2105" t="s">
        <v>145</v>
      </c>
      <c r="H3" s="2107" t="s">
        <v>147</v>
      </c>
      <c r="I3" s="2105" t="s">
        <v>146</v>
      </c>
      <c r="J3" s="2105"/>
      <c r="K3" s="183"/>
      <c r="L3" s="183"/>
      <c r="M3" s="183"/>
      <c r="N3" s="183"/>
    </row>
    <row r="4" spans="2:14" ht="15" thickBot="1">
      <c r="B4" s="25" t="s">
        <v>29</v>
      </c>
      <c r="C4" s="25"/>
      <c r="D4" s="25" t="s">
        <v>30</v>
      </c>
      <c r="E4" s="65" t="s">
        <v>31</v>
      </c>
      <c r="F4" s="2106"/>
      <c r="G4" s="2106"/>
      <c r="H4" s="2108"/>
      <c r="I4" s="2106"/>
      <c r="J4" s="2106"/>
      <c r="K4" s="183"/>
      <c r="L4" s="183"/>
      <c r="M4" s="183"/>
      <c r="N4" s="183"/>
    </row>
    <row r="5" spans="2:14" ht="15" thickBot="1">
      <c r="B5" s="254" t="s">
        <v>33</v>
      </c>
      <c r="C5" s="255"/>
      <c r="D5" s="256">
        <f>SUM('budget (9)'!D3:D4)</f>
        <v>103385169</v>
      </c>
      <c r="E5" s="257">
        <f>D5/E3</f>
        <v>1747847.3203719358</v>
      </c>
      <c r="F5" s="258">
        <f>SUM('budget (9)'!F3:F4)</f>
        <v>96272168.739999995</v>
      </c>
      <c r="G5" s="258">
        <f>SUM('budget (9)'!E3:E4)</f>
        <v>96272168.739999995</v>
      </c>
      <c r="H5" s="259">
        <f t="shared" ref="H5:H22" si="0">G5-F5</f>
        <v>0</v>
      </c>
      <c r="I5" s="260">
        <f>SUM('budget (9)'!I3:I4)</f>
        <v>7172000.2599999998</v>
      </c>
      <c r="J5" s="264">
        <f>D5-(G5+I5)</f>
        <v>-59000</v>
      </c>
      <c r="K5" s="183"/>
      <c r="L5" s="183"/>
      <c r="M5" s="183"/>
      <c r="N5" s="183"/>
    </row>
    <row r="6" spans="2:14">
      <c r="B6" s="115" t="s">
        <v>35</v>
      </c>
      <c r="C6" s="120"/>
      <c r="D6" s="116">
        <f>SUM('budget (9)'!D11:D24)</f>
        <v>451758999.99999994</v>
      </c>
      <c r="E6" s="117">
        <f>D6/$E$3</f>
        <v>7637514.7928994074</v>
      </c>
      <c r="F6" s="132">
        <f>SUM('budget (9)'!F11:F24)</f>
        <v>2559924.84</v>
      </c>
      <c r="G6" s="132">
        <f>SUM('budget (9)'!E11:E24)</f>
        <v>9038515.3900000006</v>
      </c>
      <c r="H6" s="125">
        <f t="shared" si="0"/>
        <v>6478590.5500000007</v>
      </c>
      <c r="I6" s="173">
        <f>SUM('budget (9)'!I11:I24)</f>
        <v>442720484.60999995</v>
      </c>
      <c r="J6" s="265">
        <f t="shared" ref="J6:J21" si="1">D6-(G6+I6)</f>
        <v>0</v>
      </c>
      <c r="K6" s="183"/>
      <c r="L6" s="184"/>
      <c r="M6" s="183"/>
      <c r="N6" s="183"/>
    </row>
    <row r="7" spans="2:14">
      <c r="B7" s="112" t="s">
        <v>38</v>
      </c>
      <c r="C7" s="121"/>
      <c r="D7" s="113">
        <f>SUM('budget (9)'!D25:D39)</f>
        <v>1265953920</v>
      </c>
      <c r="E7" s="114">
        <f t="shared" ref="E7:E9" si="2">D7/$E$3</f>
        <v>21402433.136094674</v>
      </c>
      <c r="F7" s="133">
        <f>SUM('budget (9)'!F25:F39)</f>
        <v>0</v>
      </c>
      <c r="G7" s="133">
        <f>SUM('budget (9)'!E25:E39)</f>
        <v>0</v>
      </c>
      <c r="H7" s="127">
        <f t="shared" si="0"/>
        <v>0</v>
      </c>
      <c r="I7" s="133">
        <f>SUM('budget (9)'!I25:I39)</f>
        <v>1265953920</v>
      </c>
      <c r="J7" s="266">
        <f t="shared" si="1"/>
        <v>0</v>
      </c>
      <c r="K7" s="183"/>
      <c r="L7" s="184"/>
      <c r="M7" s="183"/>
      <c r="N7" s="183"/>
    </row>
    <row r="8" spans="2:14">
      <c r="B8" s="115" t="s">
        <v>148</v>
      </c>
      <c r="C8" s="120"/>
      <c r="D8" s="118">
        <f>SUM('budget (9)'!D40:D41)</f>
        <v>171771292</v>
      </c>
      <c r="E8" s="117">
        <f t="shared" si="2"/>
        <v>2903994.7928994084</v>
      </c>
      <c r="F8" s="134">
        <f>SUM('budget (9)'!F40:F41)</f>
        <v>0</v>
      </c>
      <c r="G8" s="134">
        <f>SUM('budget (9)'!E40:E41)</f>
        <v>0</v>
      </c>
      <c r="H8" s="129">
        <f t="shared" si="0"/>
        <v>0</v>
      </c>
      <c r="I8" s="134">
        <f>SUM('budget (9)'!I40:I41)</f>
        <v>171771292</v>
      </c>
      <c r="J8" s="267">
        <f t="shared" si="1"/>
        <v>0</v>
      </c>
      <c r="K8" s="183"/>
      <c r="L8" s="184"/>
      <c r="M8" s="183"/>
      <c r="N8" s="183"/>
    </row>
    <row r="9" spans="2:14">
      <c r="B9" s="112" t="s">
        <v>40</v>
      </c>
      <c r="C9" s="121"/>
      <c r="D9" s="113">
        <f>SUM('budget (9)'!D42:D43)</f>
        <v>34354258</v>
      </c>
      <c r="E9" s="114">
        <f t="shared" si="2"/>
        <v>580798.95181741333</v>
      </c>
      <c r="F9" s="133">
        <f>SUM('budget (9)'!F42:F43)</f>
        <v>0</v>
      </c>
      <c r="G9" s="133">
        <f>SUM('budget (9)'!E42:E43)</f>
        <v>0</v>
      </c>
      <c r="H9" s="127">
        <f t="shared" si="0"/>
        <v>0</v>
      </c>
      <c r="I9" s="133">
        <f>SUM('budget (9)'!I42:I43)</f>
        <v>34354258</v>
      </c>
      <c r="J9" s="266">
        <f t="shared" si="1"/>
        <v>0</v>
      </c>
      <c r="K9" s="183"/>
      <c r="L9" s="184"/>
      <c r="M9" s="183"/>
      <c r="N9" s="183"/>
    </row>
    <row r="10" spans="2:14" ht="15" thickBot="1">
      <c r="B10" s="254" t="s">
        <v>41</v>
      </c>
      <c r="C10" s="255"/>
      <c r="D10" s="261">
        <f>SUM(D6:D9)</f>
        <v>1923838470</v>
      </c>
      <c r="E10" s="259">
        <f>SUM(E6:E9)</f>
        <v>32524741.673710901</v>
      </c>
      <c r="F10" s="262">
        <f>SUM(F6:F9)</f>
        <v>2559924.84</v>
      </c>
      <c r="G10" s="262">
        <f>SUM(G6:G9)</f>
        <v>9038515.3900000006</v>
      </c>
      <c r="H10" s="259">
        <f t="shared" si="0"/>
        <v>6478590.5500000007</v>
      </c>
      <c r="I10" s="263">
        <f>SUM(I6:I9)</f>
        <v>1914799954.6099999</v>
      </c>
      <c r="J10" s="268">
        <f t="shared" si="1"/>
        <v>0</v>
      </c>
      <c r="K10" s="183"/>
      <c r="L10" s="184"/>
      <c r="M10" s="183"/>
      <c r="N10" s="183"/>
    </row>
    <row r="11" spans="2:14">
      <c r="B11" s="112" t="s">
        <v>42</v>
      </c>
      <c r="C11" s="121"/>
      <c r="D11" s="163">
        <f>SUM('budget (9)'!D44:D45)</f>
        <v>137417034</v>
      </c>
      <c r="E11" s="114">
        <f>D11/$E$3</f>
        <v>2323195.8410819951</v>
      </c>
      <c r="F11" s="179">
        <f>SUM('budget (9)'!F44:F45)</f>
        <v>0</v>
      </c>
      <c r="G11" s="179">
        <f>SUM('budget (9)'!E44:E45)</f>
        <v>137416238</v>
      </c>
      <c r="H11" s="127">
        <f t="shared" si="0"/>
        <v>137416238</v>
      </c>
      <c r="I11" s="177">
        <f>SUM('budget (9)'!I44:I45)</f>
        <v>796</v>
      </c>
      <c r="J11" s="269">
        <f t="shared" si="1"/>
        <v>0</v>
      </c>
      <c r="K11" s="183"/>
      <c r="L11" s="184"/>
      <c r="M11" s="183"/>
      <c r="N11" s="183"/>
    </row>
    <row r="12" spans="2:14">
      <c r="B12" s="115" t="s">
        <v>43</v>
      </c>
      <c r="C12" s="120"/>
      <c r="D12" s="165">
        <f>SUM('budget (9)'!D46:D48)</f>
        <v>35151584</v>
      </c>
      <c r="E12" s="117">
        <f t="shared" ref="E12:E20" si="3">D12/$E$3</f>
        <v>594278.68131868134</v>
      </c>
      <c r="F12" s="178">
        <f>SUM('budget (9)'!F46:F48)</f>
        <v>0</v>
      </c>
      <c r="G12" s="178">
        <f>SUM('budget (9)'!E46:E48)</f>
        <v>0</v>
      </c>
      <c r="H12" s="131">
        <f t="shared" si="0"/>
        <v>0</v>
      </c>
      <c r="I12" s="178">
        <f>SUM('budget (9)'!I46:I48)</f>
        <v>35151584</v>
      </c>
      <c r="J12" s="270">
        <f t="shared" si="1"/>
        <v>0</v>
      </c>
      <c r="K12" s="183"/>
      <c r="L12" s="184"/>
      <c r="M12" s="183"/>
      <c r="N12" s="183"/>
    </row>
    <row r="13" spans="2:14">
      <c r="B13" s="112" t="s">
        <v>44</v>
      </c>
      <c r="C13" s="121"/>
      <c r="D13" s="163">
        <f>SUM('budget (9)'!D49:D50)</f>
        <v>313887681</v>
      </c>
      <c r="E13" s="114">
        <f t="shared" si="3"/>
        <v>5306638.7320371941</v>
      </c>
      <c r="F13" s="179">
        <f>SUM('budget (9)'!F49:F50)</f>
        <v>0</v>
      </c>
      <c r="G13" s="179">
        <f>SUM('budget (9)'!E49:E50)</f>
        <v>0</v>
      </c>
      <c r="H13" s="127">
        <f t="shared" si="0"/>
        <v>0</v>
      </c>
      <c r="I13" s="179">
        <f>SUM('budget (9)'!I49:I50)</f>
        <v>313887681</v>
      </c>
      <c r="J13" s="271">
        <f t="shared" si="1"/>
        <v>0</v>
      </c>
      <c r="K13" s="183"/>
      <c r="L13" s="184"/>
      <c r="M13" s="183"/>
      <c r="N13" s="183"/>
    </row>
    <row r="14" spans="2:14">
      <c r="B14" s="115" t="s">
        <v>45</v>
      </c>
      <c r="C14" s="120"/>
      <c r="D14" s="165">
        <f>SUM('budget (9)'!D51:D52)</f>
        <v>50231388</v>
      </c>
      <c r="E14" s="117">
        <f t="shared" si="3"/>
        <v>849220.4226542688</v>
      </c>
      <c r="F14" s="178">
        <f>SUM('budget (9)'!F51:F52)</f>
        <v>0</v>
      </c>
      <c r="G14" s="178">
        <f>SUM('budget (9)'!E51:E52)</f>
        <v>3786501.88</v>
      </c>
      <c r="H14" s="131">
        <f t="shared" si="0"/>
        <v>3786501.88</v>
      </c>
      <c r="I14" s="178">
        <f>SUM('budget (9)'!I51:I52)</f>
        <v>46444886.119999997</v>
      </c>
      <c r="J14" s="270">
        <f t="shared" si="1"/>
        <v>0</v>
      </c>
      <c r="K14" s="183"/>
      <c r="L14" s="184"/>
      <c r="M14" s="183"/>
      <c r="N14" s="183"/>
    </row>
    <row r="15" spans="2:14">
      <c r="B15" s="112" t="s">
        <v>46</v>
      </c>
      <c r="C15" s="121"/>
      <c r="D15" s="163">
        <f>SUM('budget (9)'!D53:D54)</f>
        <v>20538385</v>
      </c>
      <c r="E15" s="114">
        <f t="shared" si="3"/>
        <v>347225.44378698227</v>
      </c>
      <c r="F15" s="179">
        <f>SUM('budget (9)'!F53:F54)</f>
        <v>0</v>
      </c>
      <c r="G15" s="179">
        <f>SUM('budget (9)'!E53:E54)</f>
        <v>0</v>
      </c>
      <c r="H15" s="127">
        <f t="shared" si="0"/>
        <v>0</v>
      </c>
      <c r="I15" s="179">
        <f>SUM('budget (9)'!I53:I54)</f>
        <v>20538385</v>
      </c>
      <c r="J15" s="271">
        <f t="shared" si="1"/>
        <v>0</v>
      </c>
      <c r="K15" s="183"/>
      <c r="L15" s="184"/>
      <c r="M15" s="183"/>
      <c r="N15" s="183"/>
    </row>
    <row r="16" spans="2:14" ht="15" thickBot="1">
      <c r="B16" s="254" t="s">
        <v>47</v>
      </c>
      <c r="C16" s="255"/>
      <c r="D16" s="261">
        <f>SUM(D11:D15)</f>
        <v>557226072</v>
      </c>
      <c r="E16" s="259">
        <f>SUM(E11:E15)</f>
        <v>9420559.1208791211</v>
      </c>
      <c r="F16" s="262">
        <f>SUM(F11:F15)</f>
        <v>0</v>
      </c>
      <c r="G16" s="262">
        <f>SUM(G11:G15)</f>
        <v>141202739.88</v>
      </c>
      <c r="H16" s="259">
        <f t="shared" si="0"/>
        <v>141202739.88</v>
      </c>
      <c r="I16" s="263">
        <f t="shared" ref="I16" si="4">SUM(I11:I15)</f>
        <v>416023332.12</v>
      </c>
      <c r="J16" s="268">
        <f t="shared" si="1"/>
        <v>0</v>
      </c>
      <c r="K16" s="183"/>
      <c r="L16" s="184"/>
      <c r="M16" s="183"/>
      <c r="N16" s="183"/>
    </row>
    <row r="17" spans="2:14">
      <c r="B17" s="112" t="s">
        <v>48</v>
      </c>
      <c r="C17" s="121"/>
      <c r="D17" s="163">
        <f>SUM('budget (9)'!D55:D56)</f>
        <v>11603049.300000001</v>
      </c>
      <c r="E17" s="114">
        <f t="shared" si="3"/>
        <v>196163.13271344043</v>
      </c>
      <c r="F17" s="179">
        <f>SUM('budget (9)'!F55:F56)</f>
        <v>3634527.52</v>
      </c>
      <c r="G17" s="179">
        <f>SUM('budget (9)'!E55:E56)</f>
        <v>3634527.52</v>
      </c>
      <c r="H17" s="127">
        <f t="shared" si="0"/>
        <v>0</v>
      </c>
      <c r="I17" s="177">
        <f>SUM('budget (9)'!I55:I56)</f>
        <v>7968521.7800000003</v>
      </c>
      <c r="J17" s="269">
        <f t="shared" si="1"/>
        <v>0</v>
      </c>
      <c r="K17" s="183"/>
      <c r="L17" s="184"/>
      <c r="M17" s="183"/>
      <c r="N17" s="185"/>
    </row>
    <row r="18" spans="2:14">
      <c r="B18" s="115" t="s">
        <v>49</v>
      </c>
      <c r="C18" s="120"/>
      <c r="D18" s="165">
        <f>SUM('budget (9)'!D5:D10)</f>
        <v>20790000</v>
      </c>
      <c r="E18" s="117">
        <f t="shared" si="3"/>
        <v>351479.2899408284</v>
      </c>
      <c r="F18" s="178">
        <f>SUM('budget (9)'!F5:F10)</f>
        <v>0</v>
      </c>
      <c r="G18" s="178">
        <f>SUM('budget (9)'!E5:E10)</f>
        <v>20727336.359999999</v>
      </c>
      <c r="H18" s="131">
        <f t="shared" si="0"/>
        <v>20727336.359999999</v>
      </c>
      <c r="I18" s="178">
        <f>SUM('budget (9)'!I5:I10)</f>
        <v>62663.64</v>
      </c>
      <c r="J18" s="270">
        <f t="shared" si="1"/>
        <v>0</v>
      </c>
      <c r="K18" s="183"/>
      <c r="L18" s="184"/>
      <c r="M18" s="183"/>
      <c r="N18" s="183"/>
    </row>
    <row r="19" spans="2:14">
      <c r="B19" s="112" t="s">
        <v>50</v>
      </c>
      <c r="C19" s="121"/>
      <c r="D19" s="163">
        <f>SUM('budget (9)'!D59:D60)</f>
        <v>192383847</v>
      </c>
      <c r="E19" s="114">
        <f t="shared" si="3"/>
        <v>3252474.1673710905</v>
      </c>
      <c r="F19" s="179">
        <f>SUM('budget (9)'!F59:F60)</f>
        <v>0</v>
      </c>
      <c r="G19" s="179">
        <f>SUM('budget (9)'!E59:E60)</f>
        <v>0</v>
      </c>
      <c r="H19" s="127">
        <f t="shared" si="0"/>
        <v>0</v>
      </c>
      <c r="I19" s="179">
        <f>SUM('budget (9)'!I59:I60)</f>
        <v>192383847</v>
      </c>
      <c r="J19" s="271">
        <f t="shared" si="1"/>
        <v>0</v>
      </c>
      <c r="K19" s="183"/>
      <c r="L19" s="184"/>
      <c r="M19" s="183"/>
      <c r="N19" s="183"/>
    </row>
    <row r="20" spans="2:14">
      <c r="B20" s="115" t="s">
        <v>51</v>
      </c>
      <c r="C20" s="120"/>
      <c r="D20" s="165">
        <f>SUM('budget (9)'!D57:D58)</f>
        <v>22635335.699999999</v>
      </c>
      <c r="E20" s="117">
        <f t="shared" si="3"/>
        <v>382676.85038038885</v>
      </c>
      <c r="F20" s="178">
        <f>SUM('budget (9)'!F57:F58)</f>
        <v>1009477.9</v>
      </c>
      <c r="G20" s="178">
        <f>SUM('budget (9)'!E57:E58)</f>
        <v>3396950.7</v>
      </c>
      <c r="H20" s="131">
        <f t="shared" si="0"/>
        <v>2387472.8000000003</v>
      </c>
      <c r="I20" s="178">
        <f>SUM('budget (9)'!I57:I58)</f>
        <v>19238385</v>
      </c>
      <c r="J20" s="270">
        <f t="shared" si="1"/>
        <v>0</v>
      </c>
      <c r="K20" s="183"/>
      <c r="L20" s="184"/>
      <c r="M20" s="183"/>
      <c r="N20" s="183"/>
    </row>
    <row r="21" spans="2:14" ht="15" thickBot="1">
      <c r="B21" s="254" t="s">
        <v>52</v>
      </c>
      <c r="C21" s="255"/>
      <c r="D21" s="261">
        <f>SUM(D17:D20)</f>
        <v>247412232</v>
      </c>
      <c r="E21" s="259">
        <f>SUM(E17:E20)</f>
        <v>4182793.4404057483</v>
      </c>
      <c r="F21" s="263">
        <f>SUM(F17:F20)</f>
        <v>4644005.42</v>
      </c>
      <c r="G21" s="262">
        <f>SUM(G17:G20)</f>
        <v>27758814.579999998</v>
      </c>
      <c r="H21" s="259">
        <f t="shared" si="0"/>
        <v>23114809.159999996</v>
      </c>
      <c r="I21" s="263">
        <f t="shared" ref="I21" si="5">SUM(I17:I20)</f>
        <v>219653417.41999999</v>
      </c>
      <c r="J21" s="268">
        <f t="shared" si="1"/>
        <v>0</v>
      </c>
      <c r="K21" s="183"/>
      <c r="L21" s="184"/>
      <c r="M21" s="183"/>
      <c r="N21" s="183"/>
    </row>
    <row r="22" spans="2:14" ht="18.600000000000001" thickBot="1">
      <c r="B22" s="153" t="s">
        <v>53</v>
      </c>
      <c r="C22" s="154"/>
      <c r="D22" s="155">
        <f>D5+D10+D16+D21</f>
        <v>2831861943</v>
      </c>
      <c r="E22" s="156">
        <f>E5+E10+E16+E21</f>
        <v>47875941.555367708</v>
      </c>
      <c r="F22" s="90">
        <f>F21+F16+F10+F5</f>
        <v>103476099</v>
      </c>
      <c r="G22" s="90">
        <f>G21+G16+G10+G5</f>
        <v>274272238.58999997</v>
      </c>
      <c r="H22" s="122">
        <f t="shared" si="0"/>
        <v>170796139.58999997</v>
      </c>
      <c r="I22" s="90">
        <f t="shared" ref="I22:J22" si="6">I21+I16+I10+I5</f>
        <v>2557648704.4099998</v>
      </c>
      <c r="J22" s="272">
        <f t="shared" si="6"/>
        <v>-59000</v>
      </c>
      <c r="K22" s="183"/>
      <c r="L22" s="184"/>
      <c r="M22" s="183"/>
      <c r="N22" s="183"/>
    </row>
    <row r="23" spans="2:14" ht="15" thickBot="1"/>
    <row r="24" spans="2:14" ht="15" thickBot="1">
      <c r="L24" s="186" t="s">
        <v>189</v>
      </c>
      <c r="M24" s="190">
        <v>2831861942.3920002</v>
      </c>
    </row>
    <row r="25" spans="2:14" ht="15" thickBot="1">
      <c r="L25" s="188" t="s">
        <v>190</v>
      </c>
      <c r="M25" s="189">
        <f>D22</f>
        <v>2831861943</v>
      </c>
    </row>
    <row r="26" spans="2:14" ht="15" thickBot="1">
      <c r="L26" s="187" t="s">
        <v>191</v>
      </c>
      <c r="M26" s="191">
        <f>M24-M25</f>
        <v>-0.60799980163574219</v>
      </c>
    </row>
    <row r="28" spans="2:14">
      <c r="B28" s="192"/>
      <c r="C28" s="192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</row>
    <row r="29" spans="2:14">
      <c r="F29" s="143"/>
    </row>
    <row r="30" spans="2:14" ht="18.600000000000001" thickBot="1">
      <c r="B30" t="s">
        <v>152</v>
      </c>
      <c r="D30" s="90">
        <v>160000000</v>
      </c>
      <c r="L30" s="159"/>
    </row>
    <row r="31" spans="2:14">
      <c r="B31" t="s">
        <v>153</v>
      </c>
      <c r="D31" s="108"/>
    </row>
    <row r="32" spans="2:14">
      <c r="B32" t="s">
        <v>154</v>
      </c>
      <c r="D32" s="161">
        <f>D30-D31</f>
        <v>160000000</v>
      </c>
      <c r="E32" s="108"/>
    </row>
    <row r="34" spans="1:14">
      <c r="B34" s="149" t="s">
        <v>29</v>
      </c>
      <c r="C34" s="149"/>
      <c r="D34" s="151" t="s">
        <v>155</v>
      </c>
      <c r="E34" s="151" t="s">
        <v>156</v>
      </c>
      <c r="F34" s="151" t="s">
        <v>157</v>
      </c>
      <c r="G34" s="151" t="s">
        <v>158</v>
      </c>
      <c r="H34" s="151" t="s">
        <v>159</v>
      </c>
      <c r="I34" s="151" t="s">
        <v>160</v>
      </c>
      <c r="J34" s="151"/>
      <c r="K34" s="151" t="s">
        <v>161</v>
      </c>
      <c r="L34" s="151" t="s">
        <v>162</v>
      </c>
      <c r="M34" s="151" t="s">
        <v>163</v>
      </c>
      <c r="N34" s="151" t="s">
        <v>164</v>
      </c>
    </row>
    <row r="35" spans="1:14">
      <c r="B35" s="136" t="s">
        <v>165</v>
      </c>
      <c r="C35" s="136"/>
      <c r="D35" s="145">
        <v>1000000</v>
      </c>
      <c r="E35" s="145">
        <v>1000000</v>
      </c>
      <c r="F35" s="145">
        <v>1000000</v>
      </c>
      <c r="G35" s="145">
        <v>1000000</v>
      </c>
      <c r="H35" s="145">
        <v>1000000</v>
      </c>
      <c r="I35" s="145">
        <v>1000000</v>
      </c>
      <c r="J35" s="145"/>
      <c r="K35" s="145">
        <v>1000000</v>
      </c>
      <c r="L35" s="145">
        <v>1000000</v>
      </c>
      <c r="M35" s="145">
        <v>1000000</v>
      </c>
      <c r="N35" s="144">
        <f>SUM(D35:M35)</f>
        <v>9000000</v>
      </c>
    </row>
    <row r="36" spans="1:14">
      <c r="B36" s="136" t="s">
        <v>166</v>
      </c>
      <c r="C36" s="136"/>
      <c r="D36" s="145">
        <v>500000</v>
      </c>
      <c r="E36" s="145">
        <v>500000</v>
      </c>
      <c r="F36" s="145">
        <v>500000</v>
      </c>
      <c r="G36" s="145">
        <v>500000</v>
      </c>
      <c r="H36" s="145">
        <v>500000</v>
      </c>
      <c r="I36" s="145">
        <v>500000</v>
      </c>
      <c r="J36" s="145"/>
      <c r="K36" s="145">
        <v>500000</v>
      </c>
      <c r="L36" s="145">
        <v>500000</v>
      </c>
      <c r="M36" s="145">
        <v>500000</v>
      </c>
      <c r="N36" s="144">
        <f>SUM(D36:M36)</f>
        <v>4500000</v>
      </c>
    </row>
    <row r="37" spans="1:14">
      <c r="A37" t="s">
        <v>201</v>
      </c>
      <c r="B37" s="136" t="s">
        <v>167</v>
      </c>
      <c r="C37" s="136"/>
      <c r="D37" s="136"/>
      <c r="E37" s="136"/>
      <c r="F37" s="144" t="s">
        <v>18</v>
      </c>
      <c r="G37" s="144">
        <v>350000</v>
      </c>
      <c r="H37" s="144">
        <v>350000</v>
      </c>
      <c r="I37" s="144">
        <v>350000</v>
      </c>
      <c r="J37" s="144"/>
      <c r="K37" s="144">
        <v>350000</v>
      </c>
      <c r="L37" s="144">
        <v>350000</v>
      </c>
      <c r="M37" s="144">
        <v>350000</v>
      </c>
      <c r="N37" s="144">
        <f>SUM(D37:M37)</f>
        <v>2100000</v>
      </c>
    </row>
    <row r="38" spans="1:14">
      <c r="B38" s="136"/>
      <c r="C38" s="136"/>
      <c r="D38" s="146">
        <f t="shared" ref="D38:M38" si="7">SUM(D35:D37)</f>
        <v>1500000</v>
      </c>
      <c r="E38" s="146">
        <f t="shared" si="7"/>
        <v>1500000</v>
      </c>
      <c r="F38" s="146">
        <f t="shared" si="7"/>
        <v>1500000</v>
      </c>
      <c r="G38" s="146">
        <f t="shared" si="7"/>
        <v>1850000</v>
      </c>
      <c r="H38" s="146">
        <f t="shared" si="7"/>
        <v>1850000</v>
      </c>
      <c r="I38" s="146">
        <f t="shared" si="7"/>
        <v>1850000</v>
      </c>
      <c r="J38" s="146"/>
      <c r="K38" s="146">
        <f t="shared" si="7"/>
        <v>1850000</v>
      </c>
      <c r="L38" s="146">
        <f t="shared" si="7"/>
        <v>1850000</v>
      </c>
      <c r="M38" s="146">
        <f t="shared" si="7"/>
        <v>1850000</v>
      </c>
      <c r="N38" s="144"/>
    </row>
    <row r="39" spans="1:14">
      <c r="B39" s="147" t="s">
        <v>168</v>
      </c>
      <c r="C39" s="147"/>
      <c r="D39" s="136"/>
      <c r="E39" s="148">
        <f>D38+E38</f>
        <v>3000000</v>
      </c>
      <c r="F39" s="148">
        <f t="shared" ref="F39:M39" si="8">E38+E39</f>
        <v>4500000</v>
      </c>
      <c r="G39" s="148">
        <f t="shared" si="8"/>
        <v>6000000</v>
      </c>
      <c r="H39" s="148">
        <f t="shared" si="8"/>
        <v>7850000</v>
      </c>
      <c r="I39" s="148">
        <f t="shared" si="8"/>
        <v>9700000</v>
      </c>
      <c r="J39" s="148"/>
      <c r="K39" s="148">
        <f>I38+I39</f>
        <v>11550000</v>
      </c>
      <c r="L39" s="148">
        <f t="shared" si="8"/>
        <v>13400000</v>
      </c>
      <c r="M39" s="148">
        <f t="shared" si="8"/>
        <v>15250000</v>
      </c>
      <c r="N39" s="136"/>
    </row>
    <row r="41" spans="1:14">
      <c r="B41" t="s">
        <v>154</v>
      </c>
      <c r="D41" s="161">
        <f>$D$32-D38</f>
        <v>158500000</v>
      </c>
      <c r="E41" s="161">
        <f t="shared" ref="E41:M41" si="9">$D$32-E39</f>
        <v>157000000</v>
      </c>
      <c r="F41" s="161">
        <f t="shared" si="9"/>
        <v>155500000</v>
      </c>
      <c r="G41" s="161">
        <f t="shared" si="9"/>
        <v>154000000</v>
      </c>
      <c r="H41" s="161">
        <f t="shared" si="9"/>
        <v>152150000</v>
      </c>
      <c r="I41" s="161">
        <f t="shared" si="9"/>
        <v>150300000</v>
      </c>
      <c r="J41" s="161"/>
      <c r="K41" s="161">
        <f t="shared" si="9"/>
        <v>148450000</v>
      </c>
      <c r="L41" s="161">
        <f t="shared" si="9"/>
        <v>146600000</v>
      </c>
      <c r="M41" s="161">
        <f t="shared" si="9"/>
        <v>144750000</v>
      </c>
    </row>
    <row r="43" spans="1:14">
      <c r="L43">
        <f>1500000*59</f>
        <v>88500000</v>
      </c>
    </row>
    <row r="44" spans="1:14">
      <c r="L44" s="142">
        <f>L43*3%</f>
        <v>2655000</v>
      </c>
    </row>
    <row r="45" spans="1:14" ht="18.600000000000001" thickBot="1">
      <c r="D45" s="90">
        <v>160000000</v>
      </c>
      <c r="L45">
        <v>2800000</v>
      </c>
    </row>
    <row r="46" spans="1:14">
      <c r="D46" s="142">
        <v>119521495</v>
      </c>
      <c r="L46" s="162">
        <f>SUM(L44:L45)</f>
        <v>5455000</v>
      </c>
    </row>
    <row r="47" spans="1:14">
      <c r="D47" s="207">
        <f>D45-D46</f>
        <v>40478505</v>
      </c>
    </row>
    <row r="49" spans="4:4">
      <c r="D49" s="162">
        <f>D47-L44-L46</f>
        <v>32368505</v>
      </c>
    </row>
  </sheetData>
  <mergeCells count="6">
    <mergeCell ref="K1:N2"/>
    <mergeCell ref="F3:F4"/>
    <mergeCell ref="G3:G4"/>
    <mergeCell ref="I3:I4"/>
    <mergeCell ref="H3:H4"/>
    <mergeCell ref="J3:J4"/>
  </mergeCells>
  <conditionalFormatting sqref="K6:K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K9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K12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K14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K18">
    <cfRule type="iconSet" priority="2">
      <iconSet iconSet="3Arrows">
        <cfvo type="percent" val="0"/>
        <cfvo type="percent" val="45"/>
        <cfvo type="percent" val="80"/>
      </iconSet>
    </cfRule>
  </conditionalFormatting>
  <conditionalFormatting sqref="K20">
    <cfRule type="iconSet" priority="1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ignoredErrors>
    <ignoredError sqref="D10:G10 D22:G22 D18:E18 D5:E5 F5:G5 D6:E6 D7:G7 D8:G8 D9:G9 D16:G16 D11:G11 D12:G12 D13:G13 D14:G14 D15:G15 D17:G17 D19:G19 D20:G20 D21:G21 F6:G6 I5:I22" formulaRange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95CB6-4C50-4E01-A6F6-66051FEF27BC}">
  <dimension ref="B2:G4"/>
  <sheetViews>
    <sheetView showGridLines="0" workbookViewId="0">
      <selection activeCell="F15" sqref="F15"/>
    </sheetView>
  </sheetViews>
  <sheetFormatPr baseColWidth="10" defaultColWidth="11.44140625" defaultRowHeight="14.4"/>
  <cols>
    <col min="2" max="2" width="8.44140625" bestFit="1" customWidth="1"/>
    <col min="3" max="3" width="31.44140625" bestFit="1" customWidth="1"/>
    <col min="4" max="4" width="25.88671875" bestFit="1" customWidth="1"/>
    <col min="5" max="5" width="16.33203125" bestFit="1" customWidth="1"/>
    <col min="6" max="6" width="8.88671875" bestFit="1" customWidth="1"/>
    <col min="7" max="7" width="18.5546875" bestFit="1" customWidth="1"/>
  </cols>
  <sheetData>
    <row r="2" spans="2:7" ht="18">
      <c r="B2" s="194" t="s">
        <v>202</v>
      </c>
      <c r="C2" s="195" t="s">
        <v>203</v>
      </c>
      <c r="D2" s="195" t="s">
        <v>204</v>
      </c>
      <c r="E2" s="195" t="s">
        <v>205</v>
      </c>
      <c r="F2" s="195" t="s">
        <v>202</v>
      </c>
      <c r="G2" s="195" t="s">
        <v>206</v>
      </c>
    </row>
    <row r="3" spans="2:7">
      <c r="B3" s="201">
        <v>45414</v>
      </c>
      <c r="C3" s="196" t="s">
        <v>207</v>
      </c>
      <c r="D3" s="196" t="s">
        <v>208</v>
      </c>
      <c r="E3" s="198" t="s">
        <v>209</v>
      </c>
      <c r="F3" s="199">
        <v>45415</v>
      </c>
      <c r="G3" s="196"/>
    </row>
    <row r="4" spans="2:7">
      <c r="B4" s="202">
        <v>45414</v>
      </c>
      <c r="C4" s="197" t="s">
        <v>210</v>
      </c>
      <c r="D4" s="197" t="s">
        <v>208</v>
      </c>
      <c r="E4" s="200" t="s">
        <v>209</v>
      </c>
      <c r="F4" s="200"/>
      <c r="G4" s="197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043B8-0169-44AE-B192-92D9B23FA64D}">
  <dimension ref="B1:O21"/>
  <sheetViews>
    <sheetView showGridLines="0" topLeftCell="B1" zoomScaleNormal="100" workbookViewId="0">
      <selection activeCell="F15" sqref="F15"/>
    </sheetView>
  </sheetViews>
  <sheetFormatPr baseColWidth="10" defaultColWidth="11.44140625" defaultRowHeight="14.4"/>
  <cols>
    <col min="1" max="1" width="10.109375" customWidth="1"/>
    <col min="2" max="2" width="29.6640625" bestFit="1" customWidth="1"/>
    <col min="3" max="3" width="5.6640625" hidden="1" customWidth="1"/>
    <col min="4" max="4" width="19.109375" hidden="1" customWidth="1"/>
    <col min="5" max="6" width="18.33203125" bestFit="1" customWidth="1"/>
    <col min="7" max="7" width="13.5546875" bestFit="1" customWidth="1"/>
    <col min="8" max="8" width="19.109375" hidden="1" customWidth="1"/>
    <col min="9" max="10" width="18.33203125" bestFit="1" customWidth="1"/>
    <col min="11" max="11" width="5.109375" bestFit="1" customWidth="1"/>
    <col min="12" max="12" width="17.6640625" hidden="1" customWidth="1"/>
    <col min="13" max="13" width="17" bestFit="1" customWidth="1"/>
    <col min="14" max="14" width="18.33203125" bestFit="1" customWidth="1"/>
    <col min="15" max="15" width="5.109375" bestFit="1" customWidth="1"/>
    <col min="16" max="16" width="15.44140625" bestFit="1" customWidth="1"/>
    <col min="17" max="17" width="14.44140625" bestFit="1" customWidth="1"/>
  </cols>
  <sheetData>
    <row r="1" spans="2:15" ht="14.4" customHeight="1">
      <c r="D1" s="2110" t="s">
        <v>188</v>
      </c>
      <c r="E1" s="2111"/>
      <c r="F1" s="2111"/>
      <c r="G1" s="2112"/>
      <c r="H1" s="2110" t="s">
        <v>145</v>
      </c>
      <c r="I1" s="2111"/>
      <c r="J1" s="2111"/>
      <c r="K1" s="2112"/>
      <c r="L1" s="2116" t="s">
        <v>147</v>
      </c>
      <c r="M1" s="2117"/>
      <c r="N1" s="2117"/>
      <c r="O1" s="2118"/>
    </row>
    <row r="2" spans="2:15" ht="15" customHeight="1">
      <c r="D2" s="2113"/>
      <c r="E2" s="2114"/>
      <c r="F2" s="2114"/>
      <c r="G2" s="2115"/>
      <c r="H2" s="2113"/>
      <c r="I2" s="2114"/>
      <c r="J2" s="2114"/>
      <c r="K2" s="2115"/>
      <c r="L2" s="2119"/>
      <c r="M2" s="2120"/>
      <c r="N2" s="2120"/>
      <c r="O2" s="2121"/>
    </row>
    <row r="3" spans="2:15" ht="31.2">
      <c r="B3" s="25"/>
      <c r="C3" s="213"/>
      <c r="D3" s="221">
        <v>45352</v>
      </c>
      <c r="E3" s="215">
        <v>45383</v>
      </c>
      <c r="F3" s="215">
        <v>45413</v>
      </c>
      <c r="G3" s="211" t="s">
        <v>211</v>
      </c>
      <c r="H3" s="214">
        <v>45352</v>
      </c>
      <c r="I3" s="215">
        <v>45383</v>
      </c>
      <c r="J3" s="215">
        <v>45413</v>
      </c>
      <c r="K3" s="211" t="s">
        <v>211</v>
      </c>
      <c r="L3" s="214">
        <v>45352</v>
      </c>
      <c r="M3" s="215">
        <v>45383</v>
      </c>
      <c r="N3" s="215">
        <v>45413</v>
      </c>
      <c r="O3" s="211" t="s">
        <v>211</v>
      </c>
    </row>
    <row r="4" spans="2:15">
      <c r="B4" s="234" t="s">
        <v>33</v>
      </c>
      <c r="C4" s="212"/>
      <c r="D4" s="222">
        <f>'PRESENTACIÓN MARZO 24'!I5</f>
        <v>96213168.739999995</v>
      </c>
      <c r="E4" s="229">
        <f>'PRESENTACIÓN ABRIL 24 v1'!F5</f>
        <v>96272168.739999995</v>
      </c>
      <c r="F4" s="229" t="e">
        <f>'PRESENTACIÓN Al 29 de mayo'!#REF!</f>
        <v>#REF!</v>
      </c>
      <c r="G4" s="275" t="e">
        <f>(F4/E4)-1</f>
        <v>#REF!</v>
      </c>
      <c r="H4" s="222">
        <f>'PRESENTACIÓN MARZO 24'!J5</f>
        <v>96213168.739999995</v>
      </c>
      <c r="I4" s="229">
        <f>'PRESENTACIÓN ABRIL 24 v1'!G5</f>
        <v>96272168.739999995</v>
      </c>
      <c r="J4" s="229">
        <f>'PRESENTACIÓN Al 29 de mayo'!E5</f>
        <v>94032039.840000004</v>
      </c>
      <c r="K4" s="216"/>
      <c r="L4" s="222">
        <f>'PRESENTACIÓN MARZO 24'!L5</f>
        <v>0</v>
      </c>
      <c r="M4" s="229">
        <f>'PRESENTACIÓN ABRIL 24 v1'!H5</f>
        <v>0</v>
      </c>
      <c r="N4" s="229">
        <f>'PRESENTACIÓN Al 29 de mayo'!G5</f>
        <v>59000</v>
      </c>
      <c r="O4" s="216"/>
    </row>
    <row r="5" spans="2:15">
      <c r="B5" s="235" t="s">
        <v>35</v>
      </c>
      <c r="C5" s="236"/>
      <c r="D5" s="237">
        <f>'PRESENTACIÓN MARZO 24'!I6</f>
        <v>9038515</v>
      </c>
      <c r="E5" s="238">
        <f>'PRESENTACIÓN ABRIL 24 v1'!F6</f>
        <v>2559924.84</v>
      </c>
      <c r="F5" s="238" t="e">
        <f>'PRESENTACIÓN Al 29 de mayo'!#REF!</f>
        <v>#REF!</v>
      </c>
      <c r="G5" s="283" t="e">
        <f>(F5-E5)</f>
        <v>#REF!</v>
      </c>
      <c r="H5" s="237">
        <f>'PRESENTACIÓN MARZO 24'!J6</f>
        <v>9038515</v>
      </c>
      <c r="I5" s="238">
        <f>'PRESENTACIÓN ABRIL 24 v1'!G6</f>
        <v>9038515.3900000006</v>
      </c>
      <c r="J5" s="238">
        <f>'PRESENTACIÓN Al 29 de mayo'!E6</f>
        <v>9038515.3900000006</v>
      </c>
      <c r="K5" s="239"/>
      <c r="L5" s="237">
        <f>'PRESENTACIÓN MARZO 24'!L6</f>
        <v>0</v>
      </c>
      <c r="M5" s="238">
        <f>'PRESENTACIÓN ABRIL 24 v1'!H6</f>
        <v>6478590.5500000007</v>
      </c>
      <c r="N5" s="238">
        <f>'PRESENTACIÓN Al 29 de mayo'!G6</f>
        <v>0</v>
      </c>
      <c r="O5" s="239"/>
    </row>
    <row r="6" spans="2:15">
      <c r="B6" s="112" t="s">
        <v>38</v>
      </c>
      <c r="C6" s="121"/>
      <c r="D6" s="224">
        <f>'PRESENTACIÓN MARZO 24'!I7</f>
        <v>0</v>
      </c>
      <c r="E6" s="230">
        <f>'PRESENTACIÓN ABRIL 24 v1'!F7</f>
        <v>0</v>
      </c>
      <c r="F6" s="230" t="e">
        <f>'PRESENTACIÓN Al 29 de mayo'!#REF!</f>
        <v>#REF!</v>
      </c>
      <c r="G6" s="276"/>
      <c r="H6" s="224">
        <f>'PRESENTACIÓN MARZO 24'!J7</f>
        <v>0</v>
      </c>
      <c r="I6" s="230">
        <f>'PRESENTACIÓN ABRIL 24 v1'!G7</f>
        <v>0</v>
      </c>
      <c r="J6" s="230">
        <f>'PRESENTACIÓN Al 29 de mayo'!E7</f>
        <v>0</v>
      </c>
      <c r="K6" s="217"/>
      <c r="L6" s="224">
        <f>'PRESENTACIÓN MARZO 24'!L7</f>
        <v>0</v>
      </c>
      <c r="M6" s="230">
        <f>'PRESENTACIÓN ABRIL 24 v1'!H7</f>
        <v>0</v>
      </c>
      <c r="N6" s="230">
        <f>'PRESENTACIÓN Al 29 de mayo'!G7</f>
        <v>0</v>
      </c>
      <c r="O6" s="217"/>
    </row>
    <row r="7" spans="2:15">
      <c r="B7" s="115" t="s">
        <v>148</v>
      </c>
      <c r="C7" s="120"/>
      <c r="D7" s="225">
        <f>'PRESENTACIÓN MARZO 24'!I8</f>
        <v>0</v>
      </c>
      <c r="E7" s="231">
        <f>'PRESENTACIÓN ABRIL 24 v1'!F8</f>
        <v>0</v>
      </c>
      <c r="F7" s="231" t="e">
        <f>'PRESENTACIÓN Al 29 de mayo'!#REF!</f>
        <v>#REF!</v>
      </c>
      <c r="G7" s="277"/>
      <c r="H7" s="225">
        <f>'PRESENTACIÓN MARZO 24'!J8</f>
        <v>0</v>
      </c>
      <c r="I7" s="231">
        <f>'PRESENTACIÓN ABRIL 24 v1'!G8</f>
        <v>0</v>
      </c>
      <c r="J7" s="231">
        <f>'PRESENTACIÓN Al 29 de mayo'!E8</f>
        <v>171771292</v>
      </c>
      <c r="K7" s="218"/>
      <c r="L7" s="225">
        <f>'PRESENTACIÓN MARZO 24'!L8</f>
        <v>0</v>
      </c>
      <c r="M7" s="231">
        <f>'PRESENTACIÓN ABRIL 24 v1'!H8</f>
        <v>0</v>
      </c>
      <c r="N7" s="231">
        <f>'PRESENTACIÓN Al 29 de mayo'!G8</f>
        <v>171771292</v>
      </c>
      <c r="O7" s="218"/>
    </row>
    <row r="8" spans="2:15">
      <c r="B8" s="112" t="s">
        <v>40</v>
      </c>
      <c r="C8" s="121"/>
      <c r="D8" s="224">
        <f>'PRESENTACIÓN MARZO 24'!I9</f>
        <v>0</v>
      </c>
      <c r="E8" s="230">
        <f>'PRESENTACIÓN ABRIL 24 v1'!F9</f>
        <v>0</v>
      </c>
      <c r="F8" s="230" t="e">
        <f>'PRESENTACIÓN Al 29 de mayo'!#REF!</f>
        <v>#REF!</v>
      </c>
      <c r="G8" s="276"/>
      <c r="H8" s="224">
        <f>'PRESENTACIÓN MARZO 24'!J9</f>
        <v>0</v>
      </c>
      <c r="I8" s="230">
        <f>'PRESENTACIÓN ABRIL 24 v1'!G9</f>
        <v>0</v>
      </c>
      <c r="J8" s="230">
        <f>'PRESENTACIÓN Al 29 de mayo'!E9</f>
        <v>0</v>
      </c>
      <c r="K8" s="217"/>
      <c r="L8" s="224">
        <f>'PRESENTACIÓN MARZO 24'!L9</f>
        <v>0</v>
      </c>
      <c r="M8" s="230">
        <f>'PRESENTACIÓN ABRIL 24 v1'!H9</f>
        <v>0</v>
      </c>
      <c r="N8" s="230">
        <f>'PRESENTACIÓN Al 29 de mayo'!G9</f>
        <v>0</v>
      </c>
      <c r="O8" s="217"/>
    </row>
    <row r="9" spans="2:15">
      <c r="B9" s="66" t="s">
        <v>41</v>
      </c>
      <c r="C9" s="23"/>
      <c r="D9" s="240">
        <f>'PRESENTACIÓN MARZO 24'!I10</f>
        <v>9038515</v>
      </c>
      <c r="E9" s="241">
        <f>'PRESENTACIÓN ABRIL 24 v1'!F10</f>
        <v>2559924.84</v>
      </c>
      <c r="F9" s="241" t="e">
        <f>'PRESENTACIÓN Al 29 de mayo'!#REF!</f>
        <v>#REF!</v>
      </c>
      <c r="G9" s="278"/>
      <c r="H9" s="240">
        <f>'PRESENTACIÓN MARZO 24'!J10</f>
        <v>9038515</v>
      </c>
      <c r="I9" s="241">
        <f>'PRESENTACIÓN ABRIL 24 v1'!G10</f>
        <v>9038515.3900000006</v>
      </c>
      <c r="J9" s="241">
        <f>'PRESENTACIÓN Al 29 de mayo'!E10</f>
        <v>180809807.38999999</v>
      </c>
      <c r="K9" s="242"/>
      <c r="L9" s="240">
        <f>'PRESENTACIÓN MARZO 24'!L10</f>
        <v>0</v>
      </c>
      <c r="M9" s="241">
        <f>'PRESENTACIÓN ABRIL 24 v1'!H10</f>
        <v>6478590.5500000007</v>
      </c>
      <c r="N9" s="241">
        <f>'PRESENTACIÓN Al 29 de mayo'!G10</f>
        <v>171771292</v>
      </c>
      <c r="O9" s="242"/>
    </row>
    <row r="10" spans="2:15">
      <c r="B10" s="243" t="s">
        <v>42</v>
      </c>
      <c r="C10" s="244"/>
      <c r="D10" s="245">
        <f>'PRESENTACIÓN MARZO 24'!I11</f>
        <v>0</v>
      </c>
      <c r="E10" s="246">
        <f>'PRESENTACIÓN ABRIL 24 v1'!F11</f>
        <v>0</v>
      </c>
      <c r="F10" s="246" t="e">
        <f>'PRESENTACIÓN Al 29 de mayo'!#REF!</f>
        <v>#REF!</v>
      </c>
      <c r="G10" s="279"/>
      <c r="H10" s="245">
        <f>'PRESENTACIÓN MARZO 24'!J11</f>
        <v>0</v>
      </c>
      <c r="I10" s="246">
        <f>'PRESENTACIÓN ABRIL 24 v1'!G11</f>
        <v>137416238</v>
      </c>
      <c r="J10" s="246">
        <f>'PRESENTACIÓN Al 29 de mayo'!E11</f>
        <v>137416238</v>
      </c>
      <c r="K10" s="247"/>
      <c r="L10" s="248">
        <f>'PRESENTACIÓN MARZO 24'!L11</f>
        <v>0</v>
      </c>
      <c r="M10" s="246">
        <f>'PRESENTACIÓN ABRIL 24 v1'!H11</f>
        <v>137416238</v>
      </c>
      <c r="N10" s="246">
        <f>'PRESENTACIÓN Al 29 de mayo'!G11</f>
        <v>137416238</v>
      </c>
      <c r="O10" s="247"/>
    </row>
    <row r="11" spans="2:15">
      <c r="B11" s="115" t="s">
        <v>43</v>
      </c>
      <c r="C11" s="120"/>
      <c r="D11" s="227">
        <f>'PRESENTACIÓN MARZO 24'!I12</f>
        <v>0</v>
      </c>
      <c r="E11" s="233">
        <f>'PRESENTACIÓN ABRIL 24 v1'!F12</f>
        <v>0</v>
      </c>
      <c r="F11" s="233" t="e">
        <f>'PRESENTACIÓN Al 29 de mayo'!#REF!</f>
        <v>#REF!</v>
      </c>
      <c r="G11" s="280"/>
      <c r="H11" s="227">
        <f>'PRESENTACIÓN MARZO 24'!J12</f>
        <v>0</v>
      </c>
      <c r="I11" s="233">
        <f>'PRESENTACIÓN ABRIL 24 v1'!G12</f>
        <v>0</v>
      </c>
      <c r="J11" s="233">
        <f>'PRESENTACIÓN Al 29 de mayo'!E12</f>
        <v>35151584.25</v>
      </c>
      <c r="K11" s="220"/>
      <c r="L11" s="223">
        <f>'PRESENTACIÓN MARZO 24'!L12</f>
        <v>0</v>
      </c>
      <c r="M11" s="233">
        <f>'PRESENTACIÓN ABRIL 24 v1'!H12</f>
        <v>0</v>
      </c>
      <c r="N11" s="233">
        <f>'PRESENTACIÓN Al 29 de mayo'!G12</f>
        <v>35151584.25</v>
      </c>
      <c r="O11" s="220"/>
    </row>
    <row r="12" spans="2:15">
      <c r="B12" s="112" t="s">
        <v>44</v>
      </c>
      <c r="C12" s="121"/>
      <c r="D12" s="226">
        <f>'PRESENTACIÓN MARZO 24'!I13</f>
        <v>0</v>
      </c>
      <c r="E12" s="232">
        <f>'PRESENTACIÓN ABRIL 24 v1'!F13</f>
        <v>0</v>
      </c>
      <c r="F12" s="232" t="e">
        <f>'PRESENTACIÓN Al 29 de mayo'!#REF!</f>
        <v>#REF!</v>
      </c>
      <c r="G12" s="281"/>
      <c r="H12" s="226">
        <f>'PRESENTACIÓN MARZO 24'!J13</f>
        <v>0</v>
      </c>
      <c r="I12" s="232">
        <f>'PRESENTACIÓN ABRIL 24 v1'!G13</f>
        <v>0</v>
      </c>
      <c r="J12" s="232">
        <f>'PRESENTACIÓN Al 29 de mayo'!E13</f>
        <v>0</v>
      </c>
      <c r="K12" s="219"/>
      <c r="L12" s="224">
        <f>'PRESENTACIÓN MARZO 24'!L13</f>
        <v>0</v>
      </c>
      <c r="M12" s="232">
        <f>'PRESENTACIÓN ABRIL 24 v1'!H13</f>
        <v>0</v>
      </c>
      <c r="N12" s="232">
        <f>'PRESENTACIÓN Al 29 de mayo'!G13</f>
        <v>0</v>
      </c>
      <c r="O12" s="219"/>
    </row>
    <row r="13" spans="2:15">
      <c r="B13" s="115" t="s">
        <v>45</v>
      </c>
      <c r="C13" s="120"/>
      <c r="D13" s="227">
        <f>'PRESENTACIÓN MARZO 24'!I14</f>
        <v>446334.38</v>
      </c>
      <c r="E13" s="233">
        <f>'PRESENTACIÓN ABRIL 24 v1'!F14</f>
        <v>0</v>
      </c>
      <c r="F13" s="233" t="e">
        <f>'PRESENTACIÓN Al 29 de mayo'!#REF!</f>
        <v>#REF!</v>
      </c>
      <c r="G13" s="280"/>
      <c r="H13" s="227">
        <f>'PRESENTACIÓN MARZO 24'!J14</f>
        <v>3786501.88</v>
      </c>
      <c r="I13" s="233">
        <f>'PRESENTACIÓN ABRIL 24 v1'!G14</f>
        <v>3786501.88</v>
      </c>
      <c r="J13" s="233">
        <f>'PRESENTACIÓN Al 29 de mayo'!E14</f>
        <v>3839208.55</v>
      </c>
      <c r="K13" s="220"/>
      <c r="L13" s="223">
        <f>'PRESENTACIÓN MARZO 24'!L14</f>
        <v>3340167.5</v>
      </c>
      <c r="M13" s="233">
        <f>'PRESENTACIÓN ABRIL 24 v1'!H14</f>
        <v>3786501.88</v>
      </c>
      <c r="N13" s="233">
        <f>'PRESENTACIÓN Al 29 de mayo'!G14</f>
        <v>2390947.54</v>
      </c>
      <c r="O13" s="220"/>
    </row>
    <row r="14" spans="2:15">
      <c r="B14" s="112" t="s">
        <v>46</v>
      </c>
      <c r="C14" s="121"/>
      <c r="D14" s="226">
        <f>'PRESENTACIÓN MARZO 24'!I15</f>
        <v>0</v>
      </c>
      <c r="E14" s="232">
        <f>'PRESENTACIÓN ABRIL 24 v1'!F15</f>
        <v>0</v>
      </c>
      <c r="F14" s="232" t="e">
        <f>'PRESENTACIÓN Al 29 de mayo'!#REF!</f>
        <v>#REF!</v>
      </c>
      <c r="G14" s="281"/>
      <c r="H14" s="226">
        <f>'PRESENTACIÓN MARZO 24'!J15</f>
        <v>0</v>
      </c>
      <c r="I14" s="232">
        <f>'PRESENTACIÓN ABRIL 24 v1'!G15</f>
        <v>0</v>
      </c>
      <c r="J14" s="232">
        <f>'PRESENTACIÓN Al 29 de mayo'!E15</f>
        <v>0</v>
      </c>
      <c r="K14" s="219"/>
      <c r="L14" s="224">
        <f>'PRESENTACIÓN MARZO 24'!L15</f>
        <v>0</v>
      </c>
      <c r="M14" s="232">
        <f>'PRESENTACIÓN ABRIL 24 v1'!H15</f>
        <v>0</v>
      </c>
      <c r="N14" s="232">
        <f>'PRESENTACIÓN Al 29 de mayo'!G15</f>
        <v>0</v>
      </c>
      <c r="O14" s="219"/>
    </row>
    <row r="15" spans="2:15">
      <c r="B15" s="66" t="s">
        <v>47</v>
      </c>
      <c r="C15" s="23"/>
      <c r="D15" s="240">
        <f>'PRESENTACIÓN MARZO 24'!I16</f>
        <v>446334.38</v>
      </c>
      <c r="E15" s="241">
        <f>'PRESENTACIÓN ABRIL 24 v1'!F16</f>
        <v>0</v>
      </c>
      <c r="F15" s="241" t="e">
        <f>'PRESENTACIÓN Al 29 de mayo'!#REF!</f>
        <v>#REF!</v>
      </c>
      <c r="G15" s="278"/>
      <c r="H15" s="240">
        <f>'PRESENTACIÓN MARZO 24'!J16</f>
        <v>3786501.88</v>
      </c>
      <c r="I15" s="241">
        <f>'PRESENTACIÓN ABRIL 24 v1'!G16</f>
        <v>141202739.88</v>
      </c>
      <c r="J15" s="241">
        <f>'PRESENTACIÓN Al 29 de mayo'!E16</f>
        <v>176407030.80000001</v>
      </c>
      <c r="K15" s="242"/>
      <c r="L15" s="240">
        <f>'PRESENTACIÓN MARZO 24'!L16</f>
        <v>3340167.5</v>
      </c>
      <c r="M15" s="241">
        <f>'PRESENTACIÓN ABRIL 24 v1'!H16</f>
        <v>141202739.88</v>
      </c>
      <c r="N15" s="241">
        <f>'PRESENTACIÓN Al 29 de mayo'!G16</f>
        <v>174958769.79000002</v>
      </c>
      <c r="O15" s="242"/>
    </row>
    <row r="16" spans="2:15">
      <c r="B16" s="112" t="s">
        <v>48</v>
      </c>
      <c r="C16" s="121"/>
      <c r="D16" s="226">
        <f>'PRESENTACIÓN MARZO 24'!I17</f>
        <v>1576990</v>
      </c>
      <c r="E16" s="232">
        <f>'PRESENTACIÓN ABRIL 24 v1'!F17</f>
        <v>3634527.52</v>
      </c>
      <c r="F16" s="232" t="e">
        <f>'PRESENTACIÓN Al 29 de mayo'!#REF!</f>
        <v>#REF!</v>
      </c>
      <c r="G16" s="281"/>
      <c r="H16" s="226">
        <f>'PRESENTACIÓN MARZO 24'!J17</f>
        <v>13841814.75</v>
      </c>
      <c r="I16" s="232">
        <f>'PRESENTACIÓN ABRIL 24 v1'!G17</f>
        <v>3634527.52</v>
      </c>
      <c r="J16" s="232">
        <f>'PRESENTACIÓN Al 29 de mayo'!E17</f>
        <v>18740000</v>
      </c>
      <c r="K16" s="219"/>
      <c r="L16" s="224">
        <f>'PRESENTACIÓN MARZO 24'!L17</f>
        <v>12264824.75</v>
      </c>
      <c r="M16" s="232">
        <f>'PRESENTACIÓN ABRIL 24 v1'!H17</f>
        <v>0</v>
      </c>
      <c r="N16" s="232">
        <f>'PRESENTACIÓN Al 29 de mayo'!G17</f>
        <v>13528481.73</v>
      </c>
      <c r="O16" s="219"/>
    </row>
    <row r="17" spans="2:15">
      <c r="B17" s="115" t="s">
        <v>49</v>
      </c>
      <c r="C17" s="120"/>
      <c r="D17" s="227">
        <f>'PRESENTACIÓN MARZO 24'!I18</f>
        <v>12246486.57</v>
      </c>
      <c r="E17" s="233">
        <f>'PRESENTACIÓN ABRIL 24 v1'!F18</f>
        <v>0</v>
      </c>
      <c r="F17" s="233" t="e">
        <f>'PRESENTACIÓN Al 29 de mayo'!#REF!</f>
        <v>#REF!</v>
      </c>
      <c r="G17" s="280"/>
      <c r="H17" s="227">
        <f>'PRESENTACIÓN MARZO 24'!J18</f>
        <v>20546016.379999999</v>
      </c>
      <c r="I17" s="233">
        <f>'PRESENTACIÓN ABRIL 24 v1'!G18</f>
        <v>20727336.359999999</v>
      </c>
      <c r="J17" s="233">
        <f>'PRESENTACIÓN Al 29 de mayo'!E18</f>
        <v>20727336.359999999</v>
      </c>
      <c r="K17" s="220"/>
      <c r="L17" s="223">
        <f>'PRESENTACIÓN MARZO 24'!L18</f>
        <v>8299529.8099999987</v>
      </c>
      <c r="M17" s="233">
        <f>'PRESENTACIÓN ABRIL 24 v1'!H18</f>
        <v>20727336.359999999</v>
      </c>
      <c r="N17" s="233">
        <f>'PRESENTACIÓN Al 29 de mayo'!G18</f>
        <v>8480849.7899999991</v>
      </c>
      <c r="O17" s="220"/>
    </row>
    <row r="18" spans="2:15">
      <c r="B18" s="112" t="s">
        <v>50</v>
      </c>
      <c r="C18" s="121"/>
      <c r="D18" s="226">
        <f>'PRESENTACIÓN MARZO 24'!I19</f>
        <v>0</v>
      </c>
      <c r="E18" s="232">
        <f>'PRESENTACIÓN ABRIL 24 v1'!F19</f>
        <v>0</v>
      </c>
      <c r="F18" s="232" t="e">
        <f>'PRESENTACIÓN Al 29 de mayo'!#REF!</f>
        <v>#REF!</v>
      </c>
      <c r="G18" s="281"/>
      <c r="H18" s="226">
        <f>'PRESENTACIÓN MARZO 24'!J19</f>
        <v>0</v>
      </c>
      <c r="I18" s="232">
        <f>'PRESENTACIÓN ABRIL 24 v1'!G19</f>
        <v>0</v>
      </c>
      <c r="J18" s="232">
        <f>'PRESENTACIÓN Al 29 de mayo'!E19</f>
        <v>0</v>
      </c>
      <c r="K18" s="219"/>
      <c r="L18" s="224">
        <f>'PRESENTACIÓN MARZO 24'!L19</f>
        <v>0</v>
      </c>
      <c r="M18" s="232">
        <f>'PRESENTACIÓN ABRIL 24 v1'!H19</f>
        <v>0</v>
      </c>
      <c r="N18" s="232">
        <f>'PRESENTACIÓN Al 29 de mayo'!G19</f>
        <v>0</v>
      </c>
      <c r="O18" s="219"/>
    </row>
    <row r="19" spans="2:15">
      <c r="B19" s="115" t="s">
        <v>51</v>
      </c>
      <c r="C19" s="120"/>
      <c r="D19" s="227">
        <f>'PRESENTACIÓN MARZO 24'!I20</f>
        <v>0</v>
      </c>
      <c r="E19" s="233">
        <f>'PRESENTACIÓN ABRIL 24 v1'!F20</f>
        <v>1009477.9</v>
      </c>
      <c r="F19" s="233" t="e">
        <f>'PRESENTACIÓN Al 29 de mayo'!#REF!</f>
        <v>#REF!</v>
      </c>
      <c r="G19" s="280"/>
      <c r="H19" s="227">
        <f>'PRESENTACIÓN MARZO 24'!J20</f>
        <v>0</v>
      </c>
      <c r="I19" s="233">
        <f>'PRESENTACIÓN ABRIL 24 v1'!G20</f>
        <v>3396950.7</v>
      </c>
      <c r="J19" s="233">
        <f>'PRESENTACIÓN Al 29 de mayo'!E20</f>
        <v>0</v>
      </c>
      <c r="K19" s="220"/>
      <c r="L19" s="223">
        <f>'PRESENTACIÓN MARZO 24'!L20</f>
        <v>0</v>
      </c>
      <c r="M19" s="233">
        <f>'PRESENTACIÓN ABRIL 24 v1'!H20</f>
        <v>2387472.8000000003</v>
      </c>
      <c r="N19" s="233">
        <f>'PRESENTACIÓN Al 29 de mayo'!G20</f>
        <v>0</v>
      </c>
      <c r="O19" s="220"/>
    </row>
    <row r="20" spans="2:15">
      <c r="B20" s="66" t="s">
        <v>52</v>
      </c>
      <c r="C20" s="23"/>
      <c r="D20" s="222">
        <f>'PRESENTACIÓN MARZO 24'!I21</f>
        <v>13823476.57</v>
      </c>
      <c r="E20" s="229">
        <f>'PRESENTACIÓN ABRIL 24 v1'!F21</f>
        <v>4644005.42</v>
      </c>
      <c r="F20" s="229" t="e">
        <f>'PRESENTACIÓN Al 29 de mayo'!#REF!</f>
        <v>#REF!</v>
      </c>
      <c r="G20" s="275"/>
      <c r="H20" s="222">
        <f>'PRESENTACIÓN MARZO 24'!J21</f>
        <v>34387831.129999995</v>
      </c>
      <c r="I20" s="229">
        <f>'PRESENTACIÓN ABRIL 24 v1'!G21</f>
        <v>27758814.579999998</v>
      </c>
      <c r="J20" s="229">
        <f>'PRESENTACIÓN Al 29 de mayo'!E21</f>
        <v>39467336.359999999</v>
      </c>
      <c r="K20" s="216"/>
      <c r="L20" s="222">
        <f>'PRESENTACIÓN MARZO 24'!L21</f>
        <v>20564354.559999995</v>
      </c>
      <c r="M20" s="229">
        <f>'PRESENTACIÓN ABRIL 24 v1'!H21</f>
        <v>23114809.159999996</v>
      </c>
      <c r="N20" s="229">
        <f>'PRESENTACIÓN Al 29 de mayo'!G21</f>
        <v>22009331.52</v>
      </c>
      <c r="O20" s="216"/>
    </row>
    <row r="21" spans="2:15" ht="18.600000000000001" thickBot="1">
      <c r="B21" s="153" t="s">
        <v>53</v>
      </c>
      <c r="C21" s="154"/>
      <c r="D21" s="228">
        <f>D20+D15+D9+D4</f>
        <v>119521494.69</v>
      </c>
      <c r="E21" s="157">
        <f>'PRESENTACIÓN ABRIL 24 v1'!F22</f>
        <v>103476099</v>
      </c>
      <c r="F21" s="157" t="e">
        <f>'PRESENTACIÓN Al 29 de mayo'!#REF!</f>
        <v>#REF!</v>
      </c>
      <c r="G21" s="282"/>
      <c r="H21" s="101">
        <f>H20+H15+H9+H4</f>
        <v>143426016.75</v>
      </c>
      <c r="I21" s="157">
        <f>'PRESENTACIÓN ABRIL 24 v1'!G22</f>
        <v>274272238.58999997</v>
      </c>
      <c r="J21" s="157">
        <f>'PRESENTACIÓN Al 29 de mayo'!E22</f>
        <v>490716214.38999999</v>
      </c>
      <c r="K21" s="122"/>
      <c r="L21" s="101">
        <f>H21-D21</f>
        <v>23904522.060000002</v>
      </c>
      <c r="M21" s="157">
        <v>23114809.159999996</v>
      </c>
      <c r="N21" s="157">
        <f>'PRESENTACIÓN Al 29 de mayo'!G22</f>
        <v>368798393.30999994</v>
      </c>
      <c r="O21" s="122"/>
    </row>
  </sheetData>
  <mergeCells count="3">
    <mergeCell ref="D1:G2"/>
    <mergeCell ref="H1:K2"/>
    <mergeCell ref="L1:O2"/>
  </mergeCells>
  <pageMargins left="0.7" right="0.7" top="0.75" bottom="0.75" header="0.3" footer="0.3"/>
  <pageSetup orientation="portrait" r:id="rId1"/>
  <ignoredErrors>
    <ignoredError sqref="D2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5083B-CE8B-4C9D-9DD1-DE1BADE4BAE0}">
  <sheetPr>
    <tabColor rgb="FFFF0000"/>
  </sheetPr>
  <dimension ref="A1:K55"/>
  <sheetViews>
    <sheetView topLeftCell="C1" zoomScaleNormal="100" workbookViewId="0">
      <pane ySplit="1" topLeftCell="A27" activePane="bottomLeft" state="frozen"/>
      <selection activeCell="I55" sqref="I55"/>
      <selection pane="bottomLeft" activeCell="I55" sqref="I55"/>
    </sheetView>
  </sheetViews>
  <sheetFormatPr baseColWidth="10" defaultColWidth="11.44140625" defaultRowHeight="14.4"/>
  <cols>
    <col min="1" max="1" width="19.88671875" bestFit="1" customWidth="1"/>
    <col min="2" max="2" width="34.88671875" bestFit="1" customWidth="1"/>
    <col min="3" max="3" width="41.88671875" bestFit="1" customWidth="1"/>
    <col min="4" max="4" width="18.88671875" bestFit="1" customWidth="1"/>
    <col min="5" max="5" width="20" bestFit="1" customWidth="1"/>
    <col min="6" max="6" width="24" bestFit="1" customWidth="1"/>
    <col min="7" max="7" width="17.109375" bestFit="1" customWidth="1"/>
    <col min="8" max="8" width="26.109375" bestFit="1" customWidth="1"/>
    <col min="9" max="9" width="21.33203125" bestFit="1" customWidth="1"/>
    <col min="10" max="10" width="23.109375" bestFit="1" customWidth="1"/>
    <col min="11" max="11" width="34.109375" bestFit="1" customWidth="1"/>
  </cols>
  <sheetData>
    <row r="1" spans="1:11">
      <c r="A1" s="273" t="s">
        <v>169</v>
      </c>
      <c r="B1" s="273" t="s">
        <v>170</v>
      </c>
      <c r="C1" s="273" t="s">
        <v>171</v>
      </c>
      <c r="D1" s="273" t="s">
        <v>172</v>
      </c>
      <c r="E1" s="273" t="s">
        <v>183</v>
      </c>
      <c r="F1" s="273" t="s">
        <v>184</v>
      </c>
      <c r="G1" s="273" t="s">
        <v>175</v>
      </c>
      <c r="H1" s="273" t="s">
        <v>176</v>
      </c>
      <c r="I1" s="273" t="s">
        <v>177</v>
      </c>
      <c r="J1" s="273" t="s">
        <v>178</v>
      </c>
      <c r="K1" s="273" t="s">
        <v>179</v>
      </c>
    </row>
    <row r="2" spans="1:11">
      <c r="A2" t="s">
        <v>64</v>
      </c>
      <c r="B2" t="s">
        <v>65</v>
      </c>
      <c r="C2" t="s">
        <v>66</v>
      </c>
      <c r="D2" s="161">
        <v>7113000.2599999998</v>
      </c>
      <c r="E2" s="161">
        <v>0</v>
      </c>
      <c r="F2" s="161">
        <v>0</v>
      </c>
      <c r="G2" s="161">
        <v>0</v>
      </c>
      <c r="H2" s="161">
        <v>7113000.2599999998</v>
      </c>
      <c r="I2" s="161">
        <v>7113000.2599999998</v>
      </c>
      <c r="J2" s="161">
        <v>7113000.2599999998</v>
      </c>
      <c r="K2" s="161">
        <v>0</v>
      </c>
    </row>
    <row r="3" spans="1:11">
      <c r="A3" t="s">
        <v>64</v>
      </c>
      <c r="B3" t="s">
        <v>65</v>
      </c>
      <c r="C3" t="s">
        <v>67</v>
      </c>
      <c r="D3" s="161">
        <v>96272168.739999995</v>
      </c>
      <c r="E3" s="161">
        <v>94032039.840000004</v>
      </c>
      <c r="F3" s="161">
        <v>94032039.840000004</v>
      </c>
      <c r="G3" s="161">
        <v>94032039.840000004</v>
      </c>
      <c r="H3" s="161">
        <v>96272168.739999995</v>
      </c>
      <c r="I3" s="161">
        <v>2240128.9</v>
      </c>
      <c r="J3" s="161">
        <v>96272168.739999995</v>
      </c>
      <c r="K3" s="161">
        <v>0</v>
      </c>
    </row>
    <row r="4" spans="1:11">
      <c r="A4" t="s">
        <v>64</v>
      </c>
      <c r="B4" t="s">
        <v>68</v>
      </c>
      <c r="C4" t="s">
        <v>69</v>
      </c>
      <c r="D4" s="161">
        <v>62663.64</v>
      </c>
      <c r="E4" s="161">
        <v>0</v>
      </c>
      <c r="F4" s="161">
        <v>0</v>
      </c>
      <c r="G4" s="161">
        <v>0</v>
      </c>
      <c r="H4" s="161">
        <v>62663.64</v>
      </c>
      <c r="I4" s="161">
        <v>62663.64</v>
      </c>
      <c r="J4" s="161">
        <v>62663.64</v>
      </c>
      <c r="K4" s="161" t="s">
        <v>18</v>
      </c>
    </row>
    <row r="5" spans="1:11">
      <c r="A5" t="s">
        <v>64</v>
      </c>
      <c r="B5" t="s">
        <v>68</v>
      </c>
      <c r="C5" t="s">
        <v>70</v>
      </c>
      <c r="D5" s="161">
        <v>0</v>
      </c>
      <c r="E5" s="161">
        <v>0</v>
      </c>
      <c r="F5" s="161">
        <v>0</v>
      </c>
      <c r="G5" s="161">
        <v>0</v>
      </c>
      <c r="H5" s="161"/>
      <c r="I5" s="161">
        <v>0</v>
      </c>
      <c r="J5" s="161">
        <v>0</v>
      </c>
      <c r="K5" s="161">
        <v>0</v>
      </c>
    </row>
    <row r="6" spans="1:11">
      <c r="A6" t="s">
        <v>64</v>
      </c>
      <c r="B6" t="s">
        <v>68</v>
      </c>
      <c r="C6" t="s">
        <v>70</v>
      </c>
      <c r="D6" s="161">
        <v>5641221.5099999998</v>
      </c>
      <c r="E6" s="161">
        <v>5641221.5099999998</v>
      </c>
      <c r="F6" s="161">
        <v>0</v>
      </c>
      <c r="G6" s="161">
        <v>5641221.5099999998</v>
      </c>
      <c r="H6" s="161">
        <v>5641221.5099999998</v>
      </c>
      <c r="I6" s="161">
        <v>0</v>
      </c>
      <c r="J6" s="161">
        <v>5641221.5099999998</v>
      </c>
      <c r="K6" s="161">
        <v>0</v>
      </c>
    </row>
    <row r="7" spans="1:11">
      <c r="A7" t="s">
        <v>64</v>
      </c>
      <c r="B7" t="s">
        <v>68</v>
      </c>
      <c r="C7" t="s">
        <v>71</v>
      </c>
      <c r="D7" s="161">
        <v>8785614.5500000007</v>
      </c>
      <c r="E7" s="161">
        <v>8785614.5500000007</v>
      </c>
      <c r="F7" s="161">
        <v>0</v>
      </c>
      <c r="G7" s="161">
        <v>8785614.5500000007</v>
      </c>
      <c r="H7" s="161">
        <v>8785614.5500000007</v>
      </c>
      <c r="I7" s="161">
        <v>0</v>
      </c>
      <c r="J7" s="161">
        <v>8785614.5500000007</v>
      </c>
      <c r="K7" s="161">
        <v>0</v>
      </c>
    </row>
    <row r="8" spans="1:11">
      <c r="A8" t="s">
        <v>64</v>
      </c>
      <c r="B8" t="s">
        <v>68</v>
      </c>
      <c r="C8" t="s">
        <v>72</v>
      </c>
      <c r="D8" s="161">
        <v>5932855.3499999996</v>
      </c>
      <c r="E8" s="161">
        <v>5932855.3499999996</v>
      </c>
      <c r="F8" s="161">
        <v>0</v>
      </c>
      <c r="G8" s="161">
        <v>5932855.3499999996</v>
      </c>
      <c r="H8" s="161">
        <v>5932855.3499999996</v>
      </c>
      <c r="I8" s="161">
        <v>0</v>
      </c>
      <c r="J8" s="161">
        <v>5932855.3499999996</v>
      </c>
      <c r="K8" s="161">
        <v>0</v>
      </c>
    </row>
    <row r="9" spans="1:11">
      <c r="A9" t="s">
        <v>64</v>
      </c>
      <c r="B9" t="s">
        <v>68</v>
      </c>
      <c r="C9" t="s">
        <v>73</v>
      </c>
      <c r="D9" s="161">
        <v>367644.95</v>
      </c>
      <c r="E9" s="161">
        <v>367644.95</v>
      </c>
      <c r="F9" s="161">
        <v>0</v>
      </c>
      <c r="G9" s="161">
        <v>367644.95</v>
      </c>
      <c r="H9" s="161">
        <v>367644.95</v>
      </c>
      <c r="I9" s="161">
        <v>0</v>
      </c>
      <c r="J9" s="161">
        <v>367644.95</v>
      </c>
      <c r="K9" s="161">
        <v>0</v>
      </c>
    </row>
    <row r="10" spans="1:11">
      <c r="A10" t="s">
        <v>64</v>
      </c>
      <c r="B10" t="s">
        <v>212</v>
      </c>
      <c r="C10" t="s">
        <v>76</v>
      </c>
      <c r="D10" s="161">
        <v>0</v>
      </c>
      <c r="E10" s="161">
        <v>0</v>
      </c>
      <c r="F10" s="161">
        <v>0</v>
      </c>
      <c r="G10" s="161">
        <v>0</v>
      </c>
      <c r="H10" s="161"/>
      <c r="I10" s="161">
        <v>0</v>
      </c>
      <c r="J10" s="161">
        <v>0</v>
      </c>
      <c r="K10" s="161">
        <v>0</v>
      </c>
    </row>
    <row r="11" spans="1:11">
      <c r="A11" t="s">
        <v>64</v>
      </c>
      <c r="B11" t="s">
        <v>78</v>
      </c>
      <c r="C11" t="s">
        <v>79</v>
      </c>
      <c r="D11" s="161">
        <v>11813427.039999999</v>
      </c>
      <c r="E11" s="161">
        <v>0</v>
      </c>
      <c r="F11" s="161">
        <v>0</v>
      </c>
      <c r="G11" s="161">
        <v>0</v>
      </c>
      <c r="H11" s="161">
        <v>11813427.039999999</v>
      </c>
      <c r="I11" s="161">
        <v>11813427.039999999</v>
      </c>
      <c r="J11" s="161">
        <v>11813427.039999999</v>
      </c>
      <c r="K11" s="161">
        <v>0</v>
      </c>
    </row>
    <row r="12" spans="1:11">
      <c r="A12" t="s">
        <v>64</v>
      </c>
      <c r="B12" t="s">
        <v>78</v>
      </c>
      <c r="C12" t="s">
        <v>213</v>
      </c>
      <c r="D12" s="161">
        <v>2608627.81</v>
      </c>
      <c r="E12" s="161">
        <v>0</v>
      </c>
      <c r="F12" s="161">
        <v>0</v>
      </c>
      <c r="G12" s="161">
        <v>0</v>
      </c>
      <c r="H12" s="161">
        <v>2608627.81</v>
      </c>
      <c r="I12" s="161">
        <v>2608627.81</v>
      </c>
      <c r="J12" s="161">
        <v>2608627.81</v>
      </c>
      <c r="K12" s="161">
        <v>0</v>
      </c>
    </row>
    <row r="13" spans="1:11">
      <c r="A13" t="s">
        <v>64</v>
      </c>
      <c r="B13" t="s">
        <v>78</v>
      </c>
      <c r="C13" t="s">
        <v>214</v>
      </c>
      <c r="D13" s="161">
        <v>1897166.4</v>
      </c>
      <c r="E13" s="161">
        <v>1897166.4</v>
      </c>
      <c r="F13" s="161">
        <v>1806285.81</v>
      </c>
      <c r="G13" s="161">
        <v>1897166.4</v>
      </c>
      <c r="H13" s="161">
        <v>1897166.4</v>
      </c>
      <c r="I13" s="161">
        <v>0</v>
      </c>
      <c r="J13" s="161">
        <v>1897166.4</v>
      </c>
      <c r="K13" s="161">
        <v>0</v>
      </c>
    </row>
    <row r="14" spans="1:11">
      <c r="A14" t="s">
        <v>64</v>
      </c>
      <c r="B14" t="s">
        <v>78</v>
      </c>
      <c r="C14" t="s">
        <v>214</v>
      </c>
      <c r="D14" s="161">
        <v>7141348.9900000002</v>
      </c>
      <c r="E14" s="161">
        <v>7141348.9900000002</v>
      </c>
      <c r="F14" s="161">
        <v>3926696.7</v>
      </c>
      <c r="G14" s="161">
        <v>7141348.9900000002</v>
      </c>
      <c r="H14" s="161">
        <v>7141348.9900000002</v>
      </c>
      <c r="I14" s="161">
        <v>0</v>
      </c>
      <c r="J14" s="161">
        <v>7141348.9900000002</v>
      </c>
      <c r="K14" s="161">
        <v>0</v>
      </c>
    </row>
    <row r="15" spans="1:11">
      <c r="A15" t="s">
        <v>64</v>
      </c>
      <c r="B15" t="s">
        <v>78</v>
      </c>
      <c r="C15" t="s">
        <v>215</v>
      </c>
      <c r="D15" s="161">
        <v>54584719.920000002</v>
      </c>
      <c r="E15" s="161">
        <v>0</v>
      </c>
      <c r="F15" s="161">
        <v>0</v>
      </c>
      <c r="G15" s="161">
        <v>0</v>
      </c>
      <c r="H15" s="161">
        <v>54584719.920000002</v>
      </c>
      <c r="I15" s="161">
        <v>54584719.920000002</v>
      </c>
      <c r="J15" s="161">
        <v>54584719.920000002</v>
      </c>
      <c r="K15" s="161">
        <v>0</v>
      </c>
    </row>
    <row r="16" spans="1:11">
      <c r="A16" t="s">
        <v>64</v>
      </c>
      <c r="B16" t="s">
        <v>78</v>
      </c>
      <c r="C16" t="s">
        <v>216</v>
      </c>
      <c r="D16" s="161">
        <v>56232240.789999999</v>
      </c>
      <c r="E16" s="161">
        <v>0</v>
      </c>
      <c r="F16" s="161">
        <v>0</v>
      </c>
      <c r="G16" s="161">
        <v>0</v>
      </c>
      <c r="H16" s="161">
        <v>56232240.789999999</v>
      </c>
      <c r="I16" s="161">
        <v>56232240.789999999</v>
      </c>
      <c r="J16" s="161">
        <v>56232240.789999999</v>
      </c>
      <c r="K16" s="161">
        <v>0</v>
      </c>
    </row>
    <row r="17" spans="1:11">
      <c r="A17" t="s">
        <v>64</v>
      </c>
      <c r="B17" t="s">
        <v>78</v>
      </c>
      <c r="C17" t="s">
        <v>217</v>
      </c>
      <c r="D17" s="161">
        <v>35679322.68</v>
      </c>
      <c r="E17" s="161">
        <v>0</v>
      </c>
      <c r="F17" s="161">
        <v>0</v>
      </c>
      <c r="G17" s="161">
        <v>0</v>
      </c>
      <c r="H17" s="161">
        <v>35679322.68</v>
      </c>
      <c r="I17" s="161">
        <v>35679322.68</v>
      </c>
      <c r="J17" s="161">
        <v>35679322.68</v>
      </c>
      <c r="K17" s="161">
        <v>0</v>
      </c>
    </row>
    <row r="18" spans="1:11">
      <c r="A18" t="s">
        <v>64</v>
      </c>
      <c r="B18" t="s">
        <v>78</v>
      </c>
      <c r="C18" t="s">
        <v>218</v>
      </c>
      <c r="D18" s="161">
        <v>135138026.36000001</v>
      </c>
      <c r="E18" s="161">
        <v>0</v>
      </c>
      <c r="F18" s="161">
        <v>0</v>
      </c>
      <c r="G18" s="161">
        <v>0</v>
      </c>
      <c r="H18" s="161">
        <v>135138026.36000001</v>
      </c>
      <c r="I18" s="161">
        <v>135138026.36000001</v>
      </c>
      <c r="J18" s="161">
        <v>135138026.36000001</v>
      </c>
      <c r="K18" s="161">
        <v>0</v>
      </c>
    </row>
    <row r="19" spans="1:11">
      <c r="A19" t="s">
        <v>64</v>
      </c>
      <c r="B19" t="s">
        <v>78</v>
      </c>
      <c r="C19" t="s">
        <v>219</v>
      </c>
      <c r="D19" s="161">
        <v>8535640.8900000006</v>
      </c>
      <c r="E19" s="161">
        <v>0</v>
      </c>
      <c r="F19" s="161">
        <v>0</v>
      </c>
      <c r="G19" s="161">
        <v>0</v>
      </c>
      <c r="H19" s="161">
        <v>8535640.8900000006</v>
      </c>
      <c r="I19" s="161">
        <v>8535640.8900000006</v>
      </c>
      <c r="J19" s="161">
        <v>8535640.8900000006</v>
      </c>
      <c r="K19" s="161">
        <v>0</v>
      </c>
    </row>
    <row r="20" spans="1:11">
      <c r="A20" t="s">
        <v>64</v>
      </c>
      <c r="B20" t="s">
        <v>78</v>
      </c>
      <c r="C20" t="s">
        <v>220</v>
      </c>
      <c r="D20" s="161">
        <v>14797543.15</v>
      </c>
      <c r="E20" s="161">
        <v>0</v>
      </c>
      <c r="F20" s="161">
        <v>0</v>
      </c>
      <c r="G20" s="161">
        <v>0</v>
      </c>
      <c r="H20" s="161">
        <v>14797543.15</v>
      </c>
      <c r="I20" s="161">
        <v>14797543.15</v>
      </c>
      <c r="J20" s="161">
        <v>14797543.15</v>
      </c>
      <c r="K20" s="161">
        <v>0</v>
      </c>
    </row>
    <row r="21" spans="1:11">
      <c r="A21" t="s">
        <v>64</v>
      </c>
      <c r="B21" t="s">
        <v>78</v>
      </c>
      <c r="C21" t="s">
        <v>221</v>
      </c>
      <c r="D21" s="161">
        <v>62873368.450000003</v>
      </c>
      <c r="E21" s="161">
        <v>0</v>
      </c>
      <c r="F21" s="161">
        <v>0</v>
      </c>
      <c r="G21" s="161">
        <v>0</v>
      </c>
      <c r="H21" s="161">
        <v>62873368.450000003</v>
      </c>
      <c r="I21" s="161">
        <v>62873368.450000003</v>
      </c>
      <c r="J21" s="161">
        <v>62873368.450000003</v>
      </c>
      <c r="K21" s="161">
        <v>0</v>
      </c>
    </row>
    <row r="22" spans="1:11">
      <c r="A22" t="s">
        <v>64</v>
      </c>
      <c r="B22" t="s">
        <v>78</v>
      </c>
      <c r="C22" t="s">
        <v>222</v>
      </c>
      <c r="D22" s="161">
        <v>26736231.68</v>
      </c>
      <c r="E22" s="161">
        <v>0</v>
      </c>
      <c r="F22" s="161">
        <v>0</v>
      </c>
      <c r="G22" s="161">
        <v>0</v>
      </c>
      <c r="H22" s="161">
        <v>26736231.68</v>
      </c>
      <c r="I22" s="161">
        <v>26736231.68</v>
      </c>
      <c r="J22" s="161">
        <v>26736231.68</v>
      </c>
      <c r="K22" s="161">
        <v>0</v>
      </c>
    </row>
    <row r="23" spans="1:11">
      <c r="A23" t="s">
        <v>64</v>
      </c>
      <c r="B23" t="s">
        <v>78</v>
      </c>
      <c r="C23" t="s">
        <v>223</v>
      </c>
      <c r="D23" s="161">
        <v>27763645.809999999</v>
      </c>
      <c r="E23" s="161">
        <v>0</v>
      </c>
      <c r="F23" s="161">
        <v>0</v>
      </c>
      <c r="G23" s="161">
        <v>0</v>
      </c>
      <c r="H23" s="161">
        <v>27763645.809999999</v>
      </c>
      <c r="I23" s="161">
        <v>27763645.809999999</v>
      </c>
      <c r="J23" s="161">
        <v>27763645.809999999</v>
      </c>
      <c r="K23" s="161">
        <v>0</v>
      </c>
    </row>
    <row r="24" spans="1:11">
      <c r="A24" t="s">
        <v>64</v>
      </c>
      <c r="B24" t="s">
        <v>78</v>
      </c>
      <c r="C24" t="s">
        <v>224</v>
      </c>
      <c r="D24" s="161">
        <v>5957690.0300000003</v>
      </c>
      <c r="E24" s="161">
        <v>0</v>
      </c>
      <c r="F24" s="161">
        <v>0</v>
      </c>
      <c r="G24" s="161">
        <v>0</v>
      </c>
      <c r="H24" s="161">
        <v>5957690.0300000003</v>
      </c>
      <c r="I24" s="161">
        <v>5957690.0300000003</v>
      </c>
      <c r="J24" s="161">
        <v>5957690.0300000003</v>
      </c>
      <c r="K24" s="161">
        <v>0</v>
      </c>
    </row>
    <row r="25" spans="1:11">
      <c r="A25" t="s">
        <v>64</v>
      </c>
      <c r="B25" t="s">
        <v>90</v>
      </c>
      <c r="C25" t="s">
        <v>91</v>
      </c>
      <c r="D25" s="161">
        <v>7612584.9800000004</v>
      </c>
      <c r="E25" s="161">
        <v>0</v>
      </c>
      <c r="F25" s="161">
        <v>0</v>
      </c>
      <c r="G25" s="161">
        <v>0</v>
      </c>
      <c r="H25" s="161">
        <v>7612584.9800000004</v>
      </c>
      <c r="I25" s="161">
        <v>7612584.9800000004</v>
      </c>
      <c r="J25" s="161">
        <v>7612584.9800000004</v>
      </c>
      <c r="K25" s="161">
        <v>0</v>
      </c>
    </row>
    <row r="26" spans="1:11">
      <c r="A26" t="s">
        <v>64</v>
      </c>
      <c r="B26" t="s">
        <v>90</v>
      </c>
      <c r="C26" t="s">
        <v>92</v>
      </c>
      <c r="D26" s="161">
        <v>85437791.670000002</v>
      </c>
      <c r="E26" s="161">
        <v>0</v>
      </c>
      <c r="F26" s="161">
        <v>0</v>
      </c>
      <c r="G26" s="161">
        <v>0</v>
      </c>
      <c r="H26" s="161">
        <v>85437791.670000002</v>
      </c>
      <c r="I26" s="161">
        <v>85437791.670000002</v>
      </c>
      <c r="J26" s="161">
        <v>85437791.670000002</v>
      </c>
      <c r="K26" s="161">
        <v>0</v>
      </c>
    </row>
    <row r="27" spans="1:11">
      <c r="A27" t="s">
        <v>64</v>
      </c>
      <c r="B27" t="s">
        <v>90</v>
      </c>
      <c r="C27" t="s">
        <v>93</v>
      </c>
      <c r="D27" s="161">
        <v>283042948.64999998</v>
      </c>
      <c r="E27" s="161">
        <v>0</v>
      </c>
      <c r="F27" s="161">
        <v>0</v>
      </c>
      <c r="G27" s="161">
        <v>0</v>
      </c>
      <c r="H27" s="161">
        <v>283042948.64999998</v>
      </c>
      <c r="I27" s="161">
        <v>283042948.64999998</v>
      </c>
      <c r="J27" s="161">
        <v>283042948.64999998</v>
      </c>
      <c r="K27" s="161">
        <v>0</v>
      </c>
    </row>
    <row r="28" spans="1:11">
      <c r="A28" t="s">
        <v>64</v>
      </c>
      <c r="B28" t="s">
        <v>90</v>
      </c>
      <c r="C28" t="s">
        <v>94</v>
      </c>
      <c r="D28" s="161">
        <v>0</v>
      </c>
      <c r="E28" s="161">
        <v>0</v>
      </c>
      <c r="F28" s="161">
        <v>0</v>
      </c>
      <c r="G28" s="161">
        <v>0</v>
      </c>
      <c r="H28" s="161"/>
      <c r="I28" s="161">
        <v>0</v>
      </c>
      <c r="J28" s="161">
        <v>0</v>
      </c>
      <c r="K28" s="161">
        <v>0</v>
      </c>
    </row>
    <row r="29" spans="1:11">
      <c r="A29" t="s">
        <v>64</v>
      </c>
      <c r="B29" t="s">
        <v>90</v>
      </c>
      <c r="C29" t="s">
        <v>94</v>
      </c>
      <c r="D29" s="161">
        <v>60439199.590000004</v>
      </c>
      <c r="E29" s="161">
        <v>0</v>
      </c>
      <c r="F29" s="161">
        <v>0</v>
      </c>
      <c r="G29" s="161">
        <v>0</v>
      </c>
      <c r="H29" s="161">
        <v>60439199.590000004</v>
      </c>
      <c r="I29" s="161">
        <v>60439199.590000004</v>
      </c>
      <c r="J29" s="161">
        <v>60439199.590000004</v>
      </c>
      <c r="K29" s="161">
        <v>0</v>
      </c>
    </row>
    <row r="30" spans="1:11">
      <c r="A30" t="s">
        <v>64</v>
      </c>
      <c r="B30" t="s">
        <v>90</v>
      </c>
      <c r="C30" t="s">
        <v>95</v>
      </c>
      <c r="D30" s="161">
        <v>8446912.3200000003</v>
      </c>
      <c r="E30" s="161">
        <v>0</v>
      </c>
      <c r="F30" s="161">
        <v>0</v>
      </c>
      <c r="G30" s="161">
        <v>0</v>
      </c>
      <c r="H30" s="161">
        <v>8446912.3200000003</v>
      </c>
      <c r="I30" s="161">
        <v>8446912.3200000003</v>
      </c>
      <c r="J30" s="161">
        <v>8446912.3200000003</v>
      </c>
      <c r="K30" s="161">
        <v>0</v>
      </c>
    </row>
    <row r="31" spans="1:11">
      <c r="A31" t="s">
        <v>64</v>
      </c>
      <c r="B31" t="s">
        <v>90</v>
      </c>
      <c r="C31" t="s">
        <v>96</v>
      </c>
      <c r="D31" s="161">
        <v>101007491.2</v>
      </c>
      <c r="E31" s="161">
        <v>0</v>
      </c>
      <c r="F31" s="161">
        <v>0</v>
      </c>
      <c r="G31" s="161">
        <v>0</v>
      </c>
      <c r="H31" s="161">
        <v>101007491.2</v>
      </c>
      <c r="I31" s="161">
        <v>101007491.2</v>
      </c>
      <c r="J31" s="161">
        <v>101007491.2</v>
      </c>
      <c r="K31" s="161">
        <v>0</v>
      </c>
    </row>
    <row r="32" spans="1:11">
      <c r="A32" t="s">
        <v>64</v>
      </c>
      <c r="B32" t="s">
        <v>90</v>
      </c>
      <c r="C32" t="s">
        <v>97</v>
      </c>
      <c r="D32" s="161">
        <v>455797.65</v>
      </c>
      <c r="E32" s="161">
        <v>0</v>
      </c>
      <c r="F32" s="161">
        <v>0</v>
      </c>
      <c r="G32" s="161">
        <v>0</v>
      </c>
      <c r="H32" s="161">
        <v>455797.65</v>
      </c>
      <c r="I32" s="161">
        <v>455797.65</v>
      </c>
      <c r="J32" s="161">
        <v>455797.65</v>
      </c>
      <c r="K32" s="161">
        <v>0</v>
      </c>
    </row>
    <row r="33" spans="1:11">
      <c r="A33" t="s">
        <v>64</v>
      </c>
      <c r="B33" t="s">
        <v>90</v>
      </c>
      <c r="C33" t="s">
        <v>98</v>
      </c>
      <c r="D33" s="161">
        <v>79619985.829999998</v>
      </c>
      <c r="E33" s="161">
        <v>0</v>
      </c>
      <c r="F33" s="161">
        <v>0</v>
      </c>
      <c r="G33" s="161">
        <v>0</v>
      </c>
      <c r="H33" s="161">
        <v>79619985.829999998</v>
      </c>
      <c r="I33" s="161">
        <v>79619985.829999998</v>
      </c>
      <c r="J33" s="161">
        <v>79619985.829999998</v>
      </c>
      <c r="K33" s="161">
        <v>0</v>
      </c>
    </row>
    <row r="34" spans="1:11">
      <c r="A34" t="s">
        <v>64</v>
      </c>
      <c r="B34" t="s">
        <v>90</v>
      </c>
      <c r="C34" t="s">
        <v>99</v>
      </c>
      <c r="D34" s="161">
        <v>55148949.240000002</v>
      </c>
      <c r="E34" s="161">
        <v>0</v>
      </c>
      <c r="F34" s="161">
        <v>0</v>
      </c>
      <c r="G34" s="161">
        <v>0</v>
      </c>
      <c r="H34" s="161">
        <v>55148949.240000002</v>
      </c>
      <c r="I34" s="161">
        <v>55148949.240000002</v>
      </c>
      <c r="J34" s="161">
        <v>55148949.240000002</v>
      </c>
      <c r="K34" s="161">
        <v>0</v>
      </c>
    </row>
    <row r="35" spans="1:11">
      <c r="A35" t="s">
        <v>64</v>
      </c>
      <c r="B35" t="s">
        <v>90</v>
      </c>
      <c r="C35" t="s">
        <v>100</v>
      </c>
      <c r="D35" s="161">
        <v>179792572.19</v>
      </c>
      <c r="E35" s="161">
        <v>0</v>
      </c>
      <c r="F35" s="161">
        <v>0</v>
      </c>
      <c r="G35" s="161">
        <v>0</v>
      </c>
      <c r="H35" s="161">
        <v>179792572.19</v>
      </c>
      <c r="I35" s="161">
        <v>179792572.19</v>
      </c>
      <c r="J35" s="161">
        <v>179792572.19</v>
      </c>
      <c r="K35" s="161">
        <v>0</v>
      </c>
    </row>
    <row r="36" spans="1:11">
      <c r="A36" t="s">
        <v>64</v>
      </c>
      <c r="B36" t="s">
        <v>90</v>
      </c>
      <c r="C36" t="s">
        <v>101</v>
      </c>
      <c r="D36" s="161">
        <v>113405914.16</v>
      </c>
      <c r="E36" s="161">
        <v>0</v>
      </c>
      <c r="F36" s="161">
        <v>0</v>
      </c>
      <c r="G36" s="161">
        <v>0</v>
      </c>
      <c r="H36" s="161">
        <v>113405914.16</v>
      </c>
      <c r="I36" s="161">
        <v>113405914.16</v>
      </c>
      <c r="J36" s="161">
        <v>113405914.16</v>
      </c>
      <c r="K36" s="161">
        <v>0</v>
      </c>
    </row>
    <row r="37" spans="1:11">
      <c r="A37" t="s">
        <v>64</v>
      </c>
      <c r="B37" t="s">
        <v>90</v>
      </c>
      <c r="C37" t="s">
        <v>102</v>
      </c>
      <c r="D37" s="161">
        <v>95070319.959999993</v>
      </c>
      <c r="E37" s="161">
        <v>0</v>
      </c>
      <c r="F37" s="161">
        <v>0</v>
      </c>
      <c r="G37" s="161">
        <v>0</v>
      </c>
      <c r="H37" s="161">
        <v>95070319.959999993</v>
      </c>
      <c r="I37" s="161">
        <v>95070319.959999993</v>
      </c>
      <c r="J37" s="161">
        <v>95070319.959999993</v>
      </c>
      <c r="K37" s="161">
        <v>0</v>
      </c>
    </row>
    <row r="38" spans="1:11">
      <c r="A38" t="s">
        <v>64</v>
      </c>
      <c r="B38" t="s">
        <v>90</v>
      </c>
      <c r="C38" t="s">
        <v>103</v>
      </c>
      <c r="D38" s="161">
        <v>121904327.93000001</v>
      </c>
      <c r="E38" s="161">
        <v>0</v>
      </c>
      <c r="F38" s="161">
        <v>0</v>
      </c>
      <c r="G38" s="161">
        <v>0</v>
      </c>
      <c r="H38" s="161">
        <v>121904327.93000001</v>
      </c>
      <c r="I38" s="161">
        <v>121904327.93000001</v>
      </c>
      <c r="J38" s="161">
        <v>121904327.93000001</v>
      </c>
      <c r="K38" s="161">
        <v>0</v>
      </c>
    </row>
    <row r="39" spans="1:11">
      <c r="A39" t="s">
        <v>64</v>
      </c>
      <c r="B39" t="s">
        <v>90</v>
      </c>
      <c r="C39" t="s">
        <v>104</v>
      </c>
      <c r="D39" s="161">
        <v>74569124.629999995</v>
      </c>
      <c r="E39" s="161">
        <v>0</v>
      </c>
      <c r="F39" s="161">
        <v>0</v>
      </c>
      <c r="G39" s="161">
        <v>0</v>
      </c>
      <c r="H39" s="161">
        <v>74569124.629999995</v>
      </c>
      <c r="I39" s="161">
        <v>74569124.629999995</v>
      </c>
      <c r="J39" s="161">
        <v>74569124.629999995</v>
      </c>
      <c r="K39" s="161">
        <v>0</v>
      </c>
    </row>
    <row r="40" spans="1:11">
      <c r="A40" t="s">
        <v>64</v>
      </c>
      <c r="B40" t="s">
        <v>105</v>
      </c>
      <c r="C40" t="s">
        <v>106</v>
      </c>
      <c r="D40" s="161">
        <v>0</v>
      </c>
      <c r="E40" s="161">
        <v>0</v>
      </c>
      <c r="F40" s="161">
        <v>0</v>
      </c>
      <c r="G40" s="161">
        <v>0</v>
      </c>
      <c r="H40" s="161"/>
      <c r="I40" s="161">
        <v>0</v>
      </c>
      <c r="J40" s="161">
        <v>0</v>
      </c>
      <c r="K40" s="161">
        <v>0</v>
      </c>
    </row>
    <row r="41" spans="1:11">
      <c r="A41" t="s">
        <v>64</v>
      </c>
      <c r="B41" t="s">
        <v>105</v>
      </c>
      <c r="C41" t="s">
        <v>107</v>
      </c>
      <c r="D41" s="161">
        <v>171771292</v>
      </c>
      <c r="E41" s="161"/>
      <c r="F41" s="161">
        <v>0</v>
      </c>
      <c r="G41" s="161">
        <v>0</v>
      </c>
      <c r="H41" s="161">
        <v>171771292</v>
      </c>
      <c r="I41" s="161">
        <v>171771292</v>
      </c>
      <c r="J41" s="161">
        <v>171771292</v>
      </c>
      <c r="K41" s="161">
        <v>0</v>
      </c>
    </row>
    <row r="42" spans="1:11">
      <c r="A42" t="s">
        <v>64</v>
      </c>
      <c r="B42" t="s">
        <v>108</v>
      </c>
      <c r="C42" t="s">
        <v>110</v>
      </c>
      <c r="D42" s="161">
        <v>34354258</v>
      </c>
      <c r="E42" s="161">
        <v>0</v>
      </c>
      <c r="F42" s="161">
        <v>0</v>
      </c>
      <c r="G42" s="161">
        <v>0</v>
      </c>
      <c r="H42" s="161">
        <v>34354258</v>
      </c>
      <c r="I42" s="161">
        <v>34354258</v>
      </c>
      <c r="J42" s="161">
        <v>34354258</v>
      </c>
      <c r="K42" s="161">
        <v>0</v>
      </c>
    </row>
    <row r="43" spans="1:11">
      <c r="A43" t="s">
        <v>111</v>
      </c>
      <c r="B43" t="s">
        <v>112</v>
      </c>
      <c r="C43" t="s">
        <v>114</v>
      </c>
      <c r="D43" s="161">
        <v>137417034</v>
      </c>
      <c r="E43" s="161">
        <v>137416238</v>
      </c>
      <c r="F43" s="161">
        <v>0</v>
      </c>
      <c r="G43" s="161">
        <v>137416238</v>
      </c>
      <c r="H43" s="161">
        <v>137417034</v>
      </c>
      <c r="I43" s="161">
        <v>796</v>
      </c>
      <c r="J43" s="161">
        <v>137417034</v>
      </c>
      <c r="K43" s="161">
        <v>0</v>
      </c>
    </row>
    <row r="44" spans="1:11">
      <c r="A44" t="s">
        <v>111</v>
      </c>
      <c r="B44" t="s">
        <v>115</v>
      </c>
      <c r="C44" t="s">
        <v>116</v>
      </c>
      <c r="D44" s="161">
        <v>0</v>
      </c>
      <c r="E44" s="161">
        <v>0</v>
      </c>
      <c r="F44" s="161">
        <v>0</v>
      </c>
      <c r="G44" s="161">
        <v>0</v>
      </c>
      <c r="H44" s="161"/>
      <c r="I44" s="161">
        <v>0</v>
      </c>
      <c r="J44" s="161">
        <v>0</v>
      </c>
      <c r="K44" s="161">
        <v>0</v>
      </c>
    </row>
    <row r="45" spans="1:11">
      <c r="A45" t="s">
        <v>111</v>
      </c>
      <c r="B45" t="s">
        <v>115</v>
      </c>
      <c r="C45" t="s">
        <v>117</v>
      </c>
      <c r="D45" s="161">
        <v>35151584</v>
      </c>
      <c r="E45" s="161">
        <v>0</v>
      </c>
      <c r="F45" s="161">
        <v>0</v>
      </c>
      <c r="G45" s="161">
        <v>0</v>
      </c>
      <c r="H45" s="161">
        <v>35151584</v>
      </c>
      <c r="I45" s="161">
        <v>35151584</v>
      </c>
      <c r="J45" s="161">
        <v>35151584</v>
      </c>
      <c r="K45" s="161">
        <v>0</v>
      </c>
    </row>
    <row r="46" spans="1:11">
      <c r="A46" t="s">
        <v>111</v>
      </c>
      <c r="B46" t="s">
        <v>115</v>
      </c>
      <c r="C46" t="s">
        <v>118</v>
      </c>
      <c r="D46" s="161">
        <v>246553335</v>
      </c>
      <c r="E46" s="161">
        <v>0</v>
      </c>
      <c r="F46" s="161">
        <v>0</v>
      </c>
      <c r="G46" s="161">
        <v>0</v>
      </c>
      <c r="H46" s="161">
        <v>246553335</v>
      </c>
      <c r="I46" s="161">
        <v>246553335</v>
      </c>
      <c r="J46" s="161">
        <v>246553335</v>
      </c>
      <c r="K46" s="161">
        <v>0</v>
      </c>
    </row>
    <row r="47" spans="1:11">
      <c r="A47" t="s">
        <v>111</v>
      </c>
      <c r="B47" t="s">
        <v>119</v>
      </c>
      <c r="C47" t="s">
        <v>121</v>
      </c>
      <c r="D47" s="161">
        <v>67334346</v>
      </c>
      <c r="E47" s="161">
        <v>0</v>
      </c>
      <c r="F47" s="161">
        <v>0</v>
      </c>
      <c r="G47" s="161">
        <v>0</v>
      </c>
      <c r="H47" s="161">
        <v>67334346</v>
      </c>
      <c r="I47" s="161">
        <v>67334346</v>
      </c>
      <c r="J47" s="161">
        <v>67334346</v>
      </c>
      <c r="K47" s="161">
        <v>0</v>
      </c>
    </row>
    <row r="48" spans="1:11">
      <c r="A48" t="s">
        <v>111</v>
      </c>
      <c r="B48" t="s">
        <v>122</v>
      </c>
      <c r="C48" t="s">
        <v>123</v>
      </c>
      <c r="D48" s="161">
        <v>47692179.399999999</v>
      </c>
      <c r="E48" s="161">
        <v>0</v>
      </c>
      <c r="F48" s="161">
        <v>0</v>
      </c>
      <c r="G48" s="161">
        <v>0</v>
      </c>
      <c r="H48" s="161">
        <v>47692179.399999999</v>
      </c>
      <c r="I48" s="161">
        <v>47692179.399999999</v>
      </c>
      <c r="J48" s="161">
        <v>47692179.399999999</v>
      </c>
      <c r="K48" s="161">
        <v>0</v>
      </c>
    </row>
    <row r="49" spans="1:11">
      <c r="A49" t="s">
        <v>111</v>
      </c>
      <c r="B49" t="s">
        <v>122</v>
      </c>
      <c r="C49" t="s">
        <v>180</v>
      </c>
      <c r="D49" s="161">
        <v>3839208.55</v>
      </c>
      <c r="E49" s="161">
        <v>3839208.55</v>
      </c>
      <c r="F49" s="161">
        <v>0</v>
      </c>
      <c r="G49" s="161">
        <v>3839208.55</v>
      </c>
      <c r="H49" s="161">
        <v>3839208.55</v>
      </c>
      <c r="I49" s="161">
        <v>0</v>
      </c>
      <c r="J49" s="161">
        <v>3839208.55</v>
      </c>
      <c r="K49" s="161">
        <v>0</v>
      </c>
    </row>
    <row r="50" spans="1:11">
      <c r="A50" t="s">
        <v>111</v>
      </c>
      <c r="B50" t="s">
        <v>126</v>
      </c>
      <c r="C50" t="s">
        <v>128</v>
      </c>
      <c r="D50" s="161">
        <v>19238385</v>
      </c>
      <c r="E50" s="161">
        <v>0</v>
      </c>
      <c r="F50" s="161">
        <v>0</v>
      </c>
      <c r="G50" s="161">
        <v>0</v>
      </c>
      <c r="H50" s="161">
        <v>19238385</v>
      </c>
      <c r="I50" s="161">
        <v>19238385</v>
      </c>
      <c r="J50" s="161">
        <v>19238385</v>
      </c>
      <c r="K50" s="161">
        <v>0</v>
      </c>
    </row>
    <row r="51" spans="1:11">
      <c r="A51" s="110" t="s">
        <v>129</v>
      </c>
      <c r="B51" s="110" t="s">
        <v>193</v>
      </c>
      <c r="C51" s="110" t="s">
        <v>194</v>
      </c>
      <c r="D51" s="166">
        <v>3396950.7</v>
      </c>
      <c r="E51" s="166">
        <v>0</v>
      </c>
      <c r="F51" s="166">
        <v>0</v>
      </c>
      <c r="G51" s="161">
        <v>0</v>
      </c>
      <c r="H51" s="161">
        <v>3396950.7</v>
      </c>
      <c r="I51" s="161">
        <v>3396950.7</v>
      </c>
      <c r="J51" s="161">
        <v>3396950.7</v>
      </c>
      <c r="K51" s="161">
        <v>0</v>
      </c>
    </row>
    <row r="52" spans="1:11">
      <c r="A52" s="110" t="s">
        <v>129</v>
      </c>
      <c r="B52" s="110" t="s">
        <v>193</v>
      </c>
      <c r="C52" s="110" t="s">
        <v>195</v>
      </c>
      <c r="D52" s="166">
        <v>11603049.300000001</v>
      </c>
      <c r="E52" s="166">
        <v>9481721.6300000008</v>
      </c>
      <c r="F52" s="166">
        <v>4644005.42</v>
      </c>
      <c r="G52" s="161">
        <v>9481721.6300000008</v>
      </c>
      <c r="H52" s="161">
        <v>11603049.300000001</v>
      </c>
      <c r="I52" s="161">
        <v>2121327.67</v>
      </c>
      <c r="J52" s="161">
        <v>11603049.300000001</v>
      </c>
      <c r="K52" s="161">
        <v>0</v>
      </c>
    </row>
    <row r="53" spans="1:11">
      <c r="A53" t="s">
        <v>129</v>
      </c>
      <c r="B53" t="s">
        <v>133</v>
      </c>
      <c r="C53" t="s">
        <v>135</v>
      </c>
      <c r="D53" s="161">
        <v>19238385</v>
      </c>
      <c r="E53" s="161">
        <v>0</v>
      </c>
      <c r="F53" s="161">
        <v>0</v>
      </c>
      <c r="G53" s="161">
        <v>0</v>
      </c>
      <c r="H53" s="161">
        <v>19238385</v>
      </c>
      <c r="I53" s="161">
        <v>19238385</v>
      </c>
      <c r="J53" s="161">
        <v>19238385</v>
      </c>
      <c r="K53" s="161">
        <v>0</v>
      </c>
    </row>
    <row r="54" spans="1:11">
      <c r="A54" t="s">
        <v>129</v>
      </c>
      <c r="B54" t="s">
        <v>136</v>
      </c>
      <c r="C54" t="s">
        <v>138</v>
      </c>
      <c r="D54" s="161">
        <v>192383847</v>
      </c>
      <c r="E54" s="161">
        <v>0</v>
      </c>
      <c r="F54" s="161">
        <v>0</v>
      </c>
      <c r="G54" s="161">
        <v>0</v>
      </c>
      <c r="H54" s="161">
        <v>192383847</v>
      </c>
      <c r="I54" s="161">
        <v>192383847</v>
      </c>
      <c r="J54" s="161">
        <v>192383847</v>
      </c>
      <c r="K54" s="161">
        <v>0</v>
      </c>
    </row>
    <row r="55" spans="1:11">
      <c r="D55" s="274">
        <f>SUM(D2:D54)</f>
        <v>2831861942.9500003</v>
      </c>
      <c r="E55" s="274">
        <f>SUM(E2:E54)</f>
        <v>274535059.77000004</v>
      </c>
      <c r="F55" s="274">
        <f t="shared" ref="F55:K55" si="0">SUM(F2:F54)</f>
        <v>104409027.77000001</v>
      </c>
      <c r="G55" s="274">
        <f t="shared" si="0"/>
        <v>274535059.77000004</v>
      </c>
      <c r="H55" s="274">
        <f t="shared" si="0"/>
        <v>2831861942.9500003</v>
      </c>
      <c r="I55" s="274">
        <f t="shared" si="0"/>
        <v>2557326883.1800003</v>
      </c>
      <c r="J55" s="274">
        <f t="shared" si="0"/>
        <v>2831861942.9500003</v>
      </c>
      <c r="K55" s="274">
        <f t="shared" si="0"/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F5573-62D3-43A0-890B-11A0F5058F8A}">
  <dimension ref="A1:M41"/>
  <sheetViews>
    <sheetView showGridLines="0" topLeftCell="A5" zoomScaleNormal="100" workbookViewId="0">
      <selection activeCell="I55" sqref="I55"/>
    </sheetView>
  </sheetViews>
  <sheetFormatPr baseColWidth="10" defaultColWidth="11.44140625" defaultRowHeight="14.4"/>
  <cols>
    <col min="1" max="1" width="10.109375" customWidth="1"/>
    <col min="2" max="2" width="23.6640625" customWidth="1"/>
    <col min="3" max="3" width="20" bestFit="1" customWidth="1"/>
    <col min="4" max="4" width="16.5546875" bestFit="1" customWidth="1"/>
    <col min="5" max="5" width="18.88671875" bestFit="1" customWidth="1"/>
    <col min="6" max="6" width="18.88671875" customWidth="1"/>
    <col min="7" max="7" width="18.88671875" bestFit="1" customWidth="1"/>
    <col min="8" max="8" width="19.88671875" customWidth="1"/>
    <col min="9" max="9" width="21.5546875" bestFit="1" customWidth="1"/>
    <col min="10" max="10" width="16.109375" customWidth="1"/>
    <col min="11" max="11" width="18.5546875" customWidth="1"/>
    <col min="12" max="12" width="17" customWidth="1"/>
    <col min="13" max="15" width="15.44140625" bestFit="1" customWidth="1"/>
    <col min="16" max="16" width="14.44140625" bestFit="1" customWidth="1"/>
  </cols>
  <sheetData>
    <row r="1" spans="1:13" ht="21.6" customHeight="1">
      <c r="J1" s="2109" t="s">
        <v>185</v>
      </c>
      <c r="K1" s="2109"/>
      <c r="L1" s="2109"/>
      <c r="M1" s="2109"/>
    </row>
    <row r="2" spans="1:13" ht="15" thickBot="1">
      <c r="E2" s="181" t="s">
        <v>197</v>
      </c>
      <c r="F2" s="181"/>
      <c r="G2" s="181" t="s">
        <v>199</v>
      </c>
      <c r="H2" s="181" t="s">
        <v>225</v>
      </c>
      <c r="I2" s="181"/>
      <c r="J2" s="2109"/>
      <c r="K2" s="2109"/>
      <c r="L2" s="2109"/>
      <c r="M2" s="2109"/>
    </row>
    <row r="3" spans="1:13" ht="15.6">
      <c r="B3" s="160" t="s">
        <v>226</v>
      </c>
      <c r="C3" s="62"/>
      <c r="D3" s="141">
        <v>59</v>
      </c>
      <c r="E3" s="2122" t="s">
        <v>145</v>
      </c>
      <c r="F3" s="2122" t="s">
        <v>227</v>
      </c>
      <c r="G3" s="2124" t="s">
        <v>228</v>
      </c>
      <c r="H3" s="2122" t="s">
        <v>146</v>
      </c>
      <c r="I3" s="2126"/>
      <c r="J3" s="183"/>
      <c r="K3" s="183"/>
      <c r="L3" s="183"/>
      <c r="M3" s="183"/>
    </row>
    <row r="4" spans="1:13" ht="16.2" thickBot="1">
      <c r="A4" s="152"/>
      <c r="B4" s="25" t="s">
        <v>29</v>
      </c>
      <c r="C4" s="25" t="s">
        <v>30</v>
      </c>
      <c r="D4" s="65" t="s">
        <v>31</v>
      </c>
      <c r="E4" s="2123"/>
      <c r="F4" s="2123"/>
      <c r="G4" s="2125"/>
      <c r="H4" s="2123"/>
      <c r="I4" s="2127"/>
      <c r="J4" s="183"/>
      <c r="K4" s="183"/>
      <c r="L4" s="183"/>
      <c r="M4" s="183"/>
    </row>
    <row r="5" spans="1:13" ht="15" thickBot="1">
      <c r="A5">
        <v>1</v>
      </c>
      <c r="B5" s="254" t="s">
        <v>33</v>
      </c>
      <c r="C5" s="256">
        <f>SUM('budget (11)'!D2:D3)</f>
        <v>103385169</v>
      </c>
      <c r="D5" s="257">
        <f>C5/D3</f>
        <v>1752291</v>
      </c>
      <c r="E5" s="258">
        <f>SUM('budget (11)'!E2:E3)</f>
        <v>94032039.840000004</v>
      </c>
      <c r="F5" s="258">
        <v>93973039.840000004</v>
      </c>
      <c r="G5" s="259">
        <f>E5-F5</f>
        <v>59000</v>
      </c>
      <c r="H5" s="260">
        <f>SUM('budget (11)'!I2:I3)</f>
        <v>9353129.1600000001</v>
      </c>
      <c r="I5" s="321">
        <f t="shared" ref="I5:I21" si="0">C5-(E5+H5)</f>
        <v>0</v>
      </c>
      <c r="J5" s="183"/>
      <c r="K5" s="183"/>
      <c r="L5" s="183"/>
      <c r="M5" s="183"/>
    </row>
    <row r="6" spans="1:13">
      <c r="B6" s="115" t="s">
        <v>35</v>
      </c>
      <c r="C6" s="116">
        <f>SUM('budget (11)'!D11:D24)</f>
        <v>451758999.99999994</v>
      </c>
      <c r="D6" s="117">
        <f>C6/$D$3</f>
        <v>7656932.20338983</v>
      </c>
      <c r="E6" s="132">
        <f>SUM('budget (11)'!E11:E24)</f>
        <v>9038515.3900000006</v>
      </c>
      <c r="F6" s="132">
        <v>9038515.3900000006</v>
      </c>
      <c r="G6" s="125">
        <f t="shared" ref="G6:G22" si="1">E6-F6</f>
        <v>0</v>
      </c>
      <c r="H6" s="173">
        <f>SUM('budget (11)'!I11:I24)</f>
        <v>442720484.60999995</v>
      </c>
      <c r="I6" s="322">
        <f t="shared" si="0"/>
        <v>0</v>
      </c>
      <c r="J6" s="183"/>
      <c r="K6" s="184"/>
      <c r="L6" s="183"/>
      <c r="M6" s="183"/>
    </row>
    <row r="7" spans="1:13">
      <c r="B7" s="112" t="s">
        <v>38</v>
      </c>
      <c r="C7" s="113">
        <f>SUM('budget (11)'!D25:D39)</f>
        <v>1265953920</v>
      </c>
      <c r="D7" s="114">
        <f>C7/$D$3</f>
        <v>21456846.101694915</v>
      </c>
      <c r="E7" s="133">
        <f>SUM('budget (11)'!E25:E39)</f>
        <v>0</v>
      </c>
      <c r="F7" s="133">
        <v>0</v>
      </c>
      <c r="G7" s="127">
        <f t="shared" si="1"/>
        <v>0</v>
      </c>
      <c r="H7" s="133">
        <f>SUM('budget (11)'!I25:I39)</f>
        <v>1265953920</v>
      </c>
      <c r="I7" s="323">
        <f t="shared" si="0"/>
        <v>0</v>
      </c>
      <c r="J7" s="183"/>
      <c r="K7" s="184"/>
      <c r="L7" s="183"/>
      <c r="M7" s="183"/>
    </row>
    <row r="8" spans="1:13">
      <c r="B8" s="115" t="s">
        <v>148</v>
      </c>
      <c r="C8" s="118">
        <f>SUM('budget (11)'!D40:D41)</f>
        <v>171771292</v>
      </c>
      <c r="D8" s="117">
        <f>C8/$D$3</f>
        <v>2911377.8305084747</v>
      </c>
      <c r="E8" s="134">
        <v>171771292</v>
      </c>
      <c r="F8" s="134">
        <v>0</v>
      </c>
      <c r="G8" s="129">
        <f t="shared" si="1"/>
        <v>171771292</v>
      </c>
      <c r="H8" s="134">
        <f>SUM('budget (11)'!I40:I41)</f>
        <v>171771292</v>
      </c>
      <c r="I8" s="324">
        <f t="shared" si="0"/>
        <v>-171771292</v>
      </c>
      <c r="J8" s="183"/>
      <c r="K8" s="184"/>
      <c r="L8" s="183"/>
      <c r="M8" s="183"/>
    </row>
    <row r="9" spans="1:13">
      <c r="B9" s="112" t="s">
        <v>40</v>
      </c>
      <c r="C9" s="113">
        <f>SUM('budget (11)'!D42)</f>
        <v>34354258</v>
      </c>
      <c r="D9" s="114">
        <f>C9/$D$3</f>
        <v>582275.55932203389</v>
      </c>
      <c r="E9" s="133">
        <f>SUM('budget (11)'!E42)</f>
        <v>0</v>
      </c>
      <c r="F9" s="133">
        <v>0</v>
      </c>
      <c r="G9" s="127">
        <f t="shared" si="1"/>
        <v>0</v>
      </c>
      <c r="H9" s="133">
        <f>SUM('budget (11)'!I42)</f>
        <v>34354258</v>
      </c>
      <c r="I9" s="323">
        <f t="shared" si="0"/>
        <v>0</v>
      </c>
      <c r="J9" s="183"/>
      <c r="K9" s="184"/>
      <c r="L9" s="183"/>
      <c r="M9" s="183"/>
    </row>
    <row r="10" spans="1:13" ht="15" thickBot="1">
      <c r="B10" s="254" t="s">
        <v>41</v>
      </c>
      <c r="C10" s="261">
        <f>SUM(C6:C9)</f>
        <v>1923838470</v>
      </c>
      <c r="D10" s="259">
        <f>SUM(D6:D9)</f>
        <v>32607431.694915254</v>
      </c>
      <c r="E10" s="262">
        <f>SUM(E6:E9)</f>
        <v>180809807.38999999</v>
      </c>
      <c r="F10" s="262">
        <f>SUM(F6:F9)</f>
        <v>9038515.3900000006</v>
      </c>
      <c r="G10" s="259">
        <f t="shared" si="1"/>
        <v>171771292</v>
      </c>
      <c r="H10" s="263">
        <f>SUM(H6:H9)</f>
        <v>1914799954.6099999</v>
      </c>
      <c r="I10" s="325">
        <f t="shared" si="0"/>
        <v>-171771292</v>
      </c>
      <c r="J10" s="183"/>
      <c r="K10" s="184"/>
      <c r="L10" s="183"/>
      <c r="M10" s="183"/>
    </row>
    <row r="11" spans="1:13">
      <c r="B11" s="112" t="s">
        <v>42</v>
      </c>
      <c r="C11" s="163">
        <f>SUM('budget (11)'!D43)</f>
        <v>137417034</v>
      </c>
      <c r="D11" s="114">
        <f>C11/$D$3</f>
        <v>2329102.2711864407</v>
      </c>
      <c r="E11" s="179">
        <f>SUM('budget (11)'!E43)</f>
        <v>137416238</v>
      </c>
      <c r="F11" s="179">
        <v>0</v>
      </c>
      <c r="G11" s="127">
        <f t="shared" si="1"/>
        <v>137416238</v>
      </c>
      <c r="H11" s="177">
        <f>SUM('budget (11)'!I43)</f>
        <v>796</v>
      </c>
      <c r="I11" s="326">
        <f t="shared" si="0"/>
        <v>0</v>
      </c>
      <c r="J11" s="183"/>
      <c r="K11" s="184"/>
      <c r="L11" s="183"/>
      <c r="M11" s="183"/>
    </row>
    <row r="12" spans="1:13">
      <c r="B12" s="115" t="s">
        <v>43</v>
      </c>
      <c r="C12" s="165">
        <f>SUM('budget (11)'!D45:D46)</f>
        <v>281704919</v>
      </c>
      <c r="D12" s="117">
        <f>C12/$D$3</f>
        <v>4774659.6440677969</v>
      </c>
      <c r="E12" s="178">
        <f>1%*3515158425</f>
        <v>35151584.25</v>
      </c>
      <c r="F12" s="178">
        <v>0</v>
      </c>
      <c r="G12" s="131">
        <f t="shared" si="1"/>
        <v>35151584.25</v>
      </c>
      <c r="H12" s="178">
        <f>SUM('budget (11)'!I45:I46)</f>
        <v>281704919</v>
      </c>
      <c r="I12" s="327">
        <f t="shared" si="0"/>
        <v>-35151584.25</v>
      </c>
      <c r="J12" s="183"/>
      <c r="K12" s="184"/>
      <c r="L12" s="183"/>
      <c r="M12" s="183"/>
    </row>
    <row r="13" spans="1:13">
      <c r="B13" s="112" t="s">
        <v>44</v>
      </c>
      <c r="C13" s="163">
        <f>SUM('budget (11)'!D47)</f>
        <v>67334346</v>
      </c>
      <c r="D13" s="114">
        <f>C13/$D$3</f>
        <v>1141260.1016949152</v>
      </c>
      <c r="E13" s="179">
        <f>SUM('budget (11)'!E47)</f>
        <v>0</v>
      </c>
      <c r="F13" s="179">
        <v>0</v>
      </c>
      <c r="G13" s="127">
        <f t="shared" si="1"/>
        <v>0</v>
      </c>
      <c r="H13" s="179">
        <f>SUM('budget (11)'!I47)</f>
        <v>67334346</v>
      </c>
      <c r="I13" s="327">
        <f t="shared" si="0"/>
        <v>0</v>
      </c>
      <c r="J13" s="183"/>
      <c r="K13" s="184"/>
      <c r="L13" s="183"/>
      <c r="M13" s="183"/>
    </row>
    <row r="14" spans="1:13">
      <c r="A14">
        <v>1</v>
      </c>
      <c r="B14" s="115" t="s">
        <v>45</v>
      </c>
      <c r="C14" s="165">
        <f>SUM('budget (11)'!D48:D49)</f>
        <v>51531387.949999996</v>
      </c>
      <c r="D14" s="117">
        <f>C14/$D$3</f>
        <v>873413.35508474568</v>
      </c>
      <c r="E14" s="178">
        <f>SUM('budget (11)'!E48:E49)</f>
        <v>3839208.55</v>
      </c>
      <c r="F14" s="178">
        <v>1448261.01</v>
      </c>
      <c r="G14" s="131">
        <f t="shared" si="1"/>
        <v>2390947.54</v>
      </c>
      <c r="H14" s="178">
        <f>SUM('budget (11)'!I48:I49)</f>
        <v>47692179.399999999</v>
      </c>
      <c r="I14" s="327">
        <f t="shared" si="0"/>
        <v>0</v>
      </c>
      <c r="J14" s="183"/>
      <c r="K14" s="184"/>
      <c r="L14" s="183"/>
      <c r="M14" s="183"/>
    </row>
    <row r="15" spans="1:13">
      <c r="B15" s="112" t="s">
        <v>46</v>
      </c>
      <c r="C15" s="163">
        <f>SUM('budget (11)'!D50)</f>
        <v>19238385</v>
      </c>
      <c r="D15" s="114">
        <f>C15/$D$3</f>
        <v>326074.32203389832</v>
      </c>
      <c r="E15" s="179">
        <f>SUM('budget (11)'!E50)</f>
        <v>0</v>
      </c>
      <c r="F15" s="179">
        <v>0</v>
      </c>
      <c r="G15" s="127">
        <f t="shared" si="1"/>
        <v>0</v>
      </c>
      <c r="H15" s="179">
        <f>SUM('budget (11)'!I50)</f>
        <v>19238385</v>
      </c>
      <c r="I15" s="327">
        <f t="shared" si="0"/>
        <v>0</v>
      </c>
      <c r="J15" s="183"/>
      <c r="K15" s="184"/>
      <c r="L15" s="183"/>
      <c r="M15" s="183"/>
    </row>
    <row r="16" spans="1:13" ht="15" thickBot="1">
      <c r="B16" s="254" t="s">
        <v>47</v>
      </c>
      <c r="C16" s="261">
        <f>SUM(C11:C15)</f>
        <v>557226071.95000005</v>
      </c>
      <c r="D16" s="259">
        <f>SUM(D11:D15)</f>
        <v>9444509.6940677967</v>
      </c>
      <c r="E16" s="262">
        <f>SUM(E11:E15)</f>
        <v>176407030.80000001</v>
      </c>
      <c r="F16" s="262">
        <f>SUM(F11:F15)</f>
        <v>1448261.01</v>
      </c>
      <c r="G16" s="259">
        <f t="shared" si="1"/>
        <v>174958769.79000002</v>
      </c>
      <c r="H16" s="263">
        <f t="shared" ref="H16" si="2">SUM(H11:H15)</f>
        <v>415970625.39999998</v>
      </c>
      <c r="I16" s="325">
        <f t="shared" si="0"/>
        <v>-35151584.25</v>
      </c>
      <c r="J16" s="183"/>
      <c r="K16" s="184"/>
      <c r="L16" s="183"/>
      <c r="M16" s="183"/>
    </row>
    <row r="17" spans="1:13">
      <c r="B17" s="112" t="s">
        <v>48</v>
      </c>
      <c r="C17" s="163">
        <f>SUM('budget (11)'!D51:D52)</f>
        <v>15000000</v>
      </c>
      <c r="D17" s="114">
        <f>C17/$D$3</f>
        <v>254237.28813559323</v>
      </c>
      <c r="E17" s="179">
        <f>18740000</f>
        <v>18740000</v>
      </c>
      <c r="F17" s="179">
        <v>5211518.2699999996</v>
      </c>
      <c r="G17" s="127">
        <f>E17-F17</f>
        <v>13528481.73</v>
      </c>
      <c r="H17" s="177">
        <f>SUM('budget (11)'!I51:I52)</f>
        <v>5518278.3700000001</v>
      </c>
      <c r="I17" s="326">
        <f t="shared" si="0"/>
        <v>-9258278.370000001</v>
      </c>
      <c r="J17" s="183"/>
      <c r="K17" s="184"/>
      <c r="L17" s="183"/>
      <c r="M17" s="185"/>
    </row>
    <row r="18" spans="1:13">
      <c r="B18" s="115" t="s">
        <v>49</v>
      </c>
      <c r="C18" s="165">
        <f>SUM('budget (11)'!D4:D10)</f>
        <v>20789999.999999996</v>
      </c>
      <c r="D18" s="117">
        <f>C18/$D$3</f>
        <v>352372.88135593216</v>
      </c>
      <c r="E18" s="178">
        <f>SUM('budget (11)'!E4:E10)</f>
        <v>20727336.359999999</v>
      </c>
      <c r="F18" s="178">
        <v>12246486.57</v>
      </c>
      <c r="G18" s="131">
        <f t="shared" si="1"/>
        <v>8480849.7899999991</v>
      </c>
      <c r="H18" s="178">
        <f>SUM('budget (11)'!I4:I10)</f>
        <v>62663.64</v>
      </c>
      <c r="I18" s="327">
        <f t="shared" si="0"/>
        <v>0</v>
      </c>
      <c r="J18" s="183"/>
      <c r="K18" s="184"/>
      <c r="L18" s="183"/>
      <c r="M18" s="183"/>
    </row>
    <row r="19" spans="1:13">
      <c r="B19" s="112" t="s">
        <v>50</v>
      </c>
      <c r="C19" s="163">
        <f>SUM('budget (11)'!D54)</f>
        <v>192383847</v>
      </c>
      <c r="D19" s="114">
        <f>C19/$D$3</f>
        <v>3260743.1694915253</v>
      </c>
      <c r="E19" s="179">
        <f>SUM('budget (11)'!E54)</f>
        <v>0</v>
      </c>
      <c r="F19" s="179">
        <v>0</v>
      </c>
      <c r="G19" s="127">
        <f t="shared" si="1"/>
        <v>0</v>
      </c>
      <c r="H19" s="179">
        <f>SUM('budget (11)'!I54)</f>
        <v>192383847</v>
      </c>
      <c r="I19" s="327">
        <f t="shared" si="0"/>
        <v>0</v>
      </c>
      <c r="J19" s="183"/>
      <c r="K19" s="184"/>
      <c r="L19" s="183"/>
      <c r="M19" s="183"/>
    </row>
    <row r="20" spans="1:13">
      <c r="B20" s="115" t="s">
        <v>51</v>
      </c>
      <c r="C20" s="165">
        <f>SUM('budget (11)'!D53)</f>
        <v>19238385</v>
      </c>
      <c r="D20" s="117">
        <f>C20/$D$3</f>
        <v>326074.32203389832</v>
      </c>
      <c r="E20" s="178">
        <f>SUM('budget (11)'!E53)</f>
        <v>0</v>
      </c>
      <c r="F20" s="178">
        <v>0</v>
      </c>
      <c r="G20" s="131">
        <f t="shared" si="1"/>
        <v>0</v>
      </c>
      <c r="H20" s="178">
        <f>SUM('budget (11)'!I53)</f>
        <v>19238385</v>
      </c>
      <c r="I20" s="327">
        <f t="shared" si="0"/>
        <v>0</v>
      </c>
      <c r="J20" s="183"/>
      <c r="K20" s="184"/>
      <c r="L20" s="183"/>
      <c r="M20" s="183"/>
    </row>
    <row r="21" spans="1:13" ht="15" thickBot="1">
      <c r="B21" s="254" t="s">
        <v>52</v>
      </c>
      <c r="C21" s="261">
        <f>SUM(C17:C20)</f>
        <v>247412232</v>
      </c>
      <c r="D21" s="259">
        <f>SUM(D17:D20)</f>
        <v>4193427.661016949</v>
      </c>
      <c r="E21" s="262">
        <f>SUM(E17:E20)</f>
        <v>39467336.359999999</v>
      </c>
      <c r="F21" s="262">
        <f>SUM(F17:F20)</f>
        <v>17458004.84</v>
      </c>
      <c r="G21" s="259">
        <f t="shared" si="1"/>
        <v>22009331.52</v>
      </c>
      <c r="H21" s="263">
        <f t="shared" ref="H21" si="3">SUM(H17:H20)</f>
        <v>217203174.00999999</v>
      </c>
      <c r="I21" s="325">
        <f t="shared" si="0"/>
        <v>-9258278.3700000048</v>
      </c>
      <c r="J21" s="183"/>
      <c r="K21" s="184"/>
      <c r="L21" s="183"/>
      <c r="M21" s="183"/>
    </row>
    <row r="22" spans="1:13" ht="18.600000000000001" thickBot="1">
      <c r="B22" s="333" t="s">
        <v>229</v>
      </c>
      <c r="C22" s="331">
        <f>C5+C10+C16+C21</f>
        <v>2831861942.9499998</v>
      </c>
      <c r="D22" s="332">
        <f>D5+D10+D16+D21</f>
        <v>47997660.049999997</v>
      </c>
      <c r="E22" s="329">
        <f>E21+E16+E10+E5</f>
        <v>490716214.38999999</v>
      </c>
      <c r="F22" s="329">
        <f>F21+F16+F10+F5</f>
        <v>121917821.08000001</v>
      </c>
      <c r="G22" s="330">
        <f t="shared" si="1"/>
        <v>368798393.30999994</v>
      </c>
      <c r="H22" s="329">
        <f t="shared" ref="H22:I22" si="4">H21+H16+H10+H5</f>
        <v>2557326883.1799998</v>
      </c>
      <c r="I22" s="328">
        <f t="shared" si="4"/>
        <v>-216181154.62</v>
      </c>
      <c r="J22" s="183"/>
      <c r="K22" s="184"/>
      <c r="L22" s="183"/>
      <c r="M22" s="183"/>
    </row>
    <row r="23" spans="1:13" ht="15" thickBot="1">
      <c r="G23" s="320">
        <f>G17</f>
        <v>13528481.73</v>
      </c>
    </row>
    <row r="24" spans="1:13" ht="15" thickBot="1">
      <c r="F24" s="142">
        <v>160000000</v>
      </c>
      <c r="G24" s="142"/>
      <c r="H24" t="s">
        <v>230</v>
      </c>
      <c r="K24" s="186" t="s">
        <v>189</v>
      </c>
      <c r="L24" s="190">
        <v>2831861942.3920002</v>
      </c>
    </row>
    <row r="25" spans="1:13" ht="15" thickBot="1">
      <c r="F25" s="108">
        <f>F24-F22</f>
        <v>38082178.919999987</v>
      </c>
      <c r="G25" s="320">
        <f>E18-F18</f>
        <v>8480849.7899999991</v>
      </c>
      <c r="H25" t="s">
        <v>231</v>
      </c>
      <c r="K25" s="188" t="s">
        <v>190</v>
      </c>
      <c r="L25" s="189">
        <f>C22</f>
        <v>2831861942.9499998</v>
      </c>
    </row>
    <row r="26" spans="1:13" ht="15" thickBot="1">
      <c r="F26" s="320">
        <f>SUM(G23:G26)</f>
        <v>24400279.059999999</v>
      </c>
      <c r="G26" s="320">
        <f>E14-F14</f>
        <v>2390947.54</v>
      </c>
      <c r="H26" t="s">
        <v>232</v>
      </c>
      <c r="K26" s="187" t="s">
        <v>191</v>
      </c>
      <c r="L26" s="191">
        <f>L24-L25</f>
        <v>-0.55799961090087891</v>
      </c>
    </row>
    <row r="27" spans="1:13">
      <c r="E27" t="s">
        <v>233</v>
      </c>
      <c r="F27" s="108">
        <f>F25-F26</f>
        <v>13681899.859999988</v>
      </c>
    </row>
    <row r="28" spans="1:13">
      <c r="A28" s="192"/>
      <c r="B28" s="192"/>
      <c r="C28" s="192"/>
      <c r="D28" s="192"/>
      <c r="E28" s="192"/>
      <c r="F28" s="192"/>
      <c r="G28" s="192"/>
      <c r="H28" s="192"/>
      <c r="I28" s="192"/>
      <c r="J28" s="192"/>
      <c r="K28" s="192"/>
      <c r="L28" s="192"/>
      <c r="M28" s="192"/>
    </row>
    <row r="30" spans="1:13">
      <c r="B30" s="254" t="s">
        <v>47</v>
      </c>
    </row>
    <row r="31" spans="1:13">
      <c r="B31" s="112" t="s">
        <v>48</v>
      </c>
    </row>
    <row r="32" spans="1:13">
      <c r="B32" s="115" t="s">
        <v>49</v>
      </c>
    </row>
    <row r="33" spans="2:4">
      <c r="B33" s="112" t="s">
        <v>50</v>
      </c>
    </row>
    <row r="34" spans="2:4">
      <c r="B34" s="115" t="s">
        <v>51</v>
      </c>
    </row>
    <row r="35" spans="2:4">
      <c r="B35" s="254" t="s">
        <v>52</v>
      </c>
    </row>
    <row r="36" spans="2:4" ht="18.600000000000001" thickBot="1">
      <c r="B36" s="333" t="s">
        <v>229</v>
      </c>
    </row>
    <row r="38" spans="2:4" ht="15" thickBot="1"/>
    <row r="39" spans="2:4">
      <c r="B39" s="335" t="s">
        <v>234</v>
      </c>
      <c r="C39" s="336">
        <v>160000000</v>
      </c>
      <c r="D39" s="337"/>
    </row>
    <row r="40" spans="2:4">
      <c r="B40" s="112" t="s">
        <v>153</v>
      </c>
      <c r="C40" s="334">
        <f>F22+F26</f>
        <v>146318100.14000002</v>
      </c>
      <c r="D40" s="338">
        <f>C40/C39</f>
        <v>0.91448812587500006</v>
      </c>
    </row>
    <row r="41" spans="2:4" ht="15" thickBot="1">
      <c r="B41" s="339" t="s">
        <v>154</v>
      </c>
      <c r="C41" s="340">
        <f>C39-C40</f>
        <v>13681899.859999985</v>
      </c>
      <c r="D41" s="341">
        <f>C41/C39</f>
        <v>8.5511874124999901E-2</v>
      </c>
    </row>
  </sheetData>
  <mergeCells count="6">
    <mergeCell ref="J1:M2"/>
    <mergeCell ref="E3:E4"/>
    <mergeCell ref="G3:G4"/>
    <mergeCell ref="H3:H4"/>
    <mergeCell ref="I3:I4"/>
    <mergeCell ref="F3:F4"/>
  </mergeCells>
  <conditionalFormatting sqref="J6:J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J9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J12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J14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J18">
    <cfRule type="iconSet" priority="2">
      <iconSet iconSet="3Arrows">
        <cfvo type="percent" val="0"/>
        <cfvo type="percent" val="45"/>
        <cfvo type="percent" val="80"/>
      </iconSet>
    </cfRule>
  </conditionalFormatting>
  <conditionalFormatting sqref="J20">
    <cfRule type="iconSet" priority="1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ignoredErrors>
    <ignoredError sqref="C21 D11:D15 D17:D21 C6:C18 H17:I21 I9 I11 H16:I16 D5:D9 H10:I10 H12:I15 H5:I5 E5:E7 H7:I8 H6:I6 E9:E11 E13:E16 E18:E20" formulaRange="1"/>
    <ignoredError sqref="D16" formula="1"/>
    <ignoredError sqref="D10" formula="1" formulaRange="1"/>
  </ignoredError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C1F2C-2FCF-4737-81DC-26081BE8B355}">
  <dimension ref="B2:D31"/>
  <sheetViews>
    <sheetView workbookViewId="0">
      <selection activeCell="F10" sqref="F10"/>
    </sheetView>
  </sheetViews>
  <sheetFormatPr baseColWidth="10" defaultColWidth="11.44140625" defaultRowHeight="14.4"/>
  <cols>
    <col min="3" max="3" width="47.109375" bestFit="1" customWidth="1"/>
    <col min="4" max="4" width="21" bestFit="1" customWidth="1"/>
  </cols>
  <sheetData>
    <row r="2" spans="2:4" ht="21">
      <c r="B2" s="2130" t="s">
        <v>235</v>
      </c>
      <c r="C2" s="2130"/>
      <c r="D2" s="2130"/>
    </row>
    <row r="3" spans="2:4" ht="18.600000000000001" customHeight="1">
      <c r="B3" s="2132" t="s">
        <v>236</v>
      </c>
      <c r="C3" s="2132"/>
      <c r="D3" s="2132"/>
    </row>
    <row r="4" spans="2:4" ht="21">
      <c r="B4" s="2131" t="s">
        <v>237</v>
      </c>
      <c r="C4" s="2131"/>
      <c r="D4" s="2131"/>
    </row>
    <row r="5" spans="2:4" ht="21">
      <c r="B5" s="2133"/>
      <c r="C5" s="2133"/>
      <c r="D5" s="309"/>
    </row>
    <row r="6" spans="2:4" ht="21">
      <c r="B6" s="310"/>
      <c r="C6" s="311" t="s">
        <v>238</v>
      </c>
      <c r="D6" s="312">
        <v>45443</v>
      </c>
    </row>
    <row r="7" spans="2:4" ht="21">
      <c r="B7" s="2134"/>
      <c r="C7" s="2134"/>
      <c r="D7" s="309"/>
    </row>
    <row r="8" spans="2:4" ht="21">
      <c r="B8" s="2128" t="s">
        <v>239</v>
      </c>
      <c r="C8" s="2128"/>
      <c r="D8" s="310"/>
    </row>
    <row r="9" spans="2:4" ht="21">
      <c r="B9" s="307"/>
      <c r="C9" s="307" t="s">
        <v>240</v>
      </c>
      <c r="D9" s="307"/>
    </row>
    <row r="10" spans="2:4" ht="21">
      <c r="B10" s="309"/>
      <c r="C10" s="313" t="s">
        <v>241</v>
      </c>
      <c r="D10" s="314">
        <v>18577271.210000001</v>
      </c>
    </row>
    <row r="11" spans="2:4" ht="21">
      <c r="B11" s="309"/>
      <c r="C11" s="315" t="s">
        <v>242</v>
      </c>
      <c r="D11" s="316">
        <v>18577271.210000001</v>
      </c>
    </row>
    <row r="12" spans="2:4" ht="21">
      <c r="B12" s="307"/>
      <c r="C12" s="307" t="s">
        <v>243</v>
      </c>
      <c r="D12" s="307"/>
    </row>
    <row r="13" spans="2:4" ht="21">
      <c r="B13" s="309"/>
      <c r="C13" s="313" t="s">
        <v>244</v>
      </c>
      <c r="D13" s="314">
        <v>5732982.5099999998</v>
      </c>
    </row>
    <row r="14" spans="2:4" ht="21">
      <c r="B14" s="309"/>
      <c r="C14" s="313" t="s">
        <v>245</v>
      </c>
      <c r="D14" s="314">
        <v>201571.1</v>
      </c>
    </row>
    <row r="15" spans="2:4" ht="21">
      <c r="B15" s="309"/>
      <c r="C15" s="313" t="s">
        <v>246</v>
      </c>
      <c r="D15" s="314">
        <v>4442435.3099999996</v>
      </c>
    </row>
    <row r="16" spans="2:4" ht="21">
      <c r="B16" s="309"/>
      <c r="C16" s="313" t="s">
        <v>33</v>
      </c>
      <c r="D16" s="314">
        <v>94032039.840000004</v>
      </c>
    </row>
    <row r="17" spans="2:4" ht="21">
      <c r="B17" s="309"/>
      <c r="C17" s="315" t="s">
        <v>247</v>
      </c>
      <c r="D17" s="316">
        <v>104409028.76000001</v>
      </c>
    </row>
    <row r="18" spans="2:4" ht="21">
      <c r="B18" s="2129" t="s">
        <v>248</v>
      </c>
      <c r="C18" s="2129"/>
      <c r="D18" s="316">
        <v>122986299.97</v>
      </c>
    </row>
    <row r="19" spans="2:4" ht="21">
      <c r="B19" s="2133"/>
      <c r="C19" s="2133"/>
      <c r="D19" s="309"/>
    </row>
    <row r="20" spans="2:4" ht="21">
      <c r="B20" s="2128" t="s">
        <v>249</v>
      </c>
      <c r="C20" s="2128"/>
      <c r="D20" s="310"/>
    </row>
    <row r="21" spans="2:4" ht="21">
      <c r="B21" s="307"/>
      <c r="C21" s="307" t="s">
        <v>250</v>
      </c>
      <c r="D21" s="307"/>
    </row>
    <row r="22" spans="2:4" ht="21">
      <c r="B22" s="309"/>
      <c r="C22" s="313" t="s">
        <v>251</v>
      </c>
      <c r="D22" s="314">
        <v>1068478.8899999999</v>
      </c>
    </row>
    <row r="23" spans="2:4" ht="21">
      <c r="B23" s="309"/>
      <c r="C23" s="313" t="s">
        <v>252</v>
      </c>
      <c r="D23" s="314">
        <v>1028476.63</v>
      </c>
    </row>
    <row r="24" spans="2:4" ht="21">
      <c r="B24" s="309"/>
      <c r="C24" s="315" t="s">
        <v>253</v>
      </c>
      <c r="D24" s="316">
        <v>2096955.52</v>
      </c>
    </row>
    <row r="25" spans="2:4" ht="21">
      <c r="B25" s="2129" t="s">
        <v>254</v>
      </c>
      <c r="C25" s="2129"/>
      <c r="D25" s="316">
        <v>2096955.52</v>
      </c>
    </row>
    <row r="26" spans="2:4" ht="21">
      <c r="B26" s="2133"/>
      <c r="C26" s="2133"/>
      <c r="D26" s="309"/>
    </row>
    <row r="27" spans="2:4" ht="21">
      <c r="B27" s="309"/>
      <c r="C27" s="317" t="s">
        <v>255</v>
      </c>
      <c r="D27" s="318">
        <v>120889344.45</v>
      </c>
    </row>
    <row r="28" spans="2:4" ht="21">
      <c r="B28" s="2133"/>
      <c r="C28" s="2133"/>
      <c r="D28" s="309"/>
    </row>
    <row r="29" spans="2:4" ht="21">
      <c r="B29" s="2128" t="s">
        <v>256</v>
      </c>
      <c r="C29" s="2128"/>
      <c r="D29" s="310"/>
    </row>
    <row r="30" spans="2:4" ht="21">
      <c r="B30" s="309"/>
      <c r="C30" s="308" t="s">
        <v>257</v>
      </c>
      <c r="D30" s="319">
        <v>120889344.45</v>
      </c>
    </row>
    <row r="31" spans="2:4" ht="21">
      <c r="B31" s="2129" t="s">
        <v>258</v>
      </c>
      <c r="C31" s="2129"/>
      <c r="D31" s="316">
        <v>120889344.45</v>
      </c>
    </row>
  </sheetData>
  <mergeCells count="14">
    <mergeCell ref="B29:C29"/>
    <mergeCell ref="B31:C31"/>
    <mergeCell ref="B2:D2"/>
    <mergeCell ref="B4:D4"/>
    <mergeCell ref="B3:D3"/>
    <mergeCell ref="B18:C18"/>
    <mergeCell ref="B19:C19"/>
    <mergeCell ref="B20:C20"/>
    <mergeCell ref="B25:C25"/>
    <mergeCell ref="B26:C26"/>
    <mergeCell ref="B28:C28"/>
    <mergeCell ref="B5:C5"/>
    <mergeCell ref="B7:C7"/>
    <mergeCell ref="B8:C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9C786-4F94-45CF-8345-5A8818589243}">
  <dimension ref="A2:K29"/>
  <sheetViews>
    <sheetView showGridLines="0" topLeftCell="A16" zoomScale="108" workbookViewId="0">
      <selection activeCell="E29" sqref="E29"/>
    </sheetView>
  </sheetViews>
  <sheetFormatPr baseColWidth="10" defaultColWidth="11.44140625" defaultRowHeight="14.4"/>
  <cols>
    <col min="1" max="1" width="15.5546875" bestFit="1" customWidth="1"/>
    <col min="2" max="3" width="21.5546875" customWidth="1"/>
    <col min="4" max="4" width="16.6640625" customWidth="1"/>
    <col min="5" max="6" width="14.6640625" bestFit="1" customWidth="1"/>
    <col min="7" max="11" width="14.44140625" bestFit="1" customWidth="1"/>
  </cols>
  <sheetData>
    <row r="2" spans="2:11">
      <c r="D2">
        <v>59.9</v>
      </c>
    </row>
    <row r="3" spans="2:11">
      <c r="B3" s="142">
        <v>160000000</v>
      </c>
      <c r="C3" s="162">
        <f>B3-C4</f>
        <v>65967960.159999996</v>
      </c>
      <c r="D3" s="162">
        <f>C3-(SUM(D5:D8))</f>
        <v>41084982.207438283</v>
      </c>
    </row>
    <row r="4" spans="2:11" ht="15" thickBot="1">
      <c r="B4" s="284" t="s">
        <v>259</v>
      </c>
      <c r="C4" s="142">
        <v>94032039.840000004</v>
      </c>
      <c r="D4" s="142"/>
    </row>
    <row r="5" spans="2:11" ht="15.6" thickTop="1" thickBot="1">
      <c r="B5" s="284" t="s">
        <v>260</v>
      </c>
      <c r="C5" s="142"/>
      <c r="D5" s="162">
        <f>D10*$D$2</f>
        <v>9215810.2113617156</v>
      </c>
    </row>
    <row r="6" spans="2:11" ht="15.6" thickTop="1" thickBot="1">
      <c r="B6" s="285" t="s">
        <v>261</v>
      </c>
      <c r="C6" s="142"/>
      <c r="D6" s="162">
        <f t="shared" ref="D6:D8" si="0">D11*$D$2</f>
        <v>781278.0959999999</v>
      </c>
    </row>
    <row r="7" spans="2:11" ht="15.6" thickTop="1" thickBot="1">
      <c r="B7" s="285" t="s">
        <v>149</v>
      </c>
      <c r="C7" s="142"/>
      <c r="D7" s="162">
        <f t="shared" si="0"/>
        <v>11511123.645199999</v>
      </c>
    </row>
    <row r="8" spans="2:11" ht="15.6" thickTop="1" thickBot="1">
      <c r="B8" s="285" t="s">
        <v>262</v>
      </c>
      <c r="C8" s="142"/>
      <c r="D8" s="162">
        <f t="shared" si="0"/>
        <v>3374766</v>
      </c>
    </row>
    <row r="9" spans="2:11" ht="15" thickTop="1"/>
    <row r="10" spans="2:11">
      <c r="D10" s="142">
        <v>153853.25895428573</v>
      </c>
    </row>
    <row r="11" spans="2:11">
      <c r="D11" s="142">
        <v>13043.039999999999</v>
      </c>
    </row>
    <row r="12" spans="2:11">
      <c r="D12" s="142">
        <v>192172.348</v>
      </c>
    </row>
    <row r="13" spans="2:11">
      <c r="D13" s="142">
        <v>56340</v>
      </c>
    </row>
    <row r="16" spans="2:11" ht="27.6">
      <c r="B16" s="286"/>
      <c r="C16" s="287" t="s">
        <v>263</v>
      </c>
      <c r="D16" s="288" t="s">
        <v>264</v>
      </c>
      <c r="E16" s="287">
        <v>45444</v>
      </c>
      <c r="F16" s="287">
        <v>45474</v>
      </c>
      <c r="G16" s="287">
        <v>45505</v>
      </c>
      <c r="H16" s="287">
        <v>45536</v>
      </c>
      <c r="I16" s="287">
        <v>45566</v>
      </c>
      <c r="J16" s="287">
        <v>45597</v>
      </c>
      <c r="K16" s="287">
        <v>45627</v>
      </c>
    </row>
    <row r="17" spans="1:11">
      <c r="B17" s="289" t="s">
        <v>265</v>
      </c>
      <c r="C17" s="290">
        <v>160000000</v>
      </c>
      <c r="D17" s="291"/>
      <c r="E17" s="291"/>
      <c r="F17" s="291"/>
      <c r="G17" s="291"/>
      <c r="H17" s="291"/>
      <c r="I17" s="291"/>
      <c r="J17" s="291"/>
      <c r="K17" s="291"/>
    </row>
    <row r="18" spans="1:11">
      <c r="B18" s="289" t="s">
        <v>266</v>
      </c>
      <c r="D18" s="292">
        <f>C17-D19</f>
        <v>41084982.207438275</v>
      </c>
      <c r="E18" s="292">
        <f t="shared" ref="E18" si="1">D18-E19</f>
        <v>40084982.207438275</v>
      </c>
      <c r="F18" s="292">
        <f>E18-F19</f>
        <v>39084982.207438275</v>
      </c>
      <c r="G18" s="292">
        <f t="shared" ref="G18:K18" si="2">F18-G19</f>
        <v>38084982.207438275</v>
      </c>
      <c r="H18" s="292">
        <f t="shared" si="2"/>
        <v>37084982.207438275</v>
      </c>
      <c r="I18" s="292">
        <f t="shared" si="2"/>
        <v>36084982.207438275</v>
      </c>
      <c r="J18" s="292">
        <f t="shared" si="2"/>
        <v>35084982.207438275</v>
      </c>
      <c r="K18" s="292">
        <f t="shared" si="2"/>
        <v>34084982.207438275</v>
      </c>
    </row>
    <row r="19" spans="1:11">
      <c r="B19" s="289" t="s">
        <v>267</v>
      </c>
      <c r="C19" s="293"/>
      <c r="D19" s="290">
        <f>SUM(D21:D35)</f>
        <v>118915017.79256172</v>
      </c>
      <c r="E19" s="290">
        <f t="shared" ref="E19:K19" si="3">SUM(E21:E35)</f>
        <v>1000000</v>
      </c>
      <c r="F19" s="290">
        <f t="shared" si="3"/>
        <v>1000000</v>
      </c>
      <c r="G19" s="290">
        <f t="shared" si="3"/>
        <v>1000000</v>
      </c>
      <c r="H19" s="290">
        <f t="shared" si="3"/>
        <v>1000000</v>
      </c>
      <c r="I19" s="290">
        <f t="shared" si="3"/>
        <v>1000000</v>
      </c>
      <c r="J19" s="290">
        <f t="shared" si="3"/>
        <v>1000000</v>
      </c>
      <c r="K19" s="290">
        <f t="shared" si="3"/>
        <v>1000000</v>
      </c>
    </row>
    <row r="20" spans="1:11" ht="2.4" customHeight="1">
      <c r="B20" s="294"/>
      <c r="C20" s="295"/>
      <c r="D20" s="296"/>
      <c r="E20" s="296"/>
      <c r="F20" s="296"/>
      <c r="G20" s="296"/>
      <c r="H20" s="296"/>
      <c r="I20" s="296"/>
      <c r="J20" s="296"/>
      <c r="K20" s="296"/>
    </row>
    <row r="21" spans="1:11">
      <c r="A21" t="s">
        <v>268</v>
      </c>
      <c r="B21" s="297" t="s">
        <v>259</v>
      </c>
      <c r="C21" s="298"/>
      <c r="D21" s="299">
        <f>C4</f>
        <v>94032039.840000004</v>
      </c>
      <c r="E21" s="299"/>
      <c r="F21" s="299"/>
      <c r="G21" s="299"/>
      <c r="H21" s="299"/>
      <c r="I21" s="299"/>
      <c r="J21" s="299"/>
      <c r="K21" s="299"/>
    </row>
    <row r="22" spans="1:11">
      <c r="B22" s="297" t="s">
        <v>260</v>
      </c>
      <c r="C22" s="293"/>
      <c r="D22" s="300">
        <f>D5</f>
        <v>9215810.2113617156</v>
      </c>
      <c r="E22" s="300"/>
      <c r="F22" s="300"/>
      <c r="G22" s="300"/>
      <c r="H22" s="300"/>
      <c r="I22" s="300"/>
      <c r="J22" s="300"/>
      <c r="K22" s="300"/>
    </row>
    <row r="23" spans="1:11">
      <c r="B23" s="297" t="s">
        <v>261</v>
      </c>
      <c r="C23" s="298"/>
      <c r="D23" s="299">
        <f>D6</f>
        <v>781278.0959999999</v>
      </c>
      <c r="E23" s="299"/>
      <c r="F23" s="299"/>
      <c r="G23" s="299"/>
      <c r="H23" s="299"/>
      <c r="I23" s="299"/>
      <c r="J23" s="299"/>
      <c r="K23" s="299"/>
    </row>
    <row r="24" spans="1:11">
      <c r="B24" s="297" t="s">
        <v>149</v>
      </c>
      <c r="C24" s="293"/>
      <c r="D24" s="300">
        <f>D7</f>
        <v>11511123.645199999</v>
      </c>
      <c r="E24" s="300"/>
      <c r="F24" s="300"/>
      <c r="G24" s="300"/>
      <c r="H24" s="300"/>
      <c r="I24" s="300"/>
      <c r="J24" s="300"/>
      <c r="K24" s="300"/>
    </row>
    <row r="25" spans="1:11">
      <c r="B25" s="297" t="s">
        <v>262</v>
      </c>
      <c r="C25" s="298"/>
      <c r="D25" s="299">
        <f>D8</f>
        <v>3374766</v>
      </c>
      <c r="E25" s="299"/>
      <c r="F25" s="299"/>
      <c r="G25" s="299"/>
      <c r="H25" s="299"/>
      <c r="I25" s="299"/>
      <c r="J25" s="299"/>
      <c r="K25" s="299"/>
    </row>
    <row r="26" spans="1:11">
      <c r="B26" s="297"/>
      <c r="C26" s="298"/>
      <c r="D26" s="299"/>
      <c r="E26" s="299"/>
      <c r="F26" s="299"/>
      <c r="G26" s="299"/>
      <c r="H26" s="299"/>
      <c r="I26" s="299"/>
      <c r="J26" s="299"/>
      <c r="K26" s="299"/>
    </row>
    <row r="27" spans="1:11">
      <c r="B27" s="297"/>
      <c r="C27" s="293"/>
      <c r="D27" s="300"/>
      <c r="E27" s="300"/>
      <c r="F27" s="300"/>
      <c r="G27" s="300"/>
      <c r="H27" s="300"/>
      <c r="I27" s="300"/>
      <c r="J27" s="300"/>
      <c r="K27" s="300"/>
    </row>
    <row r="28" spans="1:11" ht="3.6" customHeight="1">
      <c r="B28" s="301"/>
      <c r="C28" s="302"/>
      <c r="D28" s="303"/>
      <c r="E28" s="303"/>
      <c r="F28" s="303"/>
      <c r="G28" s="303"/>
      <c r="H28" s="303"/>
      <c r="I28" s="303"/>
      <c r="J28" s="303"/>
      <c r="K28" s="303"/>
    </row>
    <row r="29" spans="1:11">
      <c r="A29" t="s">
        <v>269</v>
      </c>
      <c r="B29" s="304" t="s">
        <v>270</v>
      </c>
      <c r="C29" s="305"/>
      <c r="D29" s="306"/>
      <c r="E29" s="306">
        <v>1000000</v>
      </c>
      <c r="F29" s="306">
        <v>1000000</v>
      </c>
      <c r="G29" s="306">
        <v>1000000</v>
      </c>
      <c r="H29" s="306">
        <v>1000000</v>
      </c>
      <c r="I29" s="306">
        <v>1000000</v>
      </c>
      <c r="J29" s="306">
        <v>1000000</v>
      </c>
      <c r="K29" s="306">
        <v>1000000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C2D63-ED5C-40FD-A5AA-2668A3B69B07}">
  <dimension ref="B1:M57"/>
  <sheetViews>
    <sheetView showGridLines="0" zoomScale="90" zoomScaleNormal="90" workbookViewId="0">
      <selection activeCell="I55" sqref="I55"/>
    </sheetView>
  </sheetViews>
  <sheetFormatPr baseColWidth="10" defaultColWidth="11.44140625" defaultRowHeight="14.4"/>
  <cols>
    <col min="1" max="1" width="10.109375" customWidth="1"/>
    <col min="2" max="2" width="30.88671875" bestFit="1" customWidth="1"/>
    <col min="3" max="3" width="22.33203125" customWidth="1"/>
    <col min="4" max="4" width="18.5546875" customWidth="1"/>
    <col min="5" max="5" width="20.88671875" customWidth="1"/>
    <col min="6" max="6" width="20.6640625" customWidth="1"/>
    <col min="7" max="7" width="21.33203125" customWidth="1"/>
    <col min="8" max="8" width="22.33203125" customWidth="1"/>
    <col min="9" max="9" width="15.33203125" bestFit="1" customWidth="1"/>
    <col min="10" max="10" width="16.109375" customWidth="1"/>
    <col min="11" max="11" width="18.5546875" customWidth="1"/>
    <col min="12" max="12" width="17" customWidth="1"/>
    <col min="13" max="15" width="15.44140625" bestFit="1" customWidth="1"/>
    <col min="16" max="16" width="14.44140625" bestFit="1" customWidth="1"/>
  </cols>
  <sheetData>
    <row r="1" spans="2:13" ht="14.4" customHeight="1">
      <c r="J1" s="2109" t="s">
        <v>185</v>
      </c>
      <c r="K1" s="2109"/>
      <c r="L1" s="2109"/>
      <c r="M1" s="2109"/>
    </row>
    <row r="2" spans="2:13" ht="15" thickBot="1">
      <c r="E2" s="181"/>
      <c r="F2" s="181"/>
      <c r="G2" s="181"/>
      <c r="H2" s="181"/>
      <c r="I2" s="181"/>
      <c r="J2" s="2109"/>
      <c r="K2" s="2109"/>
      <c r="L2" s="2109"/>
      <c r="M2" s="2109"/>
    </row>
    <row r="3" spans="2:13" ht="15.6">
      <c r="B3" s="160" t="s">
        <v>226</v>
      </c>
      <c r="C3" s="62"/>
      <c r="D3" s="141">
        <v>59</v>
      </c>
      <c r="E3" s="2105" t="s">
        <v>188</v>
      </c>
      <c r="F3" s="2105" t="s">
        <v>145</v>
      </c>
      <c r="G3" s="2107" t="s">
        <v>147</v>
      </c>
      <c r="H3" s="2105" t="s">
        <v>146</v>
      </c>
      <c r="I3" s="2105"/>
      <c r="J3" s="183"/>
      <c r="K3" s="183"/>
      <c r="L3" s="183"/>
      <c r="M3" s="183"/>
    </row>
    <row r="4" spans="2:13" ht="15" thickBot="1">
      <c r="B4" s="25" t="s">
        <v>29</v>
      </c>
      <c r="C4" s="25" t="s">
        <v>30</v>
      </c>
      <c r="D4" s="65" t="s">
        <v>31</v>
      </c>
      <c r="E4" s="2106"/>
      <c r="F4" s="2106"/>
      <c r="G4" s="2108"/>
      <c r="H4" s="2106"/>
      <c r="I4" s="2106"/>
      <c r="J4" s="183"/>
      <c r="K4" s="183"/>
      <c r="L4" s="183"/>
      <c r="M4" s="183"/>
    </row>
    <row r="5" spans="2:13" ht="15" thickBot="1">
      <c r="B5" s="254" t="s">
        <v>33</v>
      </c>
      <c r="C5" s="256">
        <f>SUM('budget (11)'!D2:D3)</f>
        <v>103385169</v>
      </c>
      <c r="D5" s="257">
        <f>C5/D3</f>
        <v>1752291</v>
      </c>
      <c r="E5" s="258">
        <f>SUM('budget (11)'!F2:F3)</f>
        <v>94032039.840000004</v>
      </c>
      <c r="F5" s="258">
        <f>SUM('budget (11)'!E2:E3)</f>
        <v>94032039.840000004</v>
      </c>
      <c r="G5" s="259">
        <f t="shared" ref="G5:G22" si="0">F5-E5</f>
        <v>0</v>
      </c>
      <c r="H5" s="260">
        <f>SUM('budget (11)'!I2:I3)</f>
        <v>9353129.1600000001</v>
      </c>
      <c r="I5" s="264">
        <f>C5-(F5+H5)</f>
        <v>0</v>
      </c>
      <c r="J5" s="183"/>
      <c r="K5" s="183"/>
      <c r="L5" s="183"/>
      <c r="M5" s="183"/>
    </row>
    <row r="6" spans="2:13">
      <c r="B6" s="115" t="s">
        <v>35</v>
      </c>
      <c r="C6" s="116">
        <f>SUM('budget (11)'!D11:D24)</f>
        <v>451758999.99999994</v>
      </c>
      <c r="D6" s="117">
        <f>C6/$D$3</f>
        <v>7656932.20338983</v>
      </c>
      <c r="E6" s="132">
        <f>SUM('budget (11)'!F11:F24)</f>
        <v>5732982.5099999998</v>
      </c>
      <c r="F6" s="132">
        <f>SUM('budget (11)'!E11:E24)</f>
        <v>9038515.3900000006</v>
      </c>
      <c r="G6" s="125">
        <f t="shared" si="0"/>
        <v>3305532.8800000008</v>
      </c>
      <c r="H6" s="173">
        <f>SUM('budget (11)'!I11:I24)</f>
        <v>442720484.60999995</v>
      </c>
      <c r="I6" s="265">
        <f t="shared" ref="I6:I21" si="1">C6-(F6+H6)</f>
        <v>0</v>
      </c>
      <c r="J6" s="183"/>
      <c r="K6" s="184"/>
      <c r="L6" s="183"/>
      <c r="M6" s="183"/>
    </row>
    <row r="7" spans="2:13">
      <c r="B7" s="112" t="s">
        <v>38</v>
      </c>
      <c r="C7" s="113">
        <f>SUM('budget (11)'!D25:D39)</f>
        <v>1265953920</v>
      </c>
      <c r="D7" s="114">
        <f>C7/$D$3</f>
        <v>21456846.101694915</v>
      </c>
      <c r="E7" s="133">
        <f>SUM('budget (11)'!F25:F39)</f>
        <v>0</v>
      </c>
      <c r="F7" s="133">
        <f>SUM('budget (11)'!E25:E39)</f>
        <v>0</v>
      </c>
      <c r="G7" s="127">
        <f t="shared" si="0"/>
        <v>0</v>
      </c>
      <c r="H7" s="133">
        <f>SUM('budget (11)'!I25:I39)</f>
        <v>1265953920</v>
      </c>
      <c r="I7" s="266">
        <f t="shared" si="1"/>
        <v>0</v>
      </c>
      <c r="J7" s="183"/>
      <c r="K7" s="184"/>
      <c r="L7" s="183"/>
      <c r="M7" s="183"/>
    </row>
    <row r="8" spans="2:13">
      <c r="B8" s="115" t="s">
        <v>148</v>
      </c>
      <c r="C8" s="118">
        <f>SUM('budget (11)'!D40:D41)</f>
        <v>171771292</v>
      </c>
      <c r="D8" s="117">
        <f>C8/$D$3</f>
        <v>2911377.8305084747</v>
      </c>
      <c r="E8" s="134">
        <f>SUM('budget (11)'!F40:F41)</f>
        <v>0</v>
      </c>
      <c r="F8" s="134">
        <f>SUM('budget (11)'!E40:E41)</f>
        <v>0</v>
      </c>
      <c r="G8" s="129">
        <f t="shared" si="0"/>
        <v>0</v>
      </c>
      <c r="H8" s="134">
        <f>SUM('budget (11)'!I40:I41)</f>
        <v>171771292</v>
      </c>
      <c r="I8" s="267">
        <f t="shared" si="1"/>
        <v>0</v>
      </c>
      <c r="J8" s="183"/>
      <c r="K8" s="184"/>
      <c r="L8" s="183"/>
      <c r="M8" s="183"/>
    </row>
    <row r="9" spans="2:13">
      <c r="B9" s="112" t="s">
        <v>40</v>
      </c>
      <c r="C9" s="113">
        <f>SUM('budget (11)'!D42)</f>
        <v>34354258</v>
      </c>
      <c r="D9" s="114">
        <f>C9/$D$3</f>
        <v>582275.55932203389</v>
      </c>
      <c r="E9" s="133">
        <f>SUM('budget (11)'!F42)</f>
        <v>0</v>
      </c>
      <c r="F9" s="133">
        <f>SUM('budget (11)'!E42)</f>
        <v>0</v>
      </c>
      <c r="G9" s="127">
        <f t="shared" si="0"/>
        <v>0</v>
      </c>
      <c r="H9" s="133">
        <f>SUM('budget (11)'!I42)</f>
        <v>34354258</v>
      </c>
      <c r="I9" s="266">
        <f t="shared" si="1"/>
        <v>0</v>
      </c>
      <c r="J9" s="183"/>
      <c r="K9" s="184"/>
      <c r="L9" s="183"/>
      <c r="M9" s="183"/>
    </row>
    <row r="10" spans="2:13" ht="15" thickBot="1">
      <c r="B10" s="254" t="s">
        <v>41</v>
      </c>
      <c r="C10" s="261">
        <f>SUM(C6:C9)</f>
        <v>1923838470</v>
      </c>
      <c r="D10" s="259">
        <f>SUM(D6:D9)</f>
        <v>32607431.694915254</v>
      </c>
      <c r="E10" s="262">
        <f>SUM(E6:E9)</f>
        <v>5732982.5099999998</v>
      </c>
      <c r="F10" s="262">
        <f>SUM(F6:F9)</f>
        <v>9038515.3900000006</v>
      </c>
      <c r="G10" s="259">
        <f t="shared" si="0"/>
        <v>3305532.8800000008</v>
      </c>
      <c r="H10" s="263">
        <f>SUM(H6:H9)</f>
        <v>1914799954.6099999</v>
      </c>
      <c r="I10" s="268">
        <f t="shared" si="1"/>
        <v>0</v>
      </c>
      <c r="J10" s="183"/>
      <c r="K10" s="184"/>
      <c r="L10" s="183"/>
      <c r="M10" s="183"/>
    </row>
    <row r="11" spans="2:13">
      <c r="B11" s="112" t="s">
        <v>42</v>
      </c>
      <c r="C11" s="163">
        <f>SUM('budget (11)'!D43)</f>
        <v>137417034</v>
      </c>
      <c r="D11" s="114">
        <f>C11/$D$3</f>
        <v>2329102.2711864407</v>
      </c>
      <c r="E11" s="179">
        <f>SUM('budget (11)'!F43)</f>
        <v>0</v>
      </c>
      <c r="F11" s="179">
        <f>SUM('budget (11)'!E43)</f>
        <v>137416238</v>
      </c>
      <c r="G11" s="127">
        <f t="shared" si="0"/>
        <v>137416238</v>
      </c>
      <c r="H11" s="177">
        <f>SUM('budget (11)'!I43)</f>
        <v>796</v>
      </c>
      <c r="I11" s="269">
        <f t="shared" si="1"/>
        <v>0</v>
      </c>
      <c r="J11" s="183"/>
      <c r="K11" s="184"/>
      <c r="L11" s="183"/>
      <c r="M11" s="183"/>
    </row>
    <row r="12" spans="2:13">
      <c r="B12" s="115" t="s">
        <v>43</v>
      </c>
      <c r="C12" s="165">
        <f>SUM('budget (11)'!D45:D46)</f>
        <v>281704919</v>
      </c>
      <c r="D12" s="117">
        <f>C12/$D$3</f>
        <v>4774659.6440677969</v>
      </c>
      <c r="E12" s="178">
        <f>SUM('budget (11)'!F45:F46)</f>
        <v>0</v>
      </c>
      <c r="F12" s="178">
        <f>SUM('budget (11)'!E45:E46)</f>
        <v>0</v>
      </c>
      <c r="G12" s="131">
        <f t="shared" si="0"/>
        <v>0</v>
      </c>
      <c r="H12" s="178">
        <f>SUM('budget (11)'!I45:I46)</f>
        <v>281704919</v>
      </c>
      <c r="I12" s="270">
        <f t="shared" si="1"/>
        <v>0</v>
      </c>
      <c r="J12" s="183"/>
      <c r="K12" s="184"/>
      <c r="L12" s="183"/>
      <c r="M12" s="183"/>
    </row>
    <row r="13" spans="2:13">
      <c r="B13" s="112" t="s">
        <v>44</v>
      </c>
      <c r="C13" s="163">
        <f>SUM('budget (11)'!D47)</f>
        <v>67334346</v>
      </c>
      <c r="D13" s="114">
        <f>C13/$D$3</f>
        <v>1141260.1016949152</v>
      </c>
      <c r="E13" s="179">
        <f>SUM('budget (11)'!F47)</f>
        <v>0</v>
      </c>
      <c r="F13" s="179">
        <f>SUM('budget (11)'!E47)</f>
        <v>0</v>
      </c>
      <c r="G13" s="127">
        <f t="shared" si="0"/>
        <v>0</v>
      </c>
      <c r="H13" s="179">
        <f>SUM('budget (11)'!I47)</f>
        <v>67334346</v>
      </c>
      <c r="I13" s="271">
        <f t="shared" si="1"/>
        <v>0</v>
      </c>
      <c r="J13" s="183"/>
      <c r="K13" s="184"/>
      <c r="L13" s="183"/>
      <c r="M13" s="183"/>
    </row>
    <row r="14" spans="2:13">
      <c r="B14" s="115" t="s">
        <v>45</v>
      </c>
      <c r="C14" s="165">
        <f>SUM('budget (11)'!D48:D49)</f>
        <v>51531387.949999996</v>
      </c>
      <c r="D14" s="117">
        <f>C14/$D$3</f>
        <v>873413.35508474568</v>
      </c>
      <c r="E14" s="178">
        <f>SUM('budget (11)'!F48:F49)</f>
        <v>0</v>
      </c>
      <c r="F14" s="178">
        <f>SUM('budget (11)'!E48:E49)</f>
        <v>3839208.55</v>
      </c>
      <c r="G14" s="131">
        <f t="shared" si="0"/>
        <v>3839208.55</v>
      </c>
      <c r="H14" s="178">
        <f>SUM('budget (11)'!I48:I49)</f>
        <v>47692179.399999999</v>
      </c>
      <c r="I14" s="270">
        <f t="shared" si="1"/>
        <v>0</v>
      </c>
      <c r="J14" s="183"/>
      <c r="K14" s="184"/>
      <c r="L14" s="183"/>
      <c r="M14" s="183"/>
    </row>
    <row r="15" spans="2:13">
      <c r="B15" s="112" t="s">
        <v>46</v>
      </c>
      <c r="C15" s="163">
        <f>SUM('budget (11)'!D50)</f>
        <v>19238385</v>
      </c>
      <c r="D15" s="114">
        <f>C15/$D$3</f>
        <v>326074.32203389832</v>
      </c>
      <c r="E15" s="179">
        <f>SUM('budget (11)'!F50)</f>
        <v>0</v>
      </c>
      <c r="F15" s="179">
        <f>SUM('budget (11)'!E50)</f>
        <v>0</v>
      </c>
      <c r="G15" s="127">
        <f t="shared" si="0"/>
        <v>0</v>
      </c>
      <c r="H15" s="179">
        <f>SUM('budget (11)'!I50)</f>
        <v>19238385</v>
      </c>
      <c r="I15" s="271">
        <f t="shared" si="1"/>
        <v>0</v>
      </c>
      <c r="J15" s="183"/>
      <c r="K15" s="184"/>
      <c r="L15" s="183"/>
      <c r="M15" s="183"/>
    </row>
    <row r="16" spans="2:13" ht="15" thickBot="1">
      <c r="B16" s="254" t="s">
        <v>47</v>
      </c>
      <c r="C16" s="261">
        <f>SUM(C11:C15)</f>
        <v>557226071.95000005</v>
      </c>
      <c r="D16" s="259">
        <f>SUM(D11:D15)</f>
        <v>9444509.6940677967</v>
      </c>
      <c r="E16" s="262">
        <f>SUM(E11:E15)</f>
        <v>0</v>
      </c>
      <c r="F16" s="262">
        <f>SUM(F11:F15)</f>
        <v>141255446.55000001</v>
      </c>
      <c r="G16" s="259">
        <f t="shared" si="0"/>
        <v>141255446.55000001</v>
      </c>
      <c r="H16" s="263">
        <f t="shared" ref="H16" si="2">SUM(H11:H15)</f>
        <v>415970625.39999998</v>
      </c>
      <c r="I16" s="268">
        <f t="shared" si="1"/>
        <v>0</v>
      </c>
      <c r="J16" s="183"/>
      <c r="K16" s="184"/>
      <c r="L16" s="183"/>
      <c r="M16" s="183"/>
    </row>
    <row r="17" spans="2:13">
      <c r="B17" s="112" t="s">
        <v>48</v>
      </c>
      <c r="C17" s="163">
        <f>SUM('budget (11)'!D51:D52)</f>
        <v>15000000</v>
      </c>
      <c r="D17" s="114">
        <f>C17/$D$3</f>
        <v>254237.28813559323</v>
      </c>
      <c r="E17" s="179">
        <f>SUM('budget (11)'!F51:F52)</f>
        <v>4644005.42</v>
      </c>
      <c r="F17" s="179">
        <f>SUM('budget (11)'!E51:E52)</f>
        <v>9481721.6300000008</v>
      </c>
      <c r="G17" s="127">
        <f t="shared" si="0"/>
        <v>4837716.2100000009</v>
      </c>
      <c r="H17" s="177">
        <f>SUM('budget (11)'!I51:I52)</f>
        <v>5518278.3700000001</v>
      </c>
      <c r="I17" s="269">
        <f t="shared" si="1"/>
        <v>0</v>
      </c>
      <c r="J17" s="183"/>
      <c r="K17" s="184"/>
      <c r="L17" s="183"/>
      <c r="M17" s="185"/>
    </row>
    <row r="18" spans="2:13">
      <c r="B18" s="115" t="s">
        <v>49</v>
      </c>
      <c r="C18" s="165">
        <f>SUM('budget (11)'!D4:D10)</f>
        <v>20789999.999999996</v>
      </c>
      <c r="D18" s="117">
        <f>C18/$D$3</f>
        <v>352372.88135593216</v>
      </c>
      <c r="E18" s="178">
        <f>SUM('budget (11)'!F4:F10)</f>
        <v>0</v>
      </c>
      <c r="F18" s="178">
        <f>SUM('budget (11)'!E4:E10)</f>
        <v>20727336.359999999</v>
      </c>
      <c r="G18" s="131">
        <f t="shared" si="0"/>
        <v>20727336.359999999</v>
      </c>
      <c r="H18" s="178">
        <f>SUM('budget (11)'!I4:I10)</f>
        <v>62663.64</v>
      </c>
      <c r="I18" s="270">
        <f t="shared" si="1"/>
        <v>0</v>
      </c>
      <c r="J18" s="183"/>
      <c r="K18" s="184"/>
      <c r="L18" s="183"/>
      <c r="M18" s="183"/>
    </row>
    <row r="19" spans="2:13">
      <c r="B19" s="112" t="s">
        <v>50</v>
      </c>
      <c r="C19" s="163">
        <f>SUM('budget (11)'!D54)</f>
        <v>192383847</v>
      </c>
      <c r="D19" s="114">
        <f>C19/$D$3</f>
        <v>3260743.1694915253</v>
      </c>
      <c r="E19" s="179">
        <f>SUM('budget (11)'!F54)</f>
        <v>0</v>
      </c>
      <c r="F19" s="179">
        <f>SUM('budget (11)'!E54)</f>
        <v>0</v>
      </c>
      <c r="G19" s="127">
        <f t="shared" si="0"/>
        <v>0</v>
      </c>
      <c r="H19" s="179">
        <f>SUM('budget (11)'!I54)</f>
        <v>192383847</v>
      </c>
      <c r="I19" s="271">
        <f t="shared" si="1"/>
        <v>0</v>
      </c>
      <c r="J19" s="183"/>
      <c r="K19" s="184"/>
      <c r="L19" s="183"/>
      <c r="M19" s="183"/>
    </row>
    <row r="20" spans="2:13">
      <c r="B20" s="115" t="s">
        <v>51</v>
      </c>
      <c r="C20" s="165">
        <f>SUM('budget (11)'!D53)</f>
        <v>19238385</v>
      </c>
      <c r="D20" s="117">
        <f>C20/$D$3</f>
        <v>326074.32203389832</v>
      </c>
      <c r="E20" s="178">
        <f>SUM('budget (11)'!F53)</f>
        <v>0</v>
      </c>
      <c r="F20" s="178">
        <f>SUM('budget (11)'!E53)</f>
        <v>0</v>
      </c>
      <c r="G20" s="131">
        <f t="shared" si="0"/>
        <v>0</v>
      </c>
      <c r="H20" s="178">
        <f>SUM('budget (11)'!I53)</f>
        <v>19238385</v>
      </c>
      <c r="I20" s="270">
        <f t="shared" si="1"/>
        <v>0</v>
      </c>
      <c r="J20" s="183"/>
      <c r="K20" s="184"/>
      <c r="L20" s="183"/>
      <c r="M20" s="183"/>
    </row>
    <row r="21" spans="2:13" ht="15" thickBot="1">
      <c r="B21" s="254" t="s">
        <v>52</v>
      </c>
      <c r="C21" s="261">
        <f>SUM(C17:C20)</f>
        <v>247412232</v>
      </c>
      <c r="D21" s="259">
        <f>SUM(D17:D20)</f>
        <v>4193427.661016949</v>
      </c>
      <c r="E21" s="263">
        <f>SUM(E17:E20)</f>
        <v>4644005.42</v>
      </c>
      <c r="F21" s="262">
        <f>SUM(F17:F20)</f>
        <v>30209057.990000002</v>
      </c>
      <c r="G21" s="259">
        <f t="shared" si="0"/>
        <v>25565052.57</v>
      </c>
      <c r="H21" s="263">
        <f t="shared" ref="H21" si="3">SUM(H17:H20)</f>
        <v>217203174.00999999</v>
      </c>
      <c r="I21" s="268">
        <f t="shared" si="1"/>
        <v>0</v>
      </c>
      <c r="J21" s="183"/>
      <c r="K21" s="184"/>
      <c r="L21" s="183"/>
      <c r="M21" s="183"/>
    </row>
    <row r="22" spans="2:13" ht="18.600000000000001" thickBot="1">
      <c r="B22" s="153" t="s">
        <v>53</v>
      </c>
      <c r="C22" s="155">
        <f>C5+C10+C16+C21</f>
        <v>2831861942.9499998</v>
      </c>
      <c r="D22" s="156">
        <f>D5+D10+D16+D21</f>
        <v>47997660.049999997</v>
      </c>
      <c r="E22" s="90">
        <f>E21+E16+E10+E5</f>
        <v>104409027.77000001</v>
      </c>
      <c r="F22" s="90">
        <f>F21+F16+F10+F5</f>
        <v>274535059.76999998</v>
      </c>
      <c r="G22" s="122">
        <f t="shared" si="0"/>
        <v>170126031.99999997</v>
      </c>
      <c r="H22" s="90">
        <f t="shared" ref="H22:I22" si="4">H21+H16+H10+H5</f>
        <v>2557326883.1799998</v>
      </c>
      <c r="I22" s="272">
        <f t="shared" si="4"/>
        <v>0</v>
      </c>
      <c r="J22" s="183"/>
      <c r="K22" s="184"/>
      <c r="L22" s="183"/>
      <c r="M22" s="183"/>
    </row>
    <row r="23" spans="2:13" ht="18.600000000000001" thickBot="1">
      <c r="H23" s="90">
        <f>'PRESENTACIÓN ABRIL 24 v1'!I22</f>
        <v>2557648704.4099998</v>
      </c>
    </row>
    <row r="24" spans="2:13" ht="15" thickBot="1">
      <c r="K24" s="186" t="s">
        <v>189</v>
      </c>
      <c r="L24" s="190">
        <v>2831861942.3920002</v>
      </c>
    </row>
    <row r="25" spans="2:13" ht="15" thickBot="1">
      <c r="K25" s="188" t="s">
        <v>190</v>
      </c>
      <c r="L25" s="189">
        <f>C22</f>
        <v>2831861942.9499998</v>
      </c>
    </row>
    <row r="26" spans="2:13" ht="15" thickBot="1">
      <c r="K26" s="187" t="s">
        <v>191</v>
      </c>
      <c r="L26" s="191">
        <f>L24-L25</f>
        <v>-0.55799961090087891</v>
      </c>
    </row>
    <row r="28" spans="2:13">
      <c r="B28" s="192"/>
      <c r="C28" s="192"/>
      <c r="D28" s="192"/>
      <c r="E28" s="192"/>
      <c r="F28" s="192"/>
      <c r="G28" s="192"/>
      <c r="H28" s="192"/>
      <c r="I28" s="192"/>
      <c r="J28" s="192"/>
      <c r="K28" s="192"/>
      <c r="L28" s="192"/>
      <c r="M28" s="192"/>
    </row>
    <row r="29" spans="2:13">
      <c r="E29" s="143"/>
    </row>
    <row r="30" spans="2:13" ht="18.600000000000001" thickBot="1">
      <c r="B30" t="s">
        <v>152</v>
      </c>
      <c r="C30" s="90">
        <v>160000000</v>
      </c>
      <c r="K30" s="159"/>
    </row>
    <row r="31" spans="2:13">
      <c r="B31" t="s">
        <v>153</v>
      </c>
      <c r="C31" s="108"/>
    </row>
    <row r="32" spans="2:13">
      <c r="B32" t="s">
        <v>154</v>
      </c>
      <c r="C32" s="161">
        <f>C30-C31</f>
        <v>160000000</v>
      </c>
      <c r="D32" s="108"/>
    </row>
    <row r="34" spans="2:12">
      <c r="B34" s="149" t="s">
        <v>29</v>
      </c>
      <c r="C34" s="151" t="s">
        <v>155</v>
      </c>
      <c r="D34" s="151" t="s">
        <v>156</v>
      </c>
      <c r="E34" s="151" t="s">
        <v>157</v>
      </c>
      <c r="F34" s="151" t="s">
        <v>158</v>
      </c>
      <c r="G34" s="151" t="s">
        <v>159</v>
      </c>
      <c r="H34" s="151" t="s">
        <v>160</v>
      </c>
      <c r="I34" s="151" t="s">
        <v>161</v>
      </c>
      <c r="J34" s="151" t="s">
        <v>162</v>
      </c>
      <c r="K34" s="151" t="s">
        <v>163</v>
      </c>
      <c r="L34" s="151" t="s">
        <v>164</v>
      </c>
    </row>
    <row r="35" spans="2:12">
      <c r="B35" s="136" t="s">
        <v>165</v>
      </c>
      <c r="C35" s="145">
        <v>1000000</v>
      </c>
      <c r="D35" s="145">
        <v>1000000</v>
      </c>
      <c r="E35" s="145">
        <v>1000000</v>
      </c>
      <c r="F35" s="145">
        <v>1000000</v>
      </c>
      <c r="G35" s="145">
        <v>1000000</v>
      </c>
      <c r="H35" s="145">
        <v>1000000</v>
      </c>
      <c r="I35" s="145">
        <v>1000000</v>
      </c>
      <c r="J35" s="145">
        <v>1000000</v>
      </c>
      <c r="K35" s="145">
        <v>1000000</v>
      </c>
      <c r="L35" s="144">
        <f>SUM(C35:K35)</f>
        <v>9000000</v>
      </c>
    </row>
    <row r="36" spans="2:12">
      <c r="B36" s="136" t="s">
        <v>166</v>
      </c>
      <c r="C36" s="145">
        <v>500000</v>
      </c>
      <c r="D36" s="145">
        <v>500000</v>
      </c>
      <c r="E36" s="145">
        <v>500000</v>
      </c>
      <c r="F36" s="145">
        <v>500000</v>
      </c>
      <c r="G36" s="145">
        <v>500000</v>
      </c>
      <c r="H36" s="145">
        <v>500000</v>
      </c>
      <c r="I36" s="145">
        <v>500000</v>
      </c>
      <c r="J36" s="145">
        <v>500000</v>
      </c>
      <c r="K36" s="145">
        <v>500000</v>
      </c>
      <c r="L36" s="144">
        <f>SUM(C36:K36)</f>
        <v>4500000</v>
      </c>
    </row>
    <row r="37" spans="2:12">
      <c r="B37" s="136" t="s">
        <v>167</v>
      </c>
      <c r="C37" s="136"/>
      <c r="D37" s="136"/>
      <c r="E37" s="144" t="s">
        <v>18</v>
      </c>
      <c r="F37" s="144">
        <v>350000</v>
      </c>
      <c r="G37" s="144">
        <v>350000</v>
      </c>
      <c r="H37" s="144">
        <v>350000</v>
      </c>
      <c r="I37" s="144">
        <v>350000</v>
      </c>
      <c r="J37" s="144">
        <v>350000</v>
      </c>
      <c r="K37" s="144">
        <v>350000</v>
      </c>
      <c r="L37" s="144">
        <f>SUM(C37:K37)</f>
        <v>2100000</v>
      </c>
    </row>
    <row r="38" spans="2:12">
      <c r="B38" s="136"/>
      <c r="C38" s="146">
        <f t="shared" ref="C38:H38" si="5">SUM(C35:C37)</f>
        <v>1500000</v>
      </c>
      <c r="D38" s="146">
        <f t="shared" si="5"/>
        <v>1500000</v>
      </c>
      <c r="E38" s="146">
        <f t="shared" si="5"/>
        <v>1500000</v>
      </c>
      <c r="F38" s="146">
        <f t="shared" si="5"/>
        <v>1850000</v>
      </c>
      <c r="G38" s="146">
        <f t="shared" si="5"/>
        <v>1850000</v>
      </c>
      <c r="H38" s="146">
        <f t="shared" si="5"/>
        <v>1850000</v>
      </c>
      <c r="I38" s="146">
        <f>SUM(I35:I37)</f>
        <v>1850000</v>
      </c>
      <c r="J38" s="146">
        <f>SUM(J35:J37)</f>
        <v>1850000</v>
      </c>
      <c r="K38" s="146">
        <f>SUM(K35:K37)</f>
        <v>1850000</v>
      </c>
      <c r="L38" s="144"/>
    </row>
    <row r="39" spans="2:12">
      <c r="B39" s="147" t="s">
        <v>168</v>
      </c>
      <c r="C39" s="136"/>
      <c r="D39" s="148">
        <f>C38+D38</f>
        <v>3000000</v>
      </c>
      <c r="E39" s="148">
        <f t="shared" ref="E39:H39" si="6">D38+D39</f>
        <v>4500000</v>
      </c>
      <c r="F39" s="148">
        <f t="shared" si="6"/>
        <v>6000000</v>
      </c>
      <c r="G39" s="148">
        <f t="shared" si="6"/>
        <v>7850000</v>
      </c>
      <c r="H39" s="148">
        <f t="shared" si="6"/>
        <v>9700000</v>
      </c>
      <c r="I39" s="148">
        <f>H38+H39</f>
        <v>11550000</v>
      </c>
      <c r="J39" s="148">
        <f>I38+I39</f>
        <v>13400000</v>
      </c>
      <c r="K39" s="148">
        <f>J38+J39</f>
        <v>15250000</v>
      </c>
      <c r="L39" s="136"/>
    </row>
    <row r="41" spans="2:12">
      <c r="B41" t="s">
        <v>154</v>
      </c>
      <c r="C41" s="161">
        <f>$C$32-C38</f>
        <v>158500000</v>
      </c>
      <c r="D41" s="161">
        <f t="shared" ref="D41:H41" si="7">$C$32-D39</f>
        <v>157000000</v>
      </c>
      <c r="E41" s="161">
        <f t="shared" si="7"/>
        <v>155500000</v>
      </c>
      <c r="F41" s="161">
        <f t="shared" si="7"/>
        <v>154000000</v>
      </c>
      <c r="G41" s="161">
        <f t="shared" si="7"/>
        <v>152150000</v>
      </c>
      <c r="H41" s="161">
        <f t="shared" si="7"/>
        <v>150300000</v>
      </c>
      <c r="I41" s="161">
        <f>$C$32-I39</f>
        <v>148450000</v>
      </c>
      <c r="J41" s="161">
        <f>$C$32-J39</f>
        <v>146600000</v>
      </c>
      <c r="K41" s="161">
        <f>$C$32-K39</f>
        <v>144750000</v>
      </c>
    </row>
    <row r="43" spans="2:12">
      <c r="K43">
        <f>1500000*59</f>
        <v>88500000</v>
      </c>
    </row>
    <row r="44" spans="2:12">
      <c r="K44" s="142">
        <f>K43*3%</f>
        <v>2655000</v>
      </c>
    </row>
    <row r="45" spans="2:12" ht="18.600000000000001" thickBot="1">
      <c r="C45" s="90">
        <v>160000000</v>
      </c>
      <c r="K45">
        <v>2800000</v>
      </c>
    </row>
    <row r="46" spans="2:12">
      <c r="C46" s="142">
        <v>119521495</v>
      </c>
      <c r="K46" s="162">
        <f>SUM(K44:K45)</f>
        <v>5455000</v>
      </c>
    </row>
    <row r="47" spans="2:12">
      <c r="C47" s="207">
        <f>C45-C46</f>
        <v>40478505</v>
      </c>
    </row>
    <row r="49" spans="3:3">
      <c r="C49" s="162">
        <f>C47-K44-K46</f>
        <v>32368505</v>
      </c>
    </row>
    <row r="57" spans="3:3">
      <c r="C57" s="367">
        <f>36000/873000</f>
        <v>4.1237113402061855E-2</v>
      </c>
    </row>
  </sheetData>
  <mergeCells count="6">
    <mergeCell ref="J1:M2"/>
    <mergeCell ref="E3:E4"/>
    <mergeCell ref="F3:F4"/>
    <mergeCell ref="G3:G4"/>
    <mergeCell ref="H3:H4"/>
    <mergeCell ref="I3:I4"/>
  </mergeCells>
  <conditionalFormatting sqref="J6:J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J9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J12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J14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J18">
    <cfRule type="iconSet" priority="2">
      <iconSet iconSet="3Arrows">
        <cfvo type="percent" val="0"/>
        <cfvo type="percent" val="45"/>
        <cfvo type="percent" val="80"/>
      </iconSet>
    </cfRule>
  </conditionalFormatting>
  <conditionalFormatting sqref="J20">
    <cfRule type="iconSet" priority="1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ignoredErrors>
    <ignoredError sqref="C5:H9 C11:H15 C10:F10 H10 C17:H20 C16:F16 H16 C21:F21 H21" formulaRange="1"/>
    <ignoredError sqref="G10 G16 G21" formula="1" formulaRange="1"/>
    <ignoredError sqref="G22" formula="1"/>
  </ignoredError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65386-288C-4E47-8FFE-9E479EDFB63F}">
  <dimension ref="B2:K46"/>
  <sheetViews>
    <sheetView showGridLines="0" topLeftCell="A14" zoomScaleNormal="100" workbookViewId="0">
      <selection activeCell="I55" sqref="I55"/>
    </sheetView>
  </sheetViews>
  <sheetFormatPr baseColWidth="10" defaultColWidth="11.44140625" defaultRowHeight="14.4"/>
  <cols>
    <col min="1" max="1" width="18.6640625" customWidth="1"/>
    <col min="2" max="2" width="29.5546875" bestFit="1" customWidth="1"/>
    <col min="3" max="3" width="18.44140625" bestFit="1" customWidth="1"/>
    <col min="4" max="4" width="18" bestFit="1" customWidth="1"/>
    <col min="5" max="6" width="16.88671875" bestFit="1" customWidth="1"/>
    <col min="7" max="7" width="15.5546875" bestFit="1" customWidth="1"/>
    <col min="8" max="11" width="16.33203125" bestFit="1" customWidth="1"/>
  </cols>
  <sheetData>
    <row r="2" spans="2:11">
      <c r="D2">
        <v>59.9</v>
      </c>
    </row>
    <row r="3" spans="2:11">
      <c r="B3" s="142">
        <v>160000000</v>
      </c>
      <c r="C3" s="162">
        <f>B3-C4</f>
        <v>65967960.159999996</v>
      </c>
      <c r="D3" s="162">
        <f>C3-(SUM(D5:D8))</f>
        <v>41084982.207438283</v>
      </c>
    </row>
    <row r="4" spans="2:11" ht="15" thickBot="1">
      <c r="B4" s="284" t="s">
        <v>259</v>
      </c>
      <c r="C4" s="142">
        <v>94032039.840000004</v>
      </c>
      <c r="D4" s="142"/>
    </row>
    <row r="5" spans="2:11" ht="15.6" thickTop="1" thickBot="1">
      <c r="B5" s="284" t="s">
        <v>260</v>
      </c>
      <c r="C5" s="142"/>
      <c r="D5" s="162">
        <f>D10*$D$2</f>
        <v>9215810.2113617156</v>
      </c>
    </row>
    <row r="6" spans="2:11" ht="15.6" thickTop="1" thickBot="1">
      <c r="B6" s="285" t="s">
        <v>261</v>
      </c>
      <c r="C6" s="142"/>
      <c r="D6" s="162">
        <f t="shared" ref="D6:D8" si="0">D11*$D$2</f>
        <v>781278.0959999999</v>
      </c>
    </row>
    <row r="7" spans="2:11" ht="15.6" thickTop="1" thickBot="1">
      <c r="B7" s="285" t="s">
        <v>149</v>
      </c>
      <c r="C7" s="142"/>
      <c r="D7" s="162">
        <f t="shared" si="0"/>
        <v>11511123.645199999</v>
      </c>
    </row>
    <row r="8" spans="2:11" ht="15.6" thickTop="1" thickBot="1">
      <c r="B8" s="285" t="s">
        <v>262</v>
      </c>
      <c r="C8" s="142"/>
      <c r="D8" s="162">
        <f t="shared" si="0"/>
        <v>3374766</v>
      </c>
    </row>
    <row r="9" spans="2:11" ht="15" thickTop="1"/>
    <row r="10" spans="2:11">
      <c r="D10" s="142">
        <v>153853.25895428573</v>
      </c>
    </row>
    <row r="11" spans="2:11">
      <c r="D11" s="142">
        <v>13043.039999999999</v>
      </c>
    </row>
    <row r="12" spans="2:11">
      <c r="D12" s="142">
        <v>192172.348</v>
      </c>
    </row>
    <row r="13" spans="2:11">
      <c r="D13" s="142">
        <v>56340</v>
      </c>
    </row>
    <row r="16" spans="2:11" ht="31.2">
      <c r="B16" s="342"/>
      <c r="C16" s="343" t="s">
        <v>263</v>
      </c>
      <c r="D16" s="344" t="s">
        <v>264</v>
      </c>
      <c r="E16" s="343">
        <v>45444</v>
      </c>
      <c r="F16" s="343">
        <v>45474</v>
      </c>
      <c r="G16" s="343">
        <v>45505</v>
      </c>
      <c r="H16" s="343">
        <v>45536</v>
      </c>
      <c r="I16" s="343">
        <v>45566</v>
      </c>
      <c r="J16" s="343">
        <v>45597</v>
      </c>
      <c r="K16" s="343">
        <v>45627</v>
      </c>
    </row>
    <row r="17" spans="2:11" ht="15.6">
      <c r="B17" s="345" t="s">
        <v>265</v>
      </c>
      <c r="C17" s="346">
        <v>160000000</v>
      </c>
      <c r="D17" s="347"/>
      <c r="E17" s="347"/>
      <c r="F17" s="347"/>
      <c r="G17" s="347"/>
      <c r="H17" s="347"/>
      <c r="I17" s="347"/>
      <c r="J17" s="347"/>
      <c r="K17" s="347"/>
    </row>
    <row r="18" spans="2:11" ht="15.6">
      <c r="B18" s="345" t="s">
        <v>266</v>
      </c>
      <c r="C18" s="152"/>
      <c r="D18" s="348">
        <f>C17-D19</f>
        <v>38082178.920000002</v>
      </c>
      <c r="E18" s="348">
        <f t="shared" ref="E18" si="1">D18-E19</f>
        <v>19932178.920000002</v>
      </c>
      <c r="F18" s="348">
        <f>E18-F19</f>
        <v>9682178.9200000018</v>
      </c>
      <c r="G18" s="348">
        <f t="shared" ref="G18:K18" si="2">F18-G19</f>
        <v>2432178.9200000018</v>
      </c>
      <c r="H18" s="348">
        <f t="shared" si="2"/>
        <v>-1717821.0799999982</v>
      </c>
      <c r="I18" s="348">
        <f t="shared" si="2"/>
        <v>-3467821.0799999982</v>
      </c>
      <c r="J18" s="348">
        <f t="shared" si="2"/>
        <v>-5217821.0799999982</v>
      </c>
      <c r="K18" s="348">
        <f t="shared" si="2"/>
        <v>-6967821.0799999982</v>
      </c>
    </row>
    <row r="19" spans="2:11" ht="15.6">
      <c r="B19" s="345" t="s">
        <v>267</v>
      </c>
      <c r="C19" s="349"/>
      <c r="D19" s="346">
        <f t="shared" ref="D19:K19" si="3">SUM(D21:D34)</f>
        <v>121917821.08</v>
      </c>
      <c r="E19" s="346">
        <f t="shared" si="3"/>
        <v>18150000</v>
      </c>
      <c r="F19" s="346">
        <f t="shared" si="3"/>
        <v>10250000</v>
      </c>
      <c r="G19" s="346">
        <f t="shared" si="3"/>
        <v>7250000</v>
      </c>
      <c r="H19" s="346">
        <f t="shared" si="3"/>
        <v>4150000</v>
      </c>
      <c r="I19" s="346">
        <f t="shared" si="3"/>
        <v>1750000</v>
      </c>
      <c r="J19" s="346">
        <f t="shared" si="3"/>
        <v>1750000</v>
      </c>
      <c r="K19" s="346">
        <f t="shared" si="3"/>
        <v>1750000</v>
      </c>
    </row>
    <row r="20" spans="2:11" ht="2.4" customHeight="1">
      <c r="B20" s="350"/>
      <c r="C20" s="351"/>
      <c r="D20" s="352"/>
      <c r="E20" s="352"/>
      <c r="F20" s="352"/>
      <c r="G20" s="352"/>
      <c r="H20" s="352"/>
      <c r="I20" s="352"/>
      <c r="J20" s="352"/>
      <c r="K20" s="352"/>
    </row>
    <row r="21" spans="2:11" ht="15.6">
      <c r="B21" s="353" t="s">
        <v>259</v>
      </c>
      <c r="C21" s="354"/>
      <c r="D21" s="355">
        <f>'PRESENTACIÓN Al 29 de mayo'!$F$5</f>
        <v>93973039.840000004</v>
      </c>
      <c r="E21" s="355"/>
      <c r="F21" s="355"/>
      <c r="G21" s="355"/>
      <c r="H21" s="355"/>
      <c r="I21" s="355"/>
      <c r="J21" s="355"/>
      <c r="K21" s="355"/>
    </row>
    <row r="22" spans="2:11" ht="15.6">
      <c r="B22" s="356" t="s">
        <v>260</v>
      </c>
      <c r="C22" s="349"/>
      <c r="D22" s="346">
        <f>'PRESENTACIÓN Al 29 de mayo'!$F$18</f>
        <v>12246486.57</v>
      </c>
      <c r="E22" s="346">
        <v>3000000</v>
      </c>
      <c r="F22" s="346">
        <v>3000000</v>
      </c>
      <c r="G22" s="346">
        <v>3000000</v>
      </c>
      <c r="H22" s="346"/>
      <c r="I22" s="346"/>
      <c r="J22" s="346"/>
      <c r="K22" s="346"/>
    </row>
    <row r="23" spans="2:11" ht="15.6">
      <c r="B23" s="356" t="s">
        <v>261</v>
      </c>
      <c r="C23" s="354"/>
      <c r="D23" s="355">
        <f>'PRESENTACIÓN Al 29 de mayo'!$F$17</f>
        <v>5211518.2699999996</v>
      </c>
      <c r="E23" s="355">
        <v>6000000</v>
      </c>
      <c r="F23" s="355">
        <v>6000000</v>
      </c>
      <c r="G23" s="355"/>
      <c r="H23" s="355"/>
      <c r="I23" s="355"/>
      <c r="J23" s="355"/>
      <c r="K23" s="355"/>
    </row>
    <row r="24" spans="2:11" ht="15.6">
      <c r="B24" s="356" t="s">
        <v>271</v>
      </c>
      <c r="C24" s="349"/>
      <c r="D24" s="357">
        <f>'PRESENTACIÓN Al 29 de mayo'!$F$6</f>
        <v>9038515.3900000006</v>
      </c>
      <c r="E24" s="346"/>
      <c r="F24" s="346"/>
      <c r="G24" s="346"/>
      <c r="H24" s="346"/>
      <c r="I24" s="346"/>
      <c r="J24" s="346"/>
      <c r="K24" s="346"/>
    </row>
    <row r="25" spans="2:11" ht="15.6">
      <c r="B25" s="356" t="s">
        <v>262</v>
      </c>
      <c r="C25" s="354"/>
      <c r="D25" s="355">
        <f>'PRESENTACIÓN Al 29 de mayo'!$F$14</f>
        <v>1448261.01</v>
      </c>
      <c r="E25" s="355"/>
      <c r="F25" s="355"/>
      <c r="G25" s="355"/>
      <c r="H25" s="355">
        <v>2400000</v>
      </c>
      <c r="I25" s="355"/>
      <c r="J25" s="355"/>
      <c r="K25" s="355"/>
    </row>
    <row r="26" spans="2:11" ht="15.6">
      <c r="B26" s="358"/>
      <c r="C26" s="349"/>
      <c r="D26" s="346"/>
      <c r="E26" s="346"/>
      <c r="F26" s="346"/>
      <c r="G26" s="346"/>
      <c r="H26" s="346"/>
      <c r="I26" s="346"/>
      <c r="J26" s="346"/>
      <c r="K26" s="346"/>
    </row>
    <row r="27" spans="2:11" ht="3.6" customHeight="1">
      <c r="B27" s="359"/>
      <c r="C27" s="360"/>
      <c r="D27" s="361"/>
      <c r="E27" s="361"/>
      <c r="F27" s="361"/>
      <c r="G27" s="361"/>
      <c r="H27" s="361"/>
      <c r="I27" s="361"/>
      <c r="J27" s="361"/>
      <c r="K27" s="361"/>
    </row>
    <row r="28" spans="2:11" ht="15.6">
      <c r="B28" s="362" t="s">
        <v>272</v>
      </c>
      <c r="C28" s="363"/>
      <c r="D28" s="364"/>
      <c r="E28" s="364">
        <v>750000</v>
      </c>
      <c r="F28" s="364">
        <v>750000</v>
      </c>
      <c r="G28" s="364">
        <v>750000</v>
      </c>
      <c r="H28" s="364">
        <v>750000</v>
      </c>
      <c r="I28" s="364">
        <v>750000</v>
      </c>
      <c r="J28" s="364">
        <v>750000</v>
      </c>
      <c r="K28" s="364">
        <v>750000</v>
      </c>
    </row>
    <row r="29" spans="2:11" ht="15.6">
      <c r="B29" s="362" t="s">
        <v>273</v>
      </c>
      <c r="C29" s="349"/>
      <c r="D29" s="346"/>
      <c r="E29" s="346">
        <v>2700000</v>
      </c>
      <c r="F29" s="346"/>
      <c r="G29" s="346"/>
      <c r="H29" s="346"/>
      <c r="I29" s="346"/>
      <c r="J29" s="346"/>
      <c r="K29" s="346"/>
    </row>
    <row r="30" spans="2:11" ht="15.6">
      <c r="B30" s="362" t="s">
        <v>274</v>
      </c>
      <c r="C30" s="365"/>
      <c r="D30" s="355"/>
      <c r="E30" s="355">
        <v>3000000</v>
      </c>
      <c r="F30" s="355"/>
      <c r="G30" s="355"/>
      <c r="H30" s="355"/>
      <c r="I30" s="355"/>
      <c r="J30" s="355"/>
      <c r="K30" s="355"/>
    </row>
    <row r="31" spans="2:11" ht="15.6">
      <c r="B31" s="362" t="s">
        <v>275</v>
      </c>
      <c r="C31" s="349"/>
      <c r="D31" s="346"/>
      <c r="E31" s="346">
        <v>2700000</v>
      </c>
      <c r="F31" s="346"/>
      <c r="G31" s="346"/>
      <c r="H31" s="346"/>
      <c r="I31" s="346"/>
      <c r="J31" s="346"/>
      <c r="K31" s="346"/>
    </row>
    <row r="32" spans="2:11" ht="15.6">
      <c r="B32" s="362" t="s">
        <v>276</v>
      </c>
      <c r="C32" s="365"/>
      <c r="D32" s="355"/>
      <c r="E32" s="355"/>
      <c r="F32" s="366">
        <v>500000</v>
      </c>
      <c r="G32" s="366">
        <v>500000</v>
      </c>
      <c r="H32" s="366">
        <v>500000</v>
      </c>
      <c r="I32" s="366">
        <v>500000</v>
      </c>
      <c r="J32" s="366">
        <v>500000</v>
      </c>
      <c r="K32" s="366">
        <v>500000</v>
      </c>
    </row>
    <row r="33" spans="2:11" ht="15.6">
      <c r="B33" s="362" t="s">
        <v>277</v>
      </c>
      <c r="C33" s="349"/>
      <c r="D33" s="346"/>
      <c r="E33" s="346"/>
      <c r="F33" s="346"/>
      <c r="G33" s="346">
        <v>3000000</v>
      </c>
      <c r="H33" s="346">
        <v>500000</v>
      </c>
      <c r="I33" s="346">
        <v>500000</v>
      </c>
      <c r="J33" s="346">
        <v>500000</v>
      </c>
      <c r="K33" s="346">
        <v>500000</v>
      </c>
    </row>
    <row r="34" spans="2:11">
      <c r="D34" s="299"/>
      <c r="E34" s="299"/>
      <c r="F34" s="299"/>
      <c r="G34" s="299"/>
      <c r="H34" s="299"/>
      <c r="I34" s="299"/>
      <c r="J34" s="299"/>
      <c r="K34" s="299"/>
    </row>
    <row r="35" spans="2:11">
      <c r="C35" s="298"/>
      <c r="D35" s="299"/>
    </row>
    <row r="36" spans="2:11">
      <c r="E36" s="162">
        <f>SUM(E28:E35)</f>
        <v>9150000</v>
      </c>
    </row>
    <row r="42" spans="2:11">
      <c r="B42" s="142">
        <v>4837716.2100000009</v>
      </c>
    </row>
    <row r="43" spans="2:11">
      <c r="B43" s="142">
        <v>6800000</v>
      </c>
      <c r="C43" t="s">
        <v>230</v>
      </c>
    </row>
    <row r="44" spans="2:11">
      <c r="B44" s="142">
        <v>8480849.7899999991</v>
      </c>
      <c r="C44" t="s">
        <v>231</v>
      </c>
    </row>
    <row r="45" spans="2:11">
      <c r="B45" s="142">
        <v>2390947.54</v>
      </c>
      <c r="C45" t="s">
        <v>232</v>
      </c>
    </row>
    <row r="46" spans="2:11">
      <c r="B46" s="162">
        <f>SUM(B42:B45)</f>
        <v>22509513.539999999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59A33-5759-4DA4-AB13-B223A56F7D66}">
  <dimension ref="A1:M41"/>
  <sheetViews>
    <sheetView showGridLines="0" zoomScaleNormal="100" workbookViewId="0">
      <selection activeCell="I55" sqref="I55"/>
    </sheetView>
  </sheetViews>
  <sheetFormatPr baseColWidth="10" defaultColWidth="11.44140625" defaultRowHeight="14.4"/>
  <cols>
    <col min="1" max="1" width="10.109375" customWidth="1"/>
    <col min="2" max="2" width="23.6640625" customWidth="1"/>
    <col min="3" max="3" width="20" bestFit="1" customWidth="1"/>
    <col min="4" max="4" width="16.5546875" bestFit="1" customWidth="1"/>
    <col min="5" max="5" width="18.88671875" bestFit="1" customWidth="1"/>
    <col min="6" max="6" width="18.88671875" customWidth="1"/>
    <col min="7" max="7" width="18.88671875" bestFit="1" customWidth="1"/>
    <col min="8" max="8" width="19.88671875" customWidth="1"/>
    <col min="9" max="9" width="21.5546875" bestFit="1" customWidth="1"/>
    <col min="10" max="10" width="16.109375" customWidth="1"/>
    <col min="11" max="11" width="18.5546875" customWidth="1"/>
    <col min="12" max="12" width="17" customWidth="1"/>
    <col min="13" max="15" width="15.44140625" bestFit="1" customWidth="1"/>
    <col min="16" max="16" width="14.44140625" bestFit="1" customWidth="1"/>
  </cols>
  <sheetData>
    <row r="1" spans="1:13" ht="21.6" customHeight="1">
      <c r="J1" s="2109" t="s">
        <v>185</v>
      </c>
      <c r="K1" s="2109"/>
      <c r="L1" s="2109"/>
      <c r="M1" s="2109"/>
    </row>
    <row r="2" spans="1:13" ht="15" thickBot="1">
      <c r="E2" s="181" t="s">
        <v>197</v>
      </c>
      <c r="F2" s="181"/>
      <c r="G2" s="181" t="s">
        <v>199</v>
      </c>
      <c r="H2" s="181" t="s">
        <v>225</v>
      </c>
      <c r="I2" s="181"/>
      <c r="J2" s="2109"/>
      <c r="K2" s="2109"/>
      <c r="L2" s="2109"/>
      <c r="M2" s="2109"/>
    </row>
    <row r="3" spans="1:13" ht="15.6">
      <c r="B3" s="160" t="s">
        <v>278</v>
      </c>
      <c r="C3" s="62"/>
      <c r="D3" s="141">
        <v>59</v>
      </c>
      <c r="E3" s="2122" t="s">
        <v>145</v>
      </c>
      <c r="F3" s="2122" t="s">
        <v>227</v>
      </c>
      <c r="G3" s="2124" t="s">
        <v>228</v>
      </c>
      <c r="H3" s="2122" t="s">
        <v>146</v>
      </c>
      <c r="I3" s="2126"/>
      <c r="J3" s="183"/>
      <c r="K3" s="183"/>
      <c r="L3" s="183"/>
      <c r="M3" s="183"/>
    </row>
    <row r="4" spans="1:13" ht="16.2" thickBot="1">
      <c r="A4" s="152"/>
      <c r="B4" s="25" t="s">
        <v>29</v>
      </c>
      <c r="C4" s="25" t="s">
        <v>30</v>
      </c>
      <c r="D4" s="65" t="s">
        <v>31</v>
      </c>
      <c r="E4" s="2123"/>
      <c r="F4" s="2123"/>
      <c r="G4" s="2125"/>
      <c r="H4" s="2123"/>
      <c r="I4" s="2127"/>
      <c r="J4" s="183"/>
      <c r="K4" s="183"/>
      <c r="L4" s="183"/>
      <c r="M4" s="183"/>
    </row>
    <row r="5" spans="1:13" ht="15" thickBot="1">
      <c r="A5">
        <v>1</v>
      </c>
      <c r="B5" s="254" t="s">
        <v>33</v>
      </c>
      <c r="C5" s="256">
        <f>SUM('budget (11)'!D2:D3)</f>
        <v>103385169</v>
      </c>
      <c r="D5" s="257">
        <f>C5/D3</f>
        <v>1752291</v>
      </c>
      <c r="E5" s="258">
        <f>+'Finanzas 06.24'!L48+7030718.17</f>
        <v>94172341.840000004</v>
      </c>
      <c r="F5" s="258">
        <f>+'Finanzas 06.24'!G48+7030718.17</f>
        <v>93973039.840000004</v>
      </c>
      <c r="G5" s="259">
        <f>E5-F5</f>
        <v>199302</v>
      </c>
      <c r="H5" s="260" t="e">
        <f>+#REF!-7030718.17</f>
        <v>#REF!</v>
      </c>
      <c r="I5" s="321" t="e">
        <f>C5-(E5+H5)</f>
        <v>#REF!</v>
      </c>
      <c r="J5" s="183"/>
      <c r="K5" s="183"/>
      <c r="L5" s="183"/>
      <c r="M5" s="183"/>
    </row>
    <row r="6" spans="1:13">
      <c r="B6" s="115" t="s">
        <v>35</v>
      </c>
      <c r="C6" s="116">
        <f>SUM('budget (11)'!D11:D24)</f>
        <v>451758999.99999994</v>
      </c>
      <c r="D6" s="117">
        <f>C6/$D$3</f>
        <v>7656932.20338983</v>
      </c>
      <c r="E6" s="132">
        <f>+'Finanzas 06.24'!L53</f>
        <v>9038515.3900000006</v>
      </c>
      <c r="F6" s="132">
        <f>+'Finanzas 06.24'!G53</f>
        <v>9038515.3900000006</v>
      </c>
      <c r="G6" s="125">
        <f t="shared" ref="G6:G22" si="0">E6-F6</f>
        <v>0</v>
      </c>
      <c r="H6" s="173" t="e">
        <f>+#REF!</f>
        <v>#REF!</v>
      </c>
      <c r="I6" s="322" t="e">
        <f t="shared" ref="I6:I20" si="1">C6-(E6+H6)</f>
        <v>#REF!</v>
      </c>
      <c r="J6" s="183"/>
      <c r="K6" s="184"/>
      <c r="L6" s="183"/>
      <c r="M6" s="183"/>
    </row>
    <row r="7" spans="1:13">
      <c r="B7" s="112" t="s">
        <v>38</v>
      </c>
      <c r="C7" s="113">
        <f>SUM('budget (11)'!D25:D39)</f>
        <v>1265953920</v>
      </c>
      <c r="D7" s="114">
        <f>C7/$D$3</f>
        <v>21456846.101694915</v>
      </c>
      <c r="E7" s="133">
        <f>SUM('budget (11)'!E25:E39)</f>
        <v>0</v>
      </c>
      <c r="F7" s="133">
        <v>0</v>
      </c>
      <c r="G7" s="127">
        <f t="shared" si="0"/>
        <v>0</v>
      </c>
      <c r="H7" s="133" t="e">
        <f>+#REF!</f>
        <v>#REF!</v>
      </c>
      <c r="I7" s="323" t="e">
        <f t="shared" si="1"/>
        <v>#REF!</v>
      </c>
      <c r="J7" s="183"/>
      <c r="K7" s="184"/>
      <c r="L7" s="183"/>
      <c r="M7" s="183"/>
    </row>
    <row r="8" spans="1:13">
      <c r="B8" s="115" t="s">
        <v>148</v>
      </c>
      <c r="C8" s="118">
        <f>SUM('budget (11)'!D40:D41)</f>
        <v>171771292</v>
      </c>
      <c r="D8" s="117">
        <f>C8/$D$3</f>
        <v>2911377.8305084747</v>
      </c>
      <c r="E8" s="134">
        <f>+'Finanzas 06.24'!L27</f>
        <v>171771292</v>
      </c>
      <c r="F8" s="134">
        <v>0</v>
      </c>
      <c r="G8" s="129">
        <f>E8-F8</f>
        <v>171771292</v>
      </c>
      <c r="H8" s="134" t="e">
        <f>+#REF!</f>
        <v>#REF!</v>
      </c>
      <c r="I8" s="324" t="e">
        <f t="shared" si="1"/>
        <v>#REF!</v>
      </c>
      <c r="J8" s="183"/>
      <c r="K8" s="184"/>
      <c r="L8" s="183"/>
      <c r="M8" s="183"/>
    </row>
    <row r="9" spans="1:13">
      <c r="B9" s="112" t="s">
        <v>40</v>
      </c>
      <c r="C9" s="113">
        <f>SUM('budget (11)'!D42)</f>
        <v>34354258</v>
      </c>
      <c r="D9" s="114">
        <f>C9/$D$3</f>
        <v>582275.55932203389</v>
      </c>
      <c r="E9" s="133">
        <f>SUM('budget (11)'!E42)</f>
        <v>0</v>
      </c>
      <c r="F9" s="133">
        <v>0</v>
      </c>
      <c r="G9" s="127">
        <f t="shared" si="0"/>
        <v>0</v>
      </c>
      <c r="H9" s="133" t="e">
        <f>+#REF!</f>
        <v>#REF!</v>
      </c>
      <c r="I9" s="323" t="e">
        <f t="shared" si="1"/>
        <v>#REF!</v>
      </c>
      <c r="J9" s="183"/>
      <c r="K9" s="184"/>
      <c r="L9" s="183"/>
      <c r="M9" s="183"/>
    </row>
    <row r="10" spans="1:13" ht="15" thickBot="1">
      <c r="B10" s="254" t="s">
        <v>41</v>
      </c>
      <c r="C10" s="261">
        <f>SUM(C6:C9)</f>
        <v>1923838470</v>
      </c>
      <c r="D10" s="259">
        <f>SUM(D6:D9)</f>
        <v>32607431.694915254</v>
      </c>
      <c r="E10" s="262">
        <f>SUM(E6:E9)</f>
        <v>180809807.38999999</v>
      </c>
      <c r="F10" s="262">
        <f>SUM(F6:F9)</f>
        <v>9038515.3900000006</v>
      </c>
      <c r="G10" s="262">
        <f>E10-F10</f>
        <v>171771292</v>
      </c>
      <c r="H10" s="263" t="e">
        <f>SUM(H6:H9)</f>
        <v>#REF!</v>
      </c>
      <c r="I10" s="325" t="e">
        <f t="shared" si="1"/>
        <v>#REF!</v>
      </c>
      <c r="J10" s="183"/>
      <c r="K10" s="184"/>
      <c r="L10" s="183"/>
      <c r="M10" s="183"/>
    </row>
    <row r="11" spans="1:13">
      <c r="B11" s="112" t="s">
        <v>42</v>
      </c>
      <c r="C11" s="163">
        <f>SUM('budget (11)'!D43)</f>
        <v>137417034</v>
      </c>
      <c r="D11" s="114">
        <f>C11/$D$3</f>
        <v>2329102.2711864407</v>
      </c>
      <c r="E11" s="179">
        <f>+'Finanzas 06.24'!L29</f>
        <v>137416238</v>
      </c>
      <c r="F11" s="179">
        <f>+'Finanzas 06.24'!G29</f>
        <v>0</v>
      </c>
      <c r="G11" s="179">
        <f t="shared" si="0"/>
        <v>137416238</v>
      </c>
      <c r="H11" s="177" t="e">
        <f>+#REF!</f>
        <v>#REF!</v>
      </c>
      <c r="I11" s="326" t="e">
        <f t="shared" si="1"/>
        <v>#REF!</v>
      </c>
      <c r="J11" s="183"/>
      <c r="K11" s="184"/>
      <c r="L11" s="183"/>
      <c r="M11" s="183"/>
    </row>
    <row r="12" spans="1:13">
      <c r="B12" s="115" t="s">
        <v>43</v>
      </c>
      <c r="C12" s="165">
        <f>SUM('budget (11)'!D45:D46)</f>
        <v>281704919</v>
      </c>
      <c r="D12" s="117">
        <f>C12/$D$3</f>
        <v>4774659.6440677969</v>
      </c>
      <c r="E12" s="178">
        <f>+'Finanzas 06.24'!L31</f>
        <v>35155869.210000001</v>
      </c>
      <c r="F12" s="178">
        <f>+'Finanzas 06.24'!G31</f>
        <v>0</v>
      </c>
      <c r="G12" s="178">
        <f t="shared" si="0"/>
        <v>35155869.210000001</v>
      </c>
      <c r="H12" s="178" t="e">
        <f>+#REF!</f>
        <v>#REF!</v>
      </c>
      <c r="I12" s="327" t="e">
        <f t="shared" si="1"/>
        <v>#REF!</v>
      </c>
      <c r="J12" s="183"/>
      <c r="K12" s="184"/>
      <c r="L12" s="183"/>
      <c r="M12" s="183"/>
    </row>
    <row r="13" spans="1:13">
      <c r="B13" s="112" t="s">
        <v>44</v>
      </c>
      <c r="C13" s="163">
        <f>SUM('budget (11)'!D47)</f>
        <v>67334346</v>
      </c>
      <c r="D13" s="114">
        <f>C13/$D$3</f>
        <v>1141260.1016949152</v>
      </c>
      <c r="E13" s="179">
        <f>+'Finanzas 06.24'!L2</f>
        <v>237853.9</v>
      </c>
      <c r="F13" s="179">
        <f>+'Finanzas 06.24'!G2</f>
        <v>0</v>
      </c>
      <c r="G13" s="179">
        <f t="shared" si="0"/>
        <v>237853.9</v>
      </c>
      <c r="H13" s="179" t="e">
        <f>+#REF!</f>
        <v>#REF!</v>
      </c>
      <c r="I13" s="327" t="e">
        <f t="shared" si="1"/>
        <v>#REF!</v>
      </c>
      <c r="J13" s="183"/>
      <c r="K13" s="184"/>
      <c r="L13" s="183"/>
      <c r="M13" s="183"/>
    </row>
    <row r="14" spans="1:13">
      <c r="A14">
        <v>1</v>
      </c>
      <c r="B14" s="115" t="s">
        <v>45</v>
      </c>
      <c r="C14" s="165">
        <f>SUM('budget (11)'!D48:D49)</f>
        <v>51531387.949999996</v>
      </c>
      <c r="D14" s="117">
        <f>C14/$D$3</f>
        <v>873413.35508474568</v>
      </c>
      <c r="E14" s="178">
        <f>+GETPIVOTDATA("Suma de Costos Comprometidos",'Resumen de Costos Comprometidos'!$A$3,"Código de costo Nivel 2","2-4 - PUBLICIDAD Y PROMOCION")</f>
        <v>3654562.97</v>
      </c>
      <c r="F14" s="178">
        <f>+'Finanzas 06.24'!G43</f>
        <v>1896969.47</v>
      </c>
      <c r="G14" s="178">
        <f t="shared" si="0"/>
        <v>1757593.5000000002</v>
      </c>
      <c r="H14" s="178" t="e">
        <f>+#REF!</f>
        <v>#REF!</v>
      </c>
      <c r="I14" s="327" t="e">
        <f t="shared" si="1"/>
        <v>#REF!</v>
      </c>
      <c r="J14" s="183"/>
      <c r="K14" s="184"/>
      <c r="L14" s="183"/>
      <c r="M14" s="183"/>
    </row>
    <row r="15" spans="1:13">
      <c r="B15" s="112" t="s">
        <v>46</v>
      </c>
      <c r="C15" s="163">
        <f>SUM('budget (11)'!D50)</f>
        <v>19238385</v>
      </c>
      <c r="D15" s="114">
        <f>C15/$D$3</f>
        <v>326074.32203389832</v>
      </c>
      <c r="E15" s="179">
        <f>SUM('budget (11)'!E50)</f>
        <v>0</v>
      </c>
      <c r="F15" s="179">
        <v>0</v>
      </c>
      <c r="G15" s="179">
        <f t="shared" si="0"/>
        <v>0</v>
      </c>
      <c r="H15" s="179" t="e">
        <f>+#REF!</f>
        <v>#REF!</v>
      </c>
      <c r="I15" s="327" t="e">
        <f t="shared" si="1"/>
        <v>#REF!</v>
      </c>
      <c r="J15" s="183"/>
      <c r="K15" s="184"/>
      <c r="L15" s="183"/>
      <c r="M15" s="183"/>
    </row>
    <row r="16" spans="1:13" ht="15" thickBot="1">
      <c r="B16" s="254" t="s">
        <v>47</v>
      </c>
      <c r="C16" s="261">
        <f>SUM(C11:C15)</f>
        <v>557226071.95000005</v>
      </c>
      <c r="D16" s="259">
        <f>SUM(D11:D15)</f>
        <v>9444509.6940677967</v>
      </c>
      <c r="E16" s="262">
        <f>SUM(E11:E15)</f>
        <v>176464524.08000001</v>
      </c>
      <c r="F16" s="262">
        <f>SUM(F11:F15)</f>
        <v>1896969.47</v>
      </c>
      <c r="G16" s="262">
        <f>E16-F16</f>
        <v>174567554.61000001</v>
      </c>
      <c r="H16" s="263" t="e">
        <f t="shared" ref="H16" si="2">SUM(H11:H15)</f>
        <v>#REF!</v>
      </c>
      <c r="I16" s="325" t="e">
        <f t="shared" si="1"/>
        <v>#REF!</v>
      </c>
      <c r="J16" s="183"/>
      <c r="K16" s="184"/>
      <c r="L16" s="183"/>
      <c r="M16" s="183"/>
    </row>
    <row r="17" spans="1:13">
      <c r="B17" s="112" t="s">
        <v>48</v>
      </c>
      <c r="C17" s="401">
        <f>SUM('budget (11)'!D51:D52)</f>
        <v>15000000</v>
      </c>
      <c r="D17" s="77">
        <f>C17/$D$3</f>
        <v>254237.28813559323</v>
      </c>
      <c r="E17" s="402">
        <v>18740000</v>
      </c>
      <c r="F17" s="179">
        <f>+'Finanzas 06.24'!G33</f>
        <v>7858239.5899999999</v>
      </c>
      <c r="G17" s="179">
        <f t="shared" si="0"/>
        <v>10881760.41</v>
      </c>
      <c r="H17" s="177" t="e">
        <f>+#REF!</f>
        <v>#REF!</v>
      </c>
      <c r="I17" s="326" t="e">
        <f>C17-(E17+H17)</f>
        <v>#REF!</v>
      </c>
      <c r="J17" s="183"/>
      <c r="K17" s="184"/>
      <c r="L17" s="183"/>
      <c r="M17" s="185"/>
    </row>
    <row r="18" spans="1:13">
      <c r="B18" s="115" t="s">
        <v>49</v>
      </c>
      <c r="C18" s="165">
        <f>SUM('budget (11)'!D4:D10)</f>
        <v>20789999.999999996</v>
      </c>
      <c r="D18" s="117">
        <f>C18/$D$3</f>
        <v>352372.88135593216</v>
      </c>
      <c r="E18" s="178">
        <v>20727336</v>
      </c>
      <c r="F18" s="178">
        <f>+'Finanzas 06.24'!G4</f>
        <v>13343402.940000001</v>
      </c>
      <c r="G18" s="178">
        <f t="shared" si="0"/>
        <v>7383933.0599999987</v>
      </c>
      <c r="H18" s="178" t="e">
        <f>+#REF!</f>
        <v>#REF!</v>
      </c>
      <c r="I18" s="327" t="e">
        <f>C18-(E18+H18)</f>
        <v>#REF!</v>
      </c>
      <c r="J18" s="183"/>
      <c r="K18" s="184"/>
      <c r="L18" s="183"/>
      <c r="M18" s="183"/>
    </row>
    <row r="19" spans="1:13">
      <c r="B19" s="112" t="s">
        <v>50</v>
      </c>
      <c r="C19" s="163">
        <f>SUM('budget (11)'!D54)</f>
        <v>192383847</v>
      </c>
      <c r="D19" s="114">
        <f>C19/$D$3</f>
        <v>3260743.1694915253</v>
      </c>
      <c r="E19" s="179">
        <f>SUM('budget (11)'!E54)</f>
        <v>0</v>
      </c>
      <c r="F19" s="179">
        <v>0</v>
      </c>
      <c r="G19" s="179">
        <f t="shared" si="0"/>
        <v>0</v>
      </c>
      <c r="H19" s="179" t="e">
        <f>+#REF!</f>
        <v>#REF!</v>
      </c>
      <c r="I19" s="327" t="e">
        <f t="shared" si="1"/>
        <v>#REF!</v>
      </c>
      <c r="J19" s="183"/>
      <c r="K19" s="184"/>
      <c r="L19" s="183"/>
      <c r="M19" s="183"/>
    </row>
    <row r="20" spans="1:13">
      <c r="B20" s="115" t="s">
        <v>51</v>
      </c>
      <c r="C20" s="165">
        <f>SUM('budget (11)'!D53)</f>
        <v>19238385</v>
      </c>
      <c r="D20" s="117">
        <f>C20/$D$3</f>
        <v>326074.32203389832</v>
      </c>
      <c r="E20" s="178">
        <f>SUM('budget (11)'!E53)</f>
        <v>0</v>
      </c>
      <c r="F20" s="178">
        <v>0</v>
      </c>
      <c r="G20" s="178">
        <f t="shared" si="0"/>
        <v>0</v>
      </c>
      <c r="H20" s="178" t="e">
        <f>+#REF!</f>
        <v>#REF!</v>
      </c>
      <c r="I20" s="327" t="e">
        <f t="shared" si="1"/>
        <v>#REF!</v>
      </c>
      <c r="J20" s="183"/>
      <c r="K20" s="184"/>
      <c r="L20" s="183"/>
      <c r="M20" s="183"/>
    </row>
    <row r="21" spans="1:13" ht="15" thickBot="1">
      <c r="B21" s="254" t="s">
        <v>52</v>
      </c>
      <c r="C21" s="261">
        <f>SUM(C17:C20)</f>
        <v>247412232</v>
      </c>
      <c r="D21" s="259">
        <f>SUM(D17:D20)</f>
        <v>4193427.661016949</v>
      </c>
      <c r="E21" s="262">
        <f>SUM(E17:E20)</f>
        <v>39467336</v>
      </c>
      <c r="F21" s="262">
        <f>SUM(F17:F20)</f>
        <v>21201642.530000001</v>
      </c>
      <c r="G21" s="259">
        <f>E21-F21</f>
        <v>18265693.469999999</v>
      </c>
      <c r="H21" s="263" t="e">
        <f t="shared" ref="H21" si="3">SUM(H17:H20)</f>
        <v>#REF!</v>
      </c>
      <c r="I21" s="325" t="e">
        <f>C21-(E21+H21)</f>
        <v>#REF!</v>
      </c>
      <c r="J21" s="183"/>
      <c r="K21" s="184"/>
      <c r="L21" s="183"/>
      <c r="M21" s="183"/>
    </row>
    <row r="22" spans="1:13" ht="18.600000000000001" thickBot="1">
      <c r="B22" s="333" t="s">
        <v>229</v>
      </c>
      <c r="C22" s="331">
        <f>C5+C10+C16+C21</f>
        <v>2831861942.9499998</v>
      </c>
      <c r="D22" s="332">
        <f>D5+D10+D16+D21</f>
        <v>47997660.049999997</v>
      </c>
      <c r="E22" s="329">
        <f>E21+E16+E10+E5</f>
        <v>490914009.31000006</v>
      </c>
      <c r="F22" s="329">
        <f>F21+F16+F10+F5</f>
        <v>126110167.23</v>
      </c>
      <c r="G22" s="330">
        <f t="shared" si="0"/>
        <v>364803842.08000004</v>
      </c>
      <c r="H22" s="329" t="e">
        <f t="shared" ref="H22:I22" si="4">H21+H16+H10+H5</f>
        <v>#REF!</v>
      </c>
      <c r="I22" s="328" t="e">
        <f t="shared" si="4"/>
        <v>#REF!</v>
      </c>
      <c r="J22" s="183"/>
      <c r="K22" s="184"/>
      <c r="L22" s="183"/>
      <c r="M22" s="183"/>
    </row>
    <row r="23" spans="1:13" ht="15" thickBot="1">
      <c r="D23" s="368"/>
      <c r="E23" s="369"/>
      <c r="F23" s="370"/>
      <c r="G23" s="320">
        <f>G17</f>
        <v>10881760.41</v>
      </c>
      <c r="H23" s="368"/>
    </row>
    <row r="24" spans="1:13" ht="15" thickBot="1">
      <c r="E24" s="368"/>
      <c r="F24" s="142">
        <v>160000000</v>
      </c>
      <c r="G24" s="142"/>
      <c r="H24" t="s">
        <v>230</v>
      </c>
      <c r="I24" s="368"/>
      <c r="K24" s="186" t="s">
        <v>189</v>
      </c>
      <c r="L24" s="190">
        <v>2831861942.3920002</v>
      </c>
    </row>
    <row r="25" spans="1:13" ht="15" thickBot="1">
      <c r="F25" s="108">
        <f>F24-F22</f>
        <v>33889832.769999996</v>
      </c>
      <c r="G25" s="320">
        <f>E18-F18</f>
        <v>7383933.0599999987</v>
      </c>
      <c r="H25" t="s">
        <v>231</v>
      </c>
      <c r="K25" s="188" t="s">
        <v>190</v>
      </c>
      <c r="L25" s="189">
        <f>C22</f>
        <v>2831861942.9499998</v>
      </c>
    </row>
    <row r="26" spans="1:13" ht="15" thickBot="1">
      <c r="F26" s="320">
        <f>+G13+G14+G17+G18</f>
        <v>20261140.869999997</v>
      </c>
      <c r="G26" s="320">
        <f>E14-F14</f>
        <v>1757593.5000000002</v>
      </c>
      <c r="H26" t="s">
        <v>232</v>
      </c>
      <c r="K26" s="187" t="s">
        <v>191</v>
      </c>
      <c r="L26" s="191">
        <f>L24-L25</f>
        <v>-0.55799961090087891</v>
      </c>
    </row>
    <row r="27" spans="1:13">
      <c r="E27" t="s">
        <v>233</v>
      </c>
      <c r="F27" s="108">
        <f>F25-F26</f>
        <v>13628691.899999999</v>
      </c>
    </row>
    <row r="28" spans="1:13">
      <c r="A28" s="192"/>
      <c r="B28" s="192"/>
      <c r="C28" s="192"/>
      <c r="D28" s="192"/>
      <c r="E28" s="192"/>
      <c r="F28" s="192"/>
      <c r="G28" s="192"/>
      <c r="H28" s="192"/>
      <c r="I28" s="192"/>
      <c r="J28" s="192"/>
      <c r="K28" s="192"/>
      <c r="L28" s="192"/>
      <c r="M28" s="192"/>
    </row>
    <row r="30" spans="1:13">
      <c r="B30" s="254" t="s">
        <v>47</v>
      </c>
    </row>
    <row r="31" spans="1:13">
      <c r="B31" s="112" t="s">
        <v>48</v>
      </c>
    </row>
    <row r="32" spans="1:13">
      <c r="B32" s="115" t="s">
        <v>49</v>
      </c>
    </row>
    <row r="33" spans="2:4">
      <c r="B33" s="112" t="s">
        <v>50</v>
      </c>
    </row>
    <row r="34" spans="2:4">
      <c r="B34" s="115" t="s">
        <v>51</v>
      </c>
    </row>
    <row r="35" spans="2:4">
      <c r="B35" s="254" t="s">
        <v>52</v>
      </c>
    </row>
    <row r="36" spans="2:4" ht="18.600000000000001" thickBot="1">
      <c r="B36" s="333" t="s">
        <v>229</v>
      </c>
    </row>
    <row r="38" spans="2:4" ht="15" thickBot="1"/>
    <row r="39" spans="2:4">
      <c r="B39" s="335" t="s">
        <v>234</v>
      </c>
      <c r="C39" s="336">
        <v>160000000</v>
      </c>
      <c r="D39" s="337"/>
    </row>
    <row r="40" spans="2:4">
      <c r="B40" s="112" t="s">
        <v>153</v>
      </c>
      <c r="C40" s="403">
        <f>F22+F26</f>
        <v>146371308.09999999</v>
      </c>
      <c r="D40" s="338">
        <f>C40/C39</f>
        <v>0.91482067562499991</v>
      </c>
    </row>
    <row r="41" spans="2:4" ht="15" thickBot="1">
      <c r="B41" s="339" t="s">
        <v>154</v>
      </c>
      <c r="C41" s="340">
        <f>C39-C40</f>
        <v>13628691.900000006</v>
      </c>
      <c r="D41" s="341">
        <f>C41/C39</f>
        <v>8.5179324375000032E-2</v>
      </c>
    </row>
  </sheetData>
  <mergeCells count="6">
    <mergeCell ref="J1:M2"/>
    <mergeCell ref="E3:E4"/>
    <mergeCell ref="F3:F4"/>
    <mergeCell ref="G3:G4"/>
    <mergeCell ref="H3:H4"/>
    <mergeCell ref="I3:I4"/>
  </mergeCells>
  <conditionalFormatting sqref="J6:J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J9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J12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J14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J18">
    <cfRule type="iconSet" priority="2">
      <iconSet iconSet="3Arrows">
        <cfvo type="percent" val="0"/>
        <cfvo type="percent" val="45"/>
        <cfvo type="percent" val="80"/>
      </iconSet>
    </cfRule>
  </conditionalFormatting>
  <conditionalFormatting sqref="J20">
    <cfRule type="iconSet" priority="1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5ACF9-4F71-4B15-BA32-C6E09EE60A6E}">
  <dimension ref="A1:L56"/>
  <sheetViews>
    <sheetView workbookViewId="0">
      <selection activeCell="F10" sqref="F10"/>
    </sheetView>
  </sheetViews>
  <sheetFormatPr baseColWidth="10" defaultColWidth="8.88671875" defaultRowHeight="10.199999999999999"/>
  <cols>
    <col min="1" max="1" width="28.88671875" style="373" bestFit="1" customWidth="1"/>
    <col min="2" max="2" width="5" style="373" customWidth="1"/>
    <col min="3" max="3" width="16" style="374" customWidth="1"/>
    <col min="4" max="4" width="8.109375" style="373" customWidth="1"/>
    <col min="5" max="6" width="32" style="373" customWidth="1"/>
    <col min="7" max="7" width="24.6640625" style="374" bestFit="1" customWidth="1"/>
    <col min="8" max="11" width="32" style="373" customWidth="1"/>
    <col min="12" max="12" width="25.5546875" style="374" customWidth="1"/>
    <col min="13" max="16384" width="8.88671875" style="373"/>
  </cols>
  <sheetData>
    <row r="1" spans="1:12">
      <c r="A1" s="377" t="s">
        <v>279</v>
      </c>
      <c r="B1" s="377" t="s">
        <v>280</v>
      </c>
      <c r="C1" s="376" t="s">
        <v>281</v>
      </c>
      <c r="D1" s="377" t="s">
        <v>282</v>
      </c>
      <c r="E1" s="377" t="s">
        <v>283</v>
      </c>
      <c r="F1" s="377" t="s">
        <v>284</v>
      </c>
      <c r="G1" s="376" t="s">
        <v>285</v>
      </c>
      <c r="H1" s="377" t="s">
        <v>286</v>
      </c>
      <c r="I1" s="377" t="s">
        <v>287</v>
      </c>
      <c r="J1" s="377" t="s">
        <v>288</v>
      </c>
      <c r="K1" s="377" t="s">
        <v>289</v>
      </c>
      <c r="L1" s="376" t="s">
        <v>290</v>
      </c>
    </row>
    <row r="2" spans="1:12" s="375" customFormat="1">
      <c r="A2" s="375" t="s">
        <v>291</v>
      </c>
      <c r="C2" s="378">
        <v>67334346</v>
      </c>
      <c r="G2" s="378">
        <v>0</v>
      </c>
      <c r="L2" s="378">
        <f>SUM(L3)</f>
        <v>237853.9</v>
      </c>
    </row>
    <row r="3" spans="1:12">
      <c r="B3" s="373" t="s">
        <v>292</v>
      </c>
      <c r="C3" s="374">
        <v>67334346</v>
      </c>
      <c r="D3" s="373" t="s">
        <v>293</v>
      </c>
      <c r="E3" s="373" t="s">
        <v>294</v>
      </c>
      <c r="G3" s="374">
        <v>0</v>
      </c>
      <c r="I3" s="373" t="s">
        <v>295</v>
      </c>
      <c r="J3" s="373" t="s">
        <v>296</v>
      </c>
      <c r="K3" s="373" t="s">
        <v>297</v>
      </c>
      <c r="L3" s="374">
        <v>237853.9</v>
      </c>
    </row>
    <row r="4" spans="1:12" s="375" customFormat="1">
      <c r="A4" s="375" t="s">
        <v>298</v>
      </c>
      <c r="C4" s="378">
        <v>20727336.359999999</v>
      </c>
      <c r="G4" s="378">
        <f>SUM(G5:G26)</f>
        <v>13343402.940000001</v>
      </c>
      <c r="L4" s="378">
        <f>SUM(L5:L26)</f>
        <v>19952057.539999999</v>
      </c>
    </row>
    <row r="5" spans="1:12">
      <c r="B5" s="373" t="s">
        <v>296</v>
      </c>
      <c r="C5" s="374">
        <v>8785614.5500000007</v>
      </c>
      <c r="D5" s="373" t="s">
        <v>299</v>
      </c>
      <c r="E5" s="373" t="s">
        <v>300</v>
      </c>
      <c r="G5" s="374">
        <v>928260</v>
      </c>
      <c r="I5" s="373" t="s">
        <v>301</v>
      </c>
      <c r="J5" s="373" t="s">
        <v>302</v>
      </c>
      <c r="K5" s="373" t="s">
        <v>303</v>
      </c>
      <c r="L5" s="374">
        <v>1998189</v>
      </c>
    </row>
    <row r="6" spans="1:12">
      <c r="B6" s="373" t="s">
        <v>296</v>
      </c>
      <c r="C6" s="374">
        <v>8785614.5500000007</v>
      </c>
      <c r="D6" s="373" t="s">
        <v>304</v>
      </c>
      <c r="E6" s="373" t="s">
        <v>305</v>
      </c>
      <c r="G6" s="374">
        <v>458400</v>
      </c>
      <c r="I6" s="373" t="s">
        <v>306</v>
      </c>
      <c r="J6" s="373" t="s">
        <v>302</v>
      </c>
      <c r="K6" s="373" t="s">
        <v>307</v>
      </c>
      <c r="L6" s="374">
        <v>586456</v>
      </c>
    </row>
    <row r="7" spans="1:12">
      <c r="B7" s="373" t="s">
        <v>296</v>
      </c>
      <c r="C7" s="374">
        <v>8785614.5500000007</v>
      </c>
      <c r="D7" s="373" t="s">
        <v>308</v>
      </c>
      <c r="E7" s="373" t="s">
        <v>309</v>
      </c>
      <c r="G7" s="374">
        <v>2521200</v>
      </c>
      <c r="I7" s="373" t="s">
        <v>310</v>
      </c>
      <c r="J7" s="373" t="s">
        <v>302</v>
      </c>
      <c r="K7" s="373" t="s">
        <v>311</v>
      </c>
      <c r="L7" s="374">
        <v>4876762</v>
      </c>
    </row>
    <row r="8" spans="1:12">
      <c r="B8" s="373" t="s">
        <v>296</v>
      </c>
      <c r="C8" s="374">
        <v>8785614.5500000007</v>
      </c>
      <c r="D8" s="373" t="s">
        <v>312</v>
      </c>
      <c r="E8" s="373" t="s">
        <v>313</v>
      </c>
      <c r="G8" s="374">
        <v>0</v>
      </c>
      <c r="I8" s="373" t="s">
        <v>295</v>
      </c>
      <c r="J8" s="373" t="s">
        <v>302</v>
      </c>
      <c r="K8" s="373" t="s">
        <v>314</v>
      </c>
      <c r="L8" s="374">
        <v>65555.56</v>
      </c>
    </row>
    <row r="9" spans="1:12">
      <c r="B9" s="373" t="s">
        <v>296</v>
      </c>
      <c r="C9" s="374">
        <v>8785614.5500000007</v>
      </c>
      <c r="D9" s="373" t="s">
        <v>315</v>
      </c>
      <c r="E9" s="373" t="s">
        <v>316</v>
      </c>
      <c r="G9" s="374">
        <v>53226.25</v>
      </c>
      <c r="I9" s="373" t="s">
        <v>317</v>
      </c>
      <c r="J9" s="373" t="s">
        <v>302</v>
      </c>
      <c r="K9" s="373" t="s">
        <v>318</v>
      </c>
      <c r="L9" s="374">
        <v>130588.15</v>
      </c>
    </row>
    <row r="10" spans="1:12">
      <c r="B10" s="373" t="s">
        <v>296</v>
      </c>
      <c r="C10" s="374">
        <v>8785614.5500000007</v>
      </c>
      <c r="D10" s="373" t="s">
        <v>319</v>
      </c>
      <c r="E10" s="373" t="s">
        <v>320</v>
      </c>
      <c r="G10" s="374">
        <v>276500</v>
      </c>
      <c r="I10" s="373" t="s">
        <v>317</v>
      </c>
      <c r="J10" s="373" t="s">
        <v>302</v>
      </c>
      <c r="K10" s="373" t="s">
        <v>320</v>
      </c>
      <c r="L10" s="374">
        <v>678380</v>
      </c>
    </row>
    <row r="11" spans="1:12">
      <c r="B11" s="373" t="s">
        <v>296</v>
      </c>
      <c r="C11" s="374">
        <v>8785614.5500000007</v>
      </c>
      <c r="D11" s="373" t="s">
        <v>321</v>
      </c>
      <c r="E11" s="373" t="s">
        <v>322</v>
      </c>
      <c r="G11" s="374">
        <v>247800</v>
      </c>
      <c r="I11" s="373" t="s">
        <v>323</v>
      </c>
      <c r="J11" s="373" t="s">
        <v>302</v>
      </c>
      <c r="K11" s="373" t="s">
        <v>324</v>
      </c>
      <c r="L11" s="374">
        <v>315239.40000000002</v>
      </c>
    </row>
    <row r="12" spans="1:12">
      <c r="B12" s="373" t="s">
        <v>296</v>
      </c>
      <c r="C12" s="374">
        <v>6300500.2999999998</v>
      </c>
      <c r="D12" s="373" t="s">
        <v>325</v>
      </c>
      <c r="E12" s="373" t="s">
        <v>326</v>
      </c>
      <c r="G12" s="374">
        <v>434969.03</v>
      </c>
      <c r="I12" s="373" t="s">
        <v>327</v>
      </c>
      <c r="L12" s="374">
        <v>686637.2</v>
      </c>
    </row>
    <row r="13" spans="1:12">
      <c r="B13" s="373" t="s">
        <v>296</v>
      </c>
      <c r="C13" s="374">
        <v>5932855.3499999996</v>
      </c>
      <c r="D13" s="373" t="s">
        <v>328</v>
      </c>
      <c r="E13" s="373" t="s">
        <v>329</v>
      </c>
      <c r="G13" s="374">
        <v>0</v>
      </c>
      <c r="I13" s="373" t="s">
        <v>330</v>
      </c>
      <c r="J13" s="373" t="s">
        <v>302</v>
      </c>
      <c r="K13" s="373" t="s">
        <v>331</v>
      </c>
      <c r="L13" s="374">
        <v>252520</v>
      </c>
    </row>
    <row r="14" spans="1:12">
      <c r="B14" s="373" t="s">
        <v>296</v>
      </c>
      <c r="C14" s="374">
        <v>5932855.3499999996</v>
      </c>
      <c r="D14" s="373" t="s">
        <v>332</v>
      </c>
      <c r="E14" s="373" t="s">
        <v>333</v>
      </c>
      <c r="G14" s="374">
        <v>3305186.65</v>
      </c>
      <c r="I14" s="373" t="s">
        <v>327</v>
      </c>
      <c r="J14" s="373" t="s">
        <v>302</v>
      </c>
      <c r="K14" s="373" t="s">
        <v>334</v>
      </c>
      <c r="L14" s="374">
        <v>3825551.15</v>
      </c>
    </row>
    <row r="15" spans="1:12">
      <c r="B15" s="373" t="s">
        <v>296</v>
      </c>
      <c r="C15" s="374">
        <v>5932855.3499999996</v>
      </c>
      <c r="D15" s="373" t="s">
        <v>335</v>
      </c>
      <c r="E15" s="373" t="s">
        <v>336</v>
      </c>
      <c r="G15" s="374">
        <v>0</v>
      </c>
      <c r="I15" s="373" t="s">
        <v>330</v>
      </c>
      <c r="J15" s="373" t="s">
        <v>302</v>
      </c>
      <c r="K15" s="373" t="s">
        <v>337</v>
      </c>
      <c r="L15" s="374">
        <v>135700</v>
      </c>
    </row>
    <row r="16" spans="1:12">
      <c r="B16" s="373" t="s">
        <v>296</v>
      </c>
      <c r="C16" s="374">
        <v>5932855.3499999996</v>
      </c>
      <c r="D16" s="373" t="s">
        <v>338</v>
      </c>
      <c r="E16" s="373" t="s">
        <v>339</v>
      </c>
      <c r="G16" s="374">
        <v>0</v>
      </c>
      <c r="I16" s="373" t="s">
        <v>327</v>
      </c>
      <c r="J16" s="373" t="s">
        <v>302</v>
      </c>
      <c r="K16" s="373" t="s">
        <v>339</v>
      </c>
      <c r="L16" s="374">
        <v>164685.57</v>
      </c>
    </row>
    <row r="17" spans="1:12">
      <c r="B17" s="373" t="s">
        <v>296</v>
      </c>
      <c r="C17" s="374">
        <v>5932855.3499999996</v>
      </c>
      <c r="D17" s="373" t="s">
        <v>340</v>
      </c>
      <c r="E17" s="373" t="s">
        <v>341</v>
      </c>
      <c r="G17" s="374">
        <v>174050</v>
      </c>
      <c r="I17" s="373" t="s">
        <v>342</v>
      </c>
      <c r="J17" s="373" t="s">
        <v>302</v>
      </c>
      <c r="K17" s="373" t="s">
        <v>343</v>
      </c>
      <c r="L17" s="374">
        <v>348690</v>
      </c>
    </row>
    <row r="18" spans="1:12">
      <c r="B18" s="373" t="s">
        <v>296</v>
      </c>
      <c r="C18" s="374">
        <v>5932855.3499999996</v>
      </c>
      <c r="D18" s="373" t="s">
        <v>344</v>
      </c>
      <c r="E18" s="373" t="s">
        <v>345</v>
      </c>
      <c r="G18" s="374">
        <v>72726</v>
      </c>
      <c r="I18" s="373" t="s">
        <v>330</v>
      </c>
      <c r="J18" s="373" t="s">
        <v>302</v>
      </c>
      <c r="K18" s="373" t="s">
        <v>346</v>
      </c>
      <c r="L18" s="374">
        <v>81420</v>
      </c>
    </row>
    <row r="19" spans="1:12">
      <c r="B19" s="373" t="s">
        <v>296</v>
      </c>
      <c r="C19" s="374">
        <v>5932855.3499999996</v>
      </c>
      <c r="D19" s="373" t="s">
        <v>347</v>
      </c>
      <c r="E19" s="373" t="s">
        <v>348</v>
      </c>
      <c r="G19" s="374">
        <v>0</v>
      </c>
      <c r="I19" s="373" t="s">
        <v>349</v>
      </c>
      <c r="J19" s="373" t="s">
        <v>302</v>
      </c>
      <c r="K19" s="373" t="s">
        <v>350</v>
      </c>
      <c r="L19" s="374">
        <v>10000</v>
      </c>
    </row>
    <row r="20" spans="1:12">
      <c r="B20" s="373" t="s">
        <v>296</v>
      </c>
      <c r="C20" s="374">
        <v>5932855.3499999996</v>
      </c>
      <c r="D20" s="373" t="s">
        <v>351</v>
      </c>
      <c r="E20" s="373" t="s">
        <v>352</v>
      </c>
      <c r="G20" s="374">
        <v>0</v>
      </c>
      <c r="I20" s="373" t="s">
        <v>353</v>
      </c>
      <c r="J20" s="373" t="s">
        <v>302</v>
      </c>
      <c r="K20" s="373" t="s">
        <v>354</v>
      </c>
      <c r="L20" s="374">
        <v>154462</v>
      </c>
    </row>
    <row r="21" spans="1:12">
      <c r="B21" s="373" t="s">
        <v>296</v>
      </c>
      <c r="C21" s="374">
        <v>5641221.5099999998</v>
      </c>
      <c r="D21" s="373" t="s">
        <v>355</v>
      </c>
      <c r="E21" s="373" t="s">
        <v>356</v>
      </c>
      <c r="G21" s="374">
        <v>247600</v>
      </c>
      <c r="I21" s="373" t="s">
        <v>357</v>
      </c>
      <c r="J21" s="373" t="s">
        <v>302</v>
      </c>
      <c r="K21" s="373" t="s">
        <v>358</v>
      </c>
      <c r="L21" s="374">
        <v>288628</v>
      </c>
    </row>
    <row r="22" spans="1:12">
      <c r="B22" s="373" t="s">
        <v>296</v>
      </c>
      <c r="C22" s="374">
        <v>5641221.5099999998</v>
      </c>
      <c r="D22" s="373" t="s">
        <v>359</v>
      </c>
      <c r="E22" s="373" t="s">
        <v>360</v>
      </c>
      <c r="G22" s="374">
        <v>762810.83</v>
      </c>
      <c r="I22" s="373" t="s">
        <v>361</v>
      </c>
      <c r="J22" s="373" t="s">
        <v>302</v>
      </c>
      <c r="K22" s="373" t="s">
        <v>362</v>
      </c>
      <c r="L22" s="374">
        <v>881242.59</v>
      </c>
    </row>
    <row r="23" spans="1:12">
      <c r="B23" s="373" t="s">
        <v>296</v>
      </c>
      <c r="C23" s="374">
        <v>5641221.5099999998</v>
      </c>
      <c r="D23" s="373" t="s">
        <v>363</v>
      </c>
      <c r="E23" s="373" t="s">
        <v>364</v>
      </c>
      <c r="G23" s="374">
        <v>409320</v>
      </c>
      <c r="I23" s="373" t="s">
        <v>365</v>
      </c>
      <c r="J23" s="373" t="s">
        <v>302</v>
      </c>
      <c r="K23" s="373" t="s">
        <v>366</v>
      </c>
      <c r="L23" s="374">
        <v>820656</v>
      </c>
    </row>
    <row r="24" spans="1:12">
      <c r="B24" s="373" t="s">
        <v>296</v>
      </c>
      <c r="C24" s="374">
        <v>5641221.5099999998</v>
      </c>
      <c r="D24" s="373" t="s">
        <v>367</v>
      </c>
      <c r="E24" s="373" t="s">
        <v>368</v>
      </c>
      <c r="G24" s="374">
        <v>273000</v>
      </c>
      <c r="I24" s="373" t="s">
        <v>369</v>
      </c>
      <c r="J24" s="373" t="s">
        <v>302</v>
      </c>
      <c r="K24" s="373" t="s">
        <v>370</v>
      </c>
      <c r="L24" s="374">
        <v>278099.52</v>
      </c>
    </row>
    <row r="25" spans="1:12">
      <c r="B25" s="373" t="s">
        <v>296</v>
      </c>
      <c r="C25" s="374">
        <v>5641221.5099999998</v>
      </c>
      <c r="D25" s="373" t="s">
        <v>371</v>
      </c>
      <c r="E25" s="373" t="s">
        <v>372</v>
      </c>
      <c r="G25" s="374">
        <v>385727.8</v>
      </c>
      <c r="I25" s="373" t="s">
        <v>373</v>
      </c>
      <c r="J25" s="373" t="s">
        <v>302</v>
      </c>
      <c r="K25" s="373" t="s">
        <v>374</v>
      </c>
      <c r="L25" s="374">
        <v>446042</v>
      </c>
    </row>
    <row r="26" spans="1:12">
      <c r="B26" s="373" t="s">
        <v>296</v>
      </c>
      <c r="C26" s="374">
        <v>5641221.5099999998</v>
      </c>
      <c r="D26" s="373" t="s">
        <v>375</v>
      </c>
      <c r="E26" s="373" t="s">
        <v>376</v>
      </c>
      <c r="G26" s="374">
        <v>2792626.38</v>
      </c>
      <c r="I26" s="373" t="s">
        <v>377</v>
      </c>
      <c r="J26" s="373" t="s">
        <v>302</v>
      </c>
      <c r="K26" s="373" t="s">
        <v>378</v>
      </c>
      <c r="L26" s="374">
        <v>2926553.4</v>
      </c>
    </row>
    <row r="27" spans="1:12" s="375" customFormat="1">
      <c r="A27" s="375" t="s">
        <v>379</v>
      </c>
      <c r="C27" s="378">
        <v>171771292</v>
      </c>
      <c r="G27" s="378">
        <f>+G28</f>
        <v>0</v>
      </c>
      <c r="L27" s="378">
        <f>SUM(L28)</f>
        <v>171771292</v>
      </c>
    </row>
    <row r="28" spans="1:12">
      <c r="B28" s="373" t="s">
        <v>380</v>
      </c>
      <c r="C28" s="374">
        <v>171771292</v>
      </c>
      <c r="D28" s="373" t="s">
        <v>381</v>
      </c>
      <c r="E28" s="373" t="s">
        <v>382</v>
      </c>
      <c r="I28" s="373" t="s">
        <v>383</v>
      </c>
      <c r="J28" s="373" t="s">
        <v>302</v>
      </c>
      <c r="K28" s="373" t="s">
        <v>379</v>
      </c>
      <c r="L28" s="374">
        <v>171771292</v>
      </c>
    </row>
    <row r="29" spans="1:12" s="375" customFormat="1">
      <c r="A29" s="375" t="s">
        <v>384</v>
      </c>
      <c r="C29" s="378">
        <v>137417034</v>
      </c>
      <c r="G29" s="378">
        <f>+G30</f>
        <v>0</v>
      </c>
      <c r="L29" s="378">
        <f>SUM(L30:L30)</f>
        <v>137416238</v>
      </c>
    </row>
    <row r="30" spans="1:12">
      <c r="B30" s="373" t="s">
        <v>302</v>
      </c>
      <c r="C30" s="374">
        <v>137417034</v>
      </c>
      <c r="D30" s="373" t="s">
        <v>385</v>
      </c>
      <c r="E30" s="373" t="s">
        <v>386</v>
      </c>
      <c r="G30" s="374">
        <v>0</v>
      </c>
      <c r="I30" s="373" t="s">
        <v>295</v>
      </c>
      <c r="J30" s="373" t="s">
        <v>302</v>
      </c>
      <c r="K30" s="373" t="s">
        <v>386</v>
      </c>
      <c r="L30" s="374">
        <v>137416238</v>
      </c>
    </row>
    <row r="31" spans="1:12" s="375" customFormat="1">
      <c r="A31" s="375" t="s">
        <v>387</v>
      </c>
      <c r="C31" s="378">
        <v>35151584</v>
      </c>
      <c r="G31" s="378">
        <f>+G32</f>
        <v>0</v>
      </c>
      <c r="L31" s="378">
        <f>SUM(L32)</f>
        <v>35155869.210000001</v>
      </c>
    </row>
    <row r="32" spans="1:12">
      <c r="B32" s="373" t="s">
        <v>296</v>
      </c>
      <c r="C32" s="374">
        <v>35151584</v>
      </c>
      <c r="D32" s="373" t="s">
        <v>388</v>
      </c>
      <c r="E32" s="373" t="s">
        <v>387</v>
      </c>
      <c r="G32" s="374">
        <v>0</v>
      </c>
      <c r="I32" s="373" t="s">
        <v>389</v>
      </c>
      <c r="J32" s="373" t="s">
        <v>302</v>
      </c>
      <c r="K32" s="373" t="s">
        <v>387</v>
      </c>
      <c r="L32" s="374">
        <v>35155869.210000001</v>
      </c>
    </row>
    <row r="33" spans="1:12" s="375" customFormat="1">
      <c r="A33" s="375" t="s">
        <v>390</v>
      </c>
      <c r="C33" s="378">
        <v>11603049.300000001</v>
      </c>
      <c r="G33" s="378">
        <f>SUM(G34:G42)</f>
        <v>7858239.5899999999</v>
      </c>
      <c r="L33" s="378">
        <f>SUM(L34:L42)</f>
        <v>12074454.789999999</v>
      </c>
    </row>
    <row r="34" spans="1:12">
      <c r="B34" s="373" t="s">
        <v>302</v>
      </c>
      <c r="C34" s="374">
        <v>11603049.300000001</v>
      </c>
      <c r="D34" s="373" t="s">
        <v>391</v>
      </c>
      <c r="E34" s="373" t="s">
        <v>392</v>
      </c>
      <c r="G34" s="374">
        <v>2638181.14</v>
      </c>
      <c r="I34" s="373" t="s">
        <v>393</v>
      </c>
      <c r="J34" s="373" t="s">
        <v>302</v>
      </c>
      <c r="K34" s="373" t="s">
        <v>392</v>
      </c>
      <c r="L34" s="374">
        <v>2638181.14</v>
      </c>
    </row>
    <row r="35" spans="1:12">
      <c r="B35" s="373" t="s">
        <v>302</v>
      </c>
      <c r="C35" s="374">
        <v>11603049.300000001</v>
      </c>
      <c r="D35" s="373" t="s">
        <v>394</v>
      </c>
      <c r="E35" s="373" t="s">
        <v>395</v>
      </c>
      <c r="G35" s="374">
        <v>1290711</v>
      </c>
      <c r="I35" s="373" t="s">
        <v>396</v>
      </c>
      <c r="J35" s="373" t="s">
        <v>302</v>
      </c>
      <c r="K35" s="373" t="s">
        <v>397</v>
      </c>
      <c r="L35" s="374">
        <v>1290711</v>
      </c>
    </row>
    <row r="36" spans="1:12">
      <c r="B36" s="373" t="s">
        <v>302</v>
      </c>
      <c r="C36" s="374">
        <v>11603049.300000001</v>
      </c>
      <c r="D36" s="373" t="s">
        <v>398</v>
      </c>
      <c r="E36" s="373" t="s">
        <v>399</v>
      </c>
      <c r="G36" s="374">
        <v>1293711.6000000001</v>
      </c>
      <c r="I36" s="373" t="s">
        <v>400</v>
      </c>
      <c r="J36" s="373" t="s">
        <v>302</v>
      </c>
      <c r="K36" s="373" t="s">
        <v>401</v>
      </c>
      <c r="L36" s="374">
        <v>1293711.6000000001</v>
      </c>
    </row>
    <row r="37" spans="1:12">
      <c r="B37" s="373" t="s">
        <v>302</v>
      </c>
      <c r="C37" s="374">
        <v>11603049.300000001</v>
      </c>
      <c r="D37" s="373" t="s">
        <v>402</v>
      </c>
      <c r="E37" s="373" t="s">
        <v>403</v>
      </c>
      <c r="G37" s="374">
        <v>1050104.3200000001</v>
      </c>
      <c r="I37" s="373" t="s">
        <v>404</v>
      </c>
      <c r="J37" s="373" t="s">
        <v>302</v>
      </c>
      <c r="K37" s="373" t="s">
        <v>405</v>
      </c>
      <c r="L37" s="374">
        <v>3500347.73</v>
      </c>
    </row>
    <row r="38" spans="1:12">
      <c r="B38" s="373" t="s">
        <v>302</v>
      </c>
      <c r="C38" s="374">
        <v>11603049.300000001</v>
      </c>
      <c r="D38" s="373" t="s">
        <v>406</v>
      </c>
      <c r="E38" s="373" t="s">
        <v>407</v>
      </c>
      <c r="G38" s="374">
        <v>231472.06</v>
      </c>
      <c r="I38" s="373" t="s">
        <v>408</v>
      </c>
      <c r="J38" s="373" t="s">
        <v>302</v>
      </c>
      <c r="K38" s="373" t="s">
        <v>409</v>
      </c>
      <c r="L38" s="374">
        <v>585972.87</v>
      </c>
    </row>
    <row r="39" spans="1:12">
      <c r="B39" s="373" t="s">
        <v>302</v>
      </c>
      <c r="C39" s="374">
        <v>11603049.300000001</v>
      </c>
      <c r="D39" s="373" t="s">
        <v>410</v>
      </c>
      <c r="E39" s="373" t="s">
        <v>411</v>
      </c>
      <c r="G39" s="374">
        <v>0</v>
      </c>
      <c r="I39" s="373" t="s">
        <v>412</v>
      </c>
      <c r="J39" s="373" t="s">
        <v>302</v>
      </c>
      <c r="K39" s="373" t="s">
        <v>411</v>
      </c>
      <c r="L39" s="374">
        <v>7741.85</v>
      </c>
    </row>
    <row r="40" spans="1:12">
      <c r="B40" s="373" t="s">
        <v>302</v>
      </c>
      <c r="C40" s="374">
        <v>11603049.300000001</v>
      </c>
      <c r="D40" s="373" t="s">
        <v>293</v>
      </c>
      <c r="E40" s="373" t="s">
        <v>294</v>
      </c>
      <c r="G40" s="374">
        <v>0</v>
      </c>
      <c r="I40" s="373" t="s">
        <v>295</v>
      </c>
      <c r="J40" s="373" t="s">
        <v>302</v>
      </c>
      <c r="K40" s="373" t="s">
        <v>294</v>
      </c>
      <c r="L40" s="374">
        <v>865638.1</v>
      </c>
    </row>
    <row r="41" spans="1:12">
      <c r="B41" s="373" t="s">
        <v>302</v>
      </c>
      <c r="C41" s="374">
        <v>11603049.300000001</v>
      </c>
      <c r="D41" s="373" t="s">
        <v>413</v>
      </c>
      <c r="E41" s="373" t="s">
        <v>414</v>
      </c>
      <c r="G41" s="374">
        <v>1354059.47</v>
      </c>
      <c r="I41" s="373" t="s">
        <v>408</v>
      </c>
      <c r="J41" s="373" t="s">
        <v>302</v>
      </c>
      <c r="K41" s="373" t="s">
        <v>414</v>
      </c>
      <c r="L41" s="374">
        <v>1801499.93</v>
      </c>
    </row>
    <row r="42" spans="1:12">
      <c r="B42" s="373" t="s">
        <v>302</v>
      </c>
      <c r="C42" s="374">
        <v>11603049.300000001</v>
      </c>
      <c r="D42" s="373" t="s">
        <v>312</v>
      </c>
      <c r="E42" s="373" t="s">
        <v>313</v>
      </c>
      <c r="G42" s="374">
        <v>0</v>
      </c>
      <c r="I42" s="373" t="s">
        <v>295</v>
      </c>
      <c r="J42" s="373" t="s">
        <v>296</v>
      </c>
      <c r="K42" s="373" t="s">
        <v>415</v>
      </c>
      <c r="L42" s="374">
        <v>90650.57</v>
      </c>
    </row>
    <row r="43" spans="1:12" s="375" customFormat="1">
      <c r="A43" s="375" t="s">
        <v>416</v>
      </c>
      <c r="C43" s="378">
        <v>3839208.55</v>
      </c>
      <c r="G43" s="378">
        <f>SUM(G44:G47)</f>
        <v>1896969.47</v>
      </c>
      <c r="L43" s="378">
        <f>SUM(L44:L47)</f>
        <v>3654562.9699999997</v>
      </c>
    </row>
    <row r="44" spans="1:12">
      <c r="B44" s="373" t="s">
        <v>417</v>
      </c>
      <c r="C44" s="374">
        <v>3839208.55</v>
      </c>
      <c r="D44" s="373" t="s">
        <v>418</v>
      </c>
      <c r="E44" s="373" t="s">
        <v>419</v>
      </c>
      <c r="G44" s="374">
        <v>222000</v>
      </c>
      <c r="I44" s="373" t="s">
        <v>420</v>
      </c>
      <c r="J44" s="373" t="s">
        <v>296</v>
      </c>
      <c r="K44" s="373" t="s">
        <v>421</v>
      </c>
      <c r="L44" s="374">
        <v>752475</v>
      </c>
    </row>
    <row r="45" spans="1:12">
      <c r="B45" s="373" t="s">
        <v>417</v>
      </c>
      <c r="C45" s="374">
        <v>3839208.55</v>
      </c>
      <c r="D45" s="373" t="s">
        <v>422</v>
      </c>
      <c r="E45" s="373" t="s">
        <v>423</v>
      </c>
      <c r="G45" s="374">
        <v>88920</v>
      </c>
      <c r="I45" s="373" t="s">
        <v>424</v>
      </c>
      <c r="J45" s="373" t="s">
        <v>302</v>
      </c>
      <c r="K45" s="373" t="s">
        <v>423</v>
      </c>
      <c r="L45" s="374">
        <v>145920</v>
      </c>
    </row>
    <row r="46" spans="1:12">
      <c r="B46" s="373" t="s">
        <v>417</v>
      </c>
      <c r="C46" s="374">
        <v>3839208.55</v>
      </c>
      <c r="D46" s="373" t="s">
        <v>418</v>
      </c>
      <c r="E46" s="373" t="s">
        <v>419</v>
      </c>
      <c r="G46" s="374">
        <f>707326.5-222000</f>
        <v>485326.5</v>
      </c>
      <c r="I46" s="373" t="s">
        <v>420</v>
      </c>
      <c r="J46" s="373" t="s">
        <v>302</v>
      </c>
      <c r="K46" s="373" t="s">
        <v>425</v>
      </c>
      <c r="L46" s="374">
        <v>1655445</v>
      </c>
    </row>
    <row r="47" spans="1:12">
      <c r="B47" s="373" t="s">
        <v>417</v>
      </c>
      <c r="C47" s="374">
        <v>3839208.55</v>
      </c>
      <c r="D47" s="373" t="s">
        <v>426</v>
      </c>
      <c r="E47" s="373" t="s">
        <v>427</v>
      </c>
      <c r="G47" s="374">
        <v>1100722.97</v>
      </c>
      <c r="I47" s="373" t="s">
        <v>428</v>
      </c>
      <c r="J47" s="373" t="s">
        <v>302</v>
      </c>
      <c r="K47" s="373" t="s">
        <v>429</v>
      </c>
      <c r="L47" s="374">
        <v>1100722.97</v>
      </c>
    </row>
    <row r="48" spans="1:12" s="375" customFormat="1">
      <c r="A48" s="375" t="s">
        <v>259</v>
      </c>
      <c r="C48" s="378">
        <v>96272168.739999995</v>
      </c>
      <c r="G48" s="378">
        <f>SUM(G49:G52)</f>
        <v>86942321.670000002</v>
      </c>
      <c r="L48" s="378">
        <f>SUM(L49:L52)</f>
        <v>87141623.670000002</v>
      </c>
    </row>
    <row r="49" spans="1:12">
      <c r="B49" s="373" t="s">
        <v>302</v>
      </c>
      <c r="C49" s="374">
        <v>96272168.739999995</v>
      </c>
      <c r="D49" s="373" t="s">
        <v>312</v>
      </c>
      <c r="E49" s="373" t="s">
        <v>313</v>
      </c>
      <c r="G49" s="374">
        <v>0</v>
      </c>
      <c r="I49" s="373" t="s">
        <v>295</v>
      </c>
      <c r="J49" s="373" t="s">
        <v>292</v>
      </c>
      <c r="K49" s="373" t="s">
        <v>430</v>
      </c>
      <c r="L49" s="374">
        <v>106200</v>
      </c>
    </row>
    <row r="50" spans="1:12">
      <c r="B50" s="373" t="s">
        <v>302</v>
      </c>
      <c r="C50" s="374">
        <v>96272168.739999995</v>
      </c>
      <c r="D50" s="373" t="s">
        <v>431</v>
      </c>
      <c r="E50" s="373" t="s">
        <v>432</v>
      </c>
      <c r="G50" s="374">
        <v>0</v>
      </c>
      <c r="I50" s="373" t="s">
        <v>433</v>
      </c>
      <c r="J50" s="373" t="s">
        <v>302</v>
      </c>
      <c r="K50" s="373" t="s">
        <v>432</v>
      </c>
      <c r="L50" s="374">
        <v>59000</v>
      </c>
    </row>
    <row r="51" spans="1:12">
      <c r="B51" s="373" t="s">
        <v>302</v>
      </c>
      <c r="C51" s="374">
        <v>96272168.739999995</v>
      </c>
      <c r="D51" s="373" t="s">
        <v>434</v>
      </c>
      <c r="E51" s="373" t="s">
        <v>435</v>
      </c>
      <c r="G51" s="374">
        <v>0</v>
      </c>
      <c r="I51" s="373" t="s">
        <v>436</v>
      </c>
      <c r="J51" s="373" t="s">
        <v>302</v>
      </c>
      <c r="K51" s="373" t="s">
        <v>432</v>
      </c>
      <c r="L51" s="374">
        <v>34102</v>
      </c>
    </row>
    <row r="52" spans="1:12">
      <c r="B52" s="373" t="s">
        <v>302</v>
      </c>
      <c r="C52" s="374">
        <v>96272168.739999995</v>
      </c>
      <c r="D52" s="373" t="s">
        <v>437</v>
      </c>
      <c r="E52" s="373" t="s">
        <v>438</v>
      </c>
      <c r="G52" s="374">
        <v>86942321.670000002</v>
      </c>
      <c r="I52" s="373" t="s">
        <v>439</v>
      </c>
      <c r="J52" s="373" t="s">
        <v>302</v>
      </c>
      <c r="K52" s="373" t="s">
        <v>440</v>
      </c>
      <c r="L52" s="374">
        <v>86942321.670000002</v>
      </c>
    </row>
    <row r="53" spans="1:12" s="375" customFormat="1">
      <c r="A53" s="375" t="s">
        <v>271</v>
      </c>
      <c r="C53" s="378">
        <v>9038515.3900000006</v>
      </c>
      <c r="G53" s="378">
        <f>SUM(G54:G55)</f>
        <v>9038515.3900000006</v>
      </c>
      <c r="L53" s="378">
        <f>SUM(L54:L55)</f>
        <v>9038515.3900000006</v>
      </c>
    </row>
    <row r="54" spans="1:12">
      <c r="B54" s="373" t="s">
        <v>417</v>
      </c>
      <c r="C54" s="374">
        <v>7141348.9900000002</v>
      </c>
      <c r="D54" s="373" t="s">
        <v>441</v>
      </c>
      <c r="E54" s="373" t="s">
        <v>442</v>
      </c>
      <c r="G54" s="374">
        <f>+L54</f>
        <v>7141348.9900000002</v>
      </c>
      <c r="I54" s="373" t="s">
        <v>383</v>
      </c>
      <c r="J54" s="373" t="s">
        <v>302</v>
      </c>
      <c r="K54" s="373" t="s">
        <v>443</v>
      </c>
      <c r="L54" s="374">
        <v>7141348.9900000002</v>
      </c>
    </row>
    <row r="55" spans="1:12">
      <c r="B55" s="373" t="s">
        <v>417</v>
      </c>
      <c r="C55" s="374">
        <v>1897166.4</v>
      </c>
      <c r="D55" s="373" t="s">
        <v>444</v>
      </c>
      <c r="E55" s="373" t="s">
        <v>445</v>
      </c>
      <c r="G55" s="374">
        <f>+L55</f>
        <v>1897166.4</v>
      </c>
      <c r="I55" s="373" t="s">
        <v>383</v>
      </c>
      <c r="J55" s="373" t="s">
        <v>302</v>
      </c>
      <c r="K55" s="373" t="s">
        <v>446</v>
      </c>
      <c r="L55" s="374">
        <v>1897166.4</v>
      </c>
    </row>
    <row r="56" spans="1:12" s="375" customFormat="1">
      <c r="A56" s="377" t="s">
        <v>447</v>
      </c>
      <c r="B56" s="377"/>
      <c r="C56" s="376">
        <v>553154534.34000003</v>
      </c>
      <c r="D56" s="377"/>
      <c r="E56" s="377"/>
      <c r="F56" s="377"/>
      <c r="G56" s="376">
        <f t="shared" ref="G56:K56" si="0">+G2+G4+G27+G29+G31+G33+G43+G48+G53</f>
        <v>119079449.06</v>
      </c>
      <c r="H56" s="376">
        <f t="shared" si="0"/>
        <v>0</v>
      </c>
      <c r="I56" s="376">
        <f t="shared" si="0"/>
        <v>0</v>
      </c>
      <c r="J56" s="376">
        <f t="shared" si="0"/>
        <v>0</v>
      </c>
      <c r="K56" s="376">
        <f t="shared" si="0"/>
        <v>0</v>
      </c>
      <c r="L56" s="376">
        <f>+L2+L4+L27+L29+L31+L33+L43+L48+L53</f>
        <v>476442467.47000003</v>
      </c>
    </row>
  </sheetData>
  <autoFilter ref="A1:L1" xr:uid="{A775ACF9-4F71-4B15-BA32-C6E09EE60A6E}"/>
  <pageMargins left="0.7" right="0.7" top="0.75" bottom="0.75" header="0.3" footer="0.3"/>
  <pageSetup orientation="portrait" horizontalDpi="4294967295" verticalDpi="4294967295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33088-EA89-46FF-BB86-7FFC103A855E}">
  <dimension ref="B2:K43"/>
  <sheetViews>
    <sheetView showGridLines="0" zoomScaleNormal="100" workbookViewId="0">
      <selection activeCell="F10" sqref="F10"/>
    </sheetView>
  </sheetViews>
  <sheetFormatPr baseColWidth="10" defaultColWidth="11.44140625" defaultRowHeight="14.4"/>
  <cols>
    <col min="1" max="1" width="18.6640625" customWidth="1"/>
    <col min="2" max="2" width="29.5546875" bestFit="1" customWidth="1"/>
    <col min="3" max="3" width="18.44140625" bestFit="1" customWidth="1"/>
    <col min="4" max="4" width="18" bestFit="1" customWidth="1"/>
    <col min="5" max="6" width="16.88671875" bestFit="1" customWidth="1"/>
    <col min="7" max="11" width="17" bestFit="1" customWidth="1"/>
  </cols>
  <sheetData>
    <row r="2" spans="2:11">
      <c r="D2">
        <v>59.9</v>
      </c>
    </row>
    <row r="3" spans="2:11">
      <c r="B3" s="142">
        <v>160000000</v>
      </c>
      <c r="C3" s="162">
        <f>B3-C4</f>
        <v>65967960.159999996</v>
      </c>
      <c r="D3" s="162">
        <f>C3-(SUM(D5:D8))</f>
        <v>41084982.207438283</v>
      </c>
    </row>
    <row r="4" spans="2:11" ht="15" thickBot="1">
      <c r="B4" s="284" t="s">
        <v>259</v>
      </c>
      <c r="C4" s="142">
        <v>94032039.840000004</v>
      </c>
      <c r="D4" s="142"/>
    </row>
    <row r="5" spans="2:11" ht="15.6" thickTop="1" thickBot="1">
      <c r="B5" s="284" t="s">
        <v>260</v>
      </c>
      <c r="C5" s="142"/>
      <c r="D5" s="162">
        <f>D10*$D$2</f>
        <v>9215810.2113617156</v>
      </c>
    </row>
    <row r="6" spans="2:11" ht="15.6" thickTop="1" thickBot="1">
      <c r="B6" s="285" t="s">
        <v>261</v>
      </c>
      <c r="C6" s="142"/>
      <c r="D6" s="162">
        <f t="shared" ref="D6:D8" si="0">D11*$D$2</f>
        <v>781278.0959999999</v>
      </c>
    </row>
    <row r="7" spans="2:11" ht="15.6" thickTop="1" thickBot="1">
      <c r="B7" s="285" t="s">
        <v>149</v>
      </c>
      <c r="C7" s="142"/>
      <c r="D7" s="162">
        <f t="shared" si="0"/>
        <v>11511123.645199999</v>
      </c>
    </row>
    <row r="8" spans="2:11" ht="15.6" thickTop="1" thickBot="1">
      <c r="B8" s="285" t="s">
        <v>262</v>
      </c>
      <c r="C8" s="142"/>
      <c r="D8" s="162">
        <f t="shared" si="0"/>
        <v>3374766</v>
      </c>
    </row>
    <row r="9" spans="2:11" ht="15" thickTop="1"/>
    <row r="10" spans="2:11">
      <c r="D10" s="142">
        <v>153853.25895428573</v>
      </c>
    </row>
    <row r="11" spans="2:11">
      <c r="D11" s="142">
        <v>13043.039999999999</v>
      </c>
    </row>
    <row r="12" spans="2:11">
      <c r="D12" s="142">
        <v>192172.348</v>
      </c>
    </row>
    <row r="13" spans="2:11">
      <c r="D13" s="142">
        <v>56340</v>
      </c>
    </row>
    <row r="16" spans="2:11" ht="31.2">
      <c r="B16" s="342"/>
      <c r="C16" s="343" t="s">
        <v>263</v>
      </c>
      <c r="D16" s="344" t="s">
        <v>448</v>
      </c>
      <c r="E16" s="343">
        <v>45505</v>
      </c>
      <c r="F16" s="343">
        <v>45536</v>
      </c>
      <c r="G16" s="343">
        <v>45566</v>
      </c>
      <c r="H16" s="343">
        <v>45597</v>
      </c>
      <c r="I16" s="343">
        <v>45627</v>
      </c>
      <c r="J16" s="343">
        <v>45658</v>
      </c>
      <c r="K16" s="343">
        <v>45689</v>
      </c>
    </row>
    <row r="17" spans="2:11" ht="15.6">
      <c r="B17" s="345" t="s">
        <v>265</v>
      </c>
      <c r="C17" s="346">
        <v>160000000</v>
      </c>
      <c r="D17" s="347"/>
      <c r="E17" s="347"/>
      <c r="F17" s="347"/>
      <c r="G17" s="347"/>
      <c r="H17" s="347"/>
      <c r="I17" s="347"/>
      <c r="J17" s="347"/>
      <c r="K17" s="347"/>
    </row>
    <row r="18" spans="2:11" ht="15.6">
      <c r="B18" s="345" t="s">
        <v>266</v>
      </c>
      <c r="C18" s="152"/>
      <c r="D18" s="348">
        <f>C17-D19</f>
        <v>25726926.169999987</v>
      </c>
      <c r="E18" s="348">
        <f>D18-E19</f>
        <v>15519576.169999987</v>
      </c>
      <c r="F18" s="348">
        <f>E18-F19</f>
        <v>3489656.1699999869</v>
      </c>
      <c r="G18" s="348">
        <f t="shared" ref="G18:K18" si="1">F18-G19</f>
        <v>-3868013.8300000131</v>
      </c>
      <c r="H18" s="348">
        <f t="shared" si="1"/>
        <v>-6268933.8300000131</v>
      </c>
      <c r="I18" s="348">
        <f t="shared" si="1"/>
        <v>-8342053.8300000131</v>
      </c>
      <c r="J18" s="348">
        <f t="shared" si="1"/>
        <v>-10415173.830000013</v>
      </c>
      <c r="K18" s="348">
        <f t="shared" si="1"/>
        <v>-12488293.830000013</v>
      </c>
    </row>
    <row r="19" spans="2:11" ht="15.6">
      <c r="B19" s="345" t="s">
        <v>267</v>
      </c>
      <c r="C19" s="349"/>
      <c r="D19" s="346">
        <f>SUM(D21:D31)</f>
        <v>134273073.83000001</v>
      </c>
      <c r="E19" s="346">
        <f t="shared" ref="E19:K19" si="2">SUM(E21:E31)</f>
        <v>10207350</v>
      </c>
      <c r="F19" s="346">
        <f t="shared" si="2"/>
        <v>12029920</v>
      </c>
      <c r="G19" s="346">
        <f t="shared" si="2"/>
        <v>7357670</v>
      </c>
      <c r="H19" s="346">
        <f t="shared" si="2"/>
        <v>2400920</v>
      </c>
      <c r="I19" s="346">
        <f t="shared" si="2"/>
        <v>2073120</v>
      </c>
      <c r="J19" s="346">
        <f t="shared" si="2"/>
        <v>2073120</v>
      </c>
      <c r="K19" s="346">
        <f t="shared" si="2"/>
        <v>2073120</v>
      </c>
    </row>
    <row r="20" spans="2:11" ht="2.4" customHeight="1">
      <c r="B20" s="350"/>
      <c r="C20" s="351"/>
      <c r="D20" s="352"/>
      <c r="E20" s="352"/>
      <c r="F20" s="352"/>
      <c r="G20" s="352"/>
      <c r="H20" s="352"/>
      <c r="I20" s="352"/>
      <c r="J20" s="352"/>
      <c r="K20" s="352"/>
    </row>
    <row r="21" spans="2:11" ht="15.6">
      <c r="B21" s="353" t="s">
        <v>259</v>
      </c>
      <c r="C21" s="354"/>
      <c r="D21" s="355">
        <f>+'PRESENTACIÓN Al 31072024'!I5</f>
        <v>94172341.829999998</v>
      </c>
      <c r="E21" s="355"/>
      <c r="F21" s="355"/>
      <c r="G21" s="355"/>
      <c r="H21" s="355"/>
      <c r="I21" s="355"/>
      <c r="J21" s="355"/>
      <c r="K21" s="355"/>
    </row>
    <row r="22" spans="2:11" ht="15.6">
      <c r="B22" s="356" t="s">
        <v>260</v>
      </c>
      <c r="C22" s="349"/>
      <c r="D22" s="346">
        <f>+'PRESENTACIÓN Al 31072024'!I18</f>
        <v>17077187.989999998</v>
      </c>
      <c r="E22" s="346">
        <v>1500000</v>
      </c>
      <c r="F22" s="346">
        <v>1500000</v>
      </c>
      <c r="G22" s="346"/>
      <c r="H22" s="346"/>
      <c r="I22" s="346"/>
      <c r="J22" s="346"/>
      <c r="K22" s="346"/>
    </row>
    <row r="23" spans="2:11" ht="15.6">
      <c r="B23" s="356" t="s">
        <v>261</v>
      </c>
      <c r="C23" s="354"/>
      <c r="D23" s="355">
        <f>+'PRESENTACIÓN Al 31072024'!I17+'PRESENTACIÓN Al 31072024'!I13</f>
        <v>10816750.110000001</v>
      </c>
      <c r="E23" s="355">
        <v>2000000</v>
      </c>
      <c r="F23" s="355">
        <v>2000000</v>
      </c>
      <c r="G23" s="355">
        <v>4100000</v>
      </c>
      <c r="H23" s="355"/>
      <c r="I23" s="355"/>
      <c r="J23" s="355"/>
      <c r="K23" s="355"/>
    </row>
    <row r="24" spans="2:11" ht="15.6">
      <c r="B24" s="356" t="s">
        <v>271</v>
      </c>
      <c r="C24" s="349"/>
      <c r="D24" s="357">
        <f>+'PRESENTACIÓN Al 31072024'!I6</f>
        <v>9038515.3200000003</v>
      </c>
      <c r="E24" s="346">
        <v>3700000</v>
      </c>
      <c r="F24" s="346"/>
      <c r="G24" s="346"/>
      <c r="H24" s="346"/>
      <c r="I24" s="346"/>
      <c r="J24" s="346"/>
      <c r="K24" s="346"/>
    </row>
    <row r="25" spans="2:11" ht="15.6">
      <c r="B25" s="356" t="s">
        <v>449</v>
      </c>
      <c r="C25" s="354"/>
      <c r="D25" s="355">
        <f>+'PRESENTACIÓN Al 31072024'!I14</f>
        <v>2228058.4699999997</v>
      </c>
      <c r="E25" s="355">
        <f>37875*59.6</f>
        <v>2257350</v>
      </c>
      <c r="F25" s="355">
        <f>80200*59.6</f>
        <v>4779920</v>
      </c>
      <c r="G25" s="355">
        <f>42075*59.6</f>
        <v>2507670</v>
      </c>
      <c r="H25" s="355">
        <f>27700*59.6</f>
        <v>1650920</v>
      </c>
      <c r="I25" s="355">
        <f>22200*59.6</f>
        <v>1323120</v>
      </c>
      <c r="J25" s="355">
        <f>22200*59.6</f>
        <v>1323120</v>
      </c>
      <c r="K25" s="355">
        <f>22200*59.6</f>
        <v>1323120</v>
      </c>
    </row>
    <row r="26" spans="2:11" ht="15.6">
      <c r="B26" s="358"/>
      <c r="C26" s="349"/>
      <c r="D26" s="346"/>
      <c r="E26" s="346"/>
      <c r="F26" s="346"/>
      <c r="G26" s="346"/>
      <c r="H26" s="346"/>
      <c r="I26" s="346"/>
      <c r="J26" s="346"/>
      <c r="K26" s="346"/>
    </row>
    <row r="27" spans="2:11" ht="3.6" customHeight="1">
      <c r="B27" s="359"/>
      <c r="C27" s="360"/>
      <c r="D27" s="361"/>
      <c r="E27" s="361"/>
      <c r="F27" s="361"/>
      <c r="G27" s="361"/>
      <c r="H27" s="361"/>
      <c r="I27" s="361"/>
      <c r="J27" s="361"/>
      <c r="K27" s="361"/>
    </row>
    <row r="28" spans="2:11" ht="15.6">
      <c r="B28" s="362" t="s">
        <v>450</v>
      </c>
      <c r="C28" s="363"/>
      <c r="D28" s="364">
        <f>+'PRESENTACIÓN Al 31072024'!I8+'PRESENTACIÓN Al 31072024'!I11</f>
        <v>940220.11</v>
      </c>
      <c r="E28" s="364">
        <v>750000</v>
      </c>
      <c r="F28" s="364">
        <v>750000</v>
      </c>
      <c r="G28" s="364">
        <v>750000</v>
      </c>
      <c r="H28" s="364">
        <v>750000</v>
      </c>
      <c r="I28" s="364">
        <v>750000</v>
      </c>
      <c r="J28" s="364">
        <v>750000</v>
      </c>
      <c r="K28" s="364">
        <v>750000</v>
      </c>
    </row>
    <row r="29" spans="2:11" ht="15.6">
      <c r="B29" s="362" t="s">
        <v>273</v>
      </c>
      <c r="C29" s="349"/>
      <c r="D29" s="346"/>
      <c r="E29" s="346"/>
      <c r="F29" s="346"/>
      <c r="G29" s="346"/>
      <c r="H29" s="346"/>
      <c r="I29" s="346"/>
      <c r="J29" s="346"/>
      <c r="K29" s="346"/>
    </row>
    <row r="30" spans="2:11" ht="15.6">
      <c r="B30" s="362" t="s">
        <v>274</v>
      </c>
      <c r="C30" s="365"/>
      <c r="D30" s="355"/>
      <c r="E30" s="355"/>
      <c r="F30" s="355">
        <v>3000000</v>
      </c>
      <c r="G30" s="355"/>
      <c r="H30" s="355"/>
      <c r="I30" s="355"/>
      <c r="J30" s="355"/>
      <c r="K30" s="355"/>
    </row>
    <row r="33" spans="2:5">
      <c r="E33" s="162">
        <f>SUM(E28:E32)</f>
        <v>750000</v>
      </c>
    </row>
    <row r="39" spans="2:5">
      <c r="B39" s="142">
        <v>4837716.2100000009</v>
      </c>
    </row>
    <row r="40" spans="2:5">
      <c r="B40" s="142">
        <v>6800000</v>
      </c>
      <c r="C40" t="s">
        <v>230</v>
      </c>
    </row>
    <row r="41" spans="2:5">
      <c r="B41" s="142">
        <v>8480849.7899999991</v>
      </c>
      <c r="C41" t="s">
        <v>231</v>
      </c>
    </row>
    <row r="42" spans="2:5">
      <c r="B42" s="142">
        <v>2390947.54</v>
      </c>
      <c r="C42" t="s">
        <v>232</v>
      </c>
    </row>
    <row r="43" spans="2:5">
      <c r="B43" s="162">
        <f>SUM(B39:B42)</f>
        <v>22509513.539999999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FC426-CFF5-47FD-9D14-7C464ED91AB1}">
  <dimension ref="A3:D19"/>
  <sheetViews>
    <sheetView workbookViewId="0">
      <selection activeCell="D23" sqref="D23"/>
    </sheetView>
  </sheetViews>
  <sheetFormatPr baseColWidth="10" defaultColWidth="11.44140625" defaultRowHeight="14.4"/>
  <cols>
    <col min="1" max="1" width="35.6640625" bestFit="1" customWidth="1"/>
    <col min="2" max="2" width="29.6640625" style="370" bestFit="1" customWidth="1"/>
    <col min="3" max="3" width="28.6640625" style="370" bestFit="1" customWidth="1"/>
    <col min="4" max="4" width="32.88671875" style="370" bestFit="1" customWidth="1"/>
  </cols>
  <sheetData>
    <row r="3" spans="1:4">
      <c r="A3" s="372" t="s">
        <v>451</v>
      </c>
      <c r="B3" s="370" t="s">
        <v>452</v>
      </c>
      <c r="C3" s="370" t="s">
        <v>453</v>
      </c>
      <c r="D3" s="370" t="s">
        <v>454</v>
      </c>
    </row>
    <row r="4" spans="1:4">
      <c r="A4" s="371" t="s">
        <v>65</v>
      </c>
      <c r="B4" s="370">
        <v>103385169</v>
      </c>
      <c r="C4" s="370">
        <v>87141623.670000002</v>
      </c>
      <c r="D4" s="370">
        <v>87141623.670000002</v>
      </c>
    </row>
    <row r="5" spans="1:4">
      <c r="A5" s="371" t="s">
        <v>68</v>
      </c>
      <c r="B5" s="370">
        <v>20589999.999999996</v>
      </c>
      <c r="C5" s="370">
        <v>19952057.539999999</v>
      </c>
      <c r="D5" s="370">
        <v>8175286.7999999998</v>
      </c>
    </row>
    <row r="6" spans="1:4">
      <c r="A6" s="371" t="s">
        <v>212</v>
      </c>
      <c r="B6" s="370">
        <v>0</v>
      </c>
      <c r="C6" s="370">
        <v>0</v>
      </c>
      <c r="D6" s="370">
        <v>0</v>
      </c>
    </row>
    <row r="7" spans="1:4">
      <c r="A7" s="371" t="s">
        <v>78</v>
      </c>
      <c r="B7" s="370">
        <v>451758999.99999994</v>
      </c>
      <c r="C7" s="370">
        <v>9038515.3900000006</v>
      </c>
      <c r="D7" s="370">
        <v>7467449.3200000003</v>
      </c>
    </row>
    <row r="8" spans="1:4">
      <c r="A8" s="371" t="s">
        <v>90</v>
      </c>
      <c r="B8" s="370">
        <v>1265953920</v>
      </c>
      <c r="C8" s="370">
        <v>0</v>
      </c>
      <c r="D8" s="370">
        <v>0</v>
      </c>
    </row>
    <row r="9" spans="1:4">
      <c r="A9" s="371" t="s">
        <v>105</v>
      </c>
      <c r="B9" s="370">
        <v>171771292</v>
      </c>
      <c r="C9" s="370">
        <v>171771292</v>
      </c>
      <c r="D9" s="370">
        <v>776107.84</v>
      </c>
    </row>
    <row r="10" spans="1:4">
      <c r="A10" s="371" t="s">
        <v>108</v>
      </c>
      <c r="B10" s="370">
        <v>34354258</v>
      </c>
      <c r="C10" s="370">
        <v>0</v>
      </c>
      <c r="D10" s="370">
        <v>0</v>
      </c>
    </row>
    <row r="11" spans="1:4">
      <c r="A11" s="371" t="s">
        <v>112</v>
      </c>
      <c r="B11" s="370">
        <v>137417034</v>
      </c>
      <c r="C11" s="370">
        <v>137416238</v>
      </c>
      <c r="D11" s="370">
        <v>161175.97</v>
      </c>
    </row>
    <row r="12" spans="1:4">
      <c r="A12" s="371" t="s">
        <v>115</v>
      </c>
      <c r="B12" s="370">
        <v>281704919</v>
      </c>
      <c r="C12" s="370">
        <v>35155869.210000001</v>
      </c>
      <c r="D12" s="370">
        <v>0</v>
      </c>
    </row>
    <row r="13" spans="1:4">
      <c r="A13" s="371" t="s">
        <v>119</v>
      </c>
      <c r="B13" s="370">
        <v>67334346</v>
      </c>
      <c r="C13" s="370">
        <v>237853.9</v>
      </c>
      <c r="D13" s="370">
        <v>237853.9</v>
      </c>
    </row>
    <row r="14" spans="1:4">
      <c r="A14" s="371" t="s">
        <v>122</v>
      </c>
      <c r="B14" s="370">
        <v>51531387.949999996</v>
      </c>
      <c r="C14" s="370">
        <v>3654562.97</v>
      </c>
      <c r="D14" s="370">
        <v>2285058.4700000002</v>
      </c>
    </row>
    <row r="15" spans="1:4">
      <c r="A15" s="371" t="s">
        <v>126</v>
      </c>
      <c r="B15" s="370">
        <v>19238385</v>
      </c>
      <c r="C15" s="370">
        <v>0</v>
      </c>
      <c r="D15" s="370">
        <v>0</v>
      </c>
    </row>
    <row r="16" spans="1:4">
      <c r="A16" s="371" t="s">
        <v>193</v>
      </c>
      <c r="B16" s="370">
        <v>15000000</v>
      </c>
      <c r="C16" s="370">
        <v>12074454.789999999</v>
      </c>
      <c r="D16" s="370">
        <v>7796718.8200000003</v>
      </c>
    </row>
    <row r="17" spans="1:4">
      <c r="A17" s="371" t="s">
        <v>133</v>
      </c>
      <c r="B17" s="370">
        <v>19238385</v>
      </c>
      <c r="C17" s="370">
        <v>0</v>
      </c>
      <c r="D17" s="370">
        <v>0</v>
      </c>
    </row>
    <row r="18" spans="1:4">
      <c r="A18" s="371" t="s">
        <v>136</v>
      </c>
      <c r="B18" s="370">
        <v>192383847</v>
      </c>
      <c r="C18" s="370">
        <v>0</v>
      </c>
      <c r="D18" s="370">
        <v>0</v>
      </c>
    </row>
    <row r="19" spans="1:4">
      <c r="A19" s="371" t="s">
        <v>455</v>
      </c>
      <c r="B19" s="370">
        <v>2831661942.9499998</v>
      </c>
      <c r="C19" s="370">
        <v>476442467.47000003</v>
      </c>
      <c r="D19" s="370">
        <v>114041274.78999999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CC019-8789-412E-825E-7B62AC786F71}">
  <dimension ref="A1:AM54"/>
  <sheetViews>
    <sheetView topLeftCell="G31" workbookViewId="0">
      <selection activeCell="R7" sqref="R7"/>
    </sheetView>
  </sheetViews>
  <sheetFormatPr baseColWidth="10" defaultColWidth="11.44140625" defaultRowHeight="14.4"/>
  <cols>
    <col min="2" max="2" width="22.109375" customWidth="1"/>
    <col min="3" max="3" width="30.5546875" customWidth="1"/>
    <col min="10" max="10" width="16.44140625" style="370" hidden="1" customWidth="1"/>
    <col min="11" max="12" width="11.6640625" style="370" hidden="1" customWidth="1"/>
    <col min="13" max="13" width="19.88671875" style="370" hidden="1" customWidth="1"/>
    <col min="14" max="14" width="11.6640625" style="370" hidden="1" customWidth="1"/>
    <col min="15" max="15" width="21.88671875" style="370" bestFit="1" customWidth="1"/>
    <col min="16" max="16" width="21" style="370" bestFit="1" customWidth="1"/>
    <col min="17" max="17" width="11.6640625" style="370" bestFit="1" customWidth="1"/>
    <col min="18" max="18" width="25" style="370" bestFit="1" customWidth="1"/>
    <col min="19" max="19" width="11.6640625" style="370" bestFit="1" customWidth="1"/>
    <col min="20" max="20" width="14.6640625" style="370" bestFit="1" customWidth="1"/>
    <col min="21" max="21" width="11.6640625" style="370" bestFit="1" customWidth="1"/>
    <col min="22" max="22" width="11.5546875" style="370"/>
    <col min="23" max="25" width="14.6640625" style="370" bestFit="1" customWidth="1"/>
    <col min="26" max="39" width="11.5546875" style="370"/>
  </cols>
  <sheetData>
    <row r="1" spans="1:25">
      <c r="A1" t="s">
        <v>456</v>
      </c>
      <c r="B1" t="s">
        <v>457</v>
      </c>
      <c r="C1" t="s">
        <v>458</v>
      </c>
      <c r="D1" t="s">
        <v>459</v>
      </c>
      <c r="E1" t="s">
        <v>460</v>
      </c>
      <c r="F1" t="s">
        <v>461</v>
      </c>
      <c r="G1" t="s">
        <v>462</v>
      </c>
      <c r="H1" t="s">
        <v>463</v>
      </c>
      <c r="I1" t="s">
        <v>464</v>
      </c>
      <c r="J1" s="370" t="s">
        <v>172</v>
      </c>
      <c r="K1" s="370" t="s">
        <v>465</v>
      </c>
      <c r="L1" s="370" t="s">
        <v>466</v>
      </c>
      <c r="M1" s="370" t="s">
        <v>467</v>
      </c>
      <c r="N1" s="370" t="s">
        <v>468</v>
      </c>
      <c r="O1" s="370" t="s">
        <v>469</v>
      </c>
      <c r="P1" s="370" t="s">
        <v>183</v>
      </c>
      <c r="Q1" s="370" t="s">
        <v>470</v>
      </c>
      <c r="R1" s="370" t="s">
        <v>184</v>
      </c>
      <c r="S1" s="370" t="s">
        <v>471</v>
      </c>
      <c r="T1" s="370" t="s">
        <v>175</v>
      </c>
      <c r="U1" s="370" t="s">
        <v>472</v>
      </c>
      <c r="V1" s="370" t="s">
        <v>473</v>
      </c>
      <c r="W1" s="370" t="s">
        <v>176</v>
      </c>
      <c r="X1" s="370" t="s">
        <v>177</v>
      </c>
      <c r="Y1" s="370" t="s">
        <v>178</v>
      </c>
    </row>
    <row r="2" spans="1:25">
      <c r="A2" t="s">
        <v>474</v>
      </c>
      <c r="B2" t="s">
        <v>64</v>
      </c>
      <c r="C2" t="s">
        <v>65</v>
      </c>
      <c r="D2" t="s">
        <v>66</v>
      </c>
      <c r="E2" t="s">
        <v>475</v>
      </c>
      <c r="F2" t="s">
        <v>474</v>
      </c>
      <c r="G2" t="s">
        <v>476</v>
      </c>
      <c r="H2" t="s">
        <v>477</v>
      </c>
      <c r="I2" t="s">
        <v>478</v>
      </c>
      <c r="J2" s="370">
        <v>7113000.2599999998</v>
      </c>
      <c r="K2" s="370">
        <v>0</v>
      </c>
      <c r="L2" s="370">
        <v>0</v>
      </c>
      <c r="M2" s="370">
        <v>7113000.2599999998</v>
      </c>
      <c r="N2" s="370">
        <v>0</v>
      </c>
      <c r="O2" s="370">
        <v>7113000.2599999998</v>
      </c>
      <c r="P2" s="370">
        <v>0</v>
      </c>
      <c r="Q2" s="370">
        <v>0</v>
      </c>
      <c r="R2" s="370">
        <v>0</v>
      </c>
      <c r="S2" s="370">
        <v>0</v>
      </c>
      <c r="T2" s="370">
        <v>0</v>
      </c>
      <c r="U2" s="370">
        <v>1</v>
      </c>
      <c r="W2" s="370">
        <v>7113000.2599999998</v>
      </c>
      <c r="X2" s="370">
        <v>7113000.2599999998</v>
      </c>
      <c r="Y2" s="370">
        <v>7113000.2599999998</v>
      </c>
    </row>
    <row r="3" spans="1:25">
      <c r="A3" t="s">
        <v>474</v>
      </c>
      <c r="B3" t="s">
        <v>64</v>
      </c>
      <c r="C3" t="s">
        <v>65</v>
      </c>
      <c r="D3" t="s">
        <v>67</v>
      </c>
      <c r="E3" t="s">
        <v>479</v>
      </c>
      <c r="F3" t="s">
        <v>474</v>
      </c>
      <c r="G3" t="s">
        <v>476</v>
      </c>
      <c r="H3" t="s">
        <v>480</v>
      </c>
      <c r="I3" t="s">
        <v>481</v>
      </c>
      <c r="J3" s="370">
        <v>96272168.739999995</v>
      </c>
      <c r="K3" s="370">
        <v>0</v>
      </c>
      <c r="L3" s="370">
        <v>0</v>
      </c>
      <c r="M3" s="370">
        <v>96272168.739999995</v>
      </c>
      <c r="N3" s="370">
        <v>0</v>
      </c>
      <c r="O3" s="370">
        <v>96272168.739999995</v>
      </c>
      <c r="P3" s="370">
        <v>87141623.670000002</v>
      </c>
      <c r="Q3" s="370">
        <v>0</v>
      </c>
      <c r="R3" s="370">
        <v>87141623.670000002</v>
      </c>
      <c r="S3" s="370">
        <v>0</v>
      </c>
      <c r="T3" s="370">
        <v>94172341.840000004</v>
      </c>
      <c r="U3" s="370">
        <v>1</v>
      </c>
      <c r="V3" s="370" t="s">
        <v>482</v>
      </c>
      <c r="W3" s="370">
        <v>96272168.739999995</v>
      </c>
      <c r="X3" s="370">
        <v>2099826.9</v>
      </c>
      <c r="Y3" s="370">
        <v>96272168.739999995</v>
      </c>
    </row>
    <row r="4" spans="1:25">
      <c r="A4" t="s">
        <v>474</v>
      </c>
      <c r="B4" t="s">
        <v>64</v>
      </c>
      <c r="C4" t="s">
        <v>68</v>
      </c>
      <c r="D4" t="s">
        <v>69</v>
      </c>
      <c r="E4" t="s">
        <v>483</v>
      </c>
      <c r="F4" t="s">
        <v>474</v>
      </c>
      <c r="G4" t="s">
        <v>476</v>
      </c>
      <c r="H4" t="s">
        <v>484</v>
      </c>
      <c r="I4" t="s">
        <v>485</v>
      </c>
      <c r="J4" s="370">
        <v>62663.64</v>
      </c>
      <c r="K4" s="370">
        <v>0</v>
      </c>
      <c r="L4" s="370">
        <v>0</v>
      </c>
      <c r="M4" s="370">
        <v>62663.64</v>
      </c>
      <c r="N4" s="370">
        <v>0</v>
      </c>
      <c r="O4" s="370">
        <v>62663.64</v>
      </c>
      <c r="P4" s="370">
        <v>0</v>
      </c>
      <c r="Q4" s="370">
        <v>0</v>
      </c>
      <c r="R4" s="370">
        <v>0</v>
      </c>
      <c r="S4" s="370">
        <v>0</v>
      </c>
      <c r="T4" s="370">
        <v>0</v>
      </c>
      <c r="U4" s="370">
        <v>1</v>
      </c>
      <c r="V4" s="370" t="s">
        <v>482</v>
      </c>
      <c r="W4" s="370">
        <v>62663.64</v>
      </c>
      <c r="X4" s="370">
        <v>62663.64</v>
      </c>
      <c r="Y4" s="370">
        <v>62663.64</v>
      </c>
    </row>
    <row r="5" spans="1:25">
      <c r="A5" t="s">
        <v>474</v>
      </c>
      <c r="B5" t="s">
        <v>64</v>
      </c>
      <c r="C5" t="s">
        <v>68</v>
      </c>
      <c r="D5" t="s">
        <v>70</v>
      </c>
      <c r="E5" t="s">
        <v>486</v>
      </c>
      <c r="F5" t="s">
        <v>474</v>
      </c>
      <c r="G5" t="s">
        <v>487</v>
      </c>
      <c r="H5" t="s">
        <v>488</v>
      </c>
      <c r="I5" t="s">
        <v>489</v>
      </c>
      <c r="J5" s="370">
        <v>0</v>
      </c>
      <c r="K5" s="370">
        <v>0</v>
      </c>
      <c r="L5" s="370">
        <v>0</v>
      </c>
      <c r="M5" s="370">
        <v>0</v>
      </c>
      <c r="N5" s="370">
        <v>0</v>
      </c>
      <c r="O5" s="370">
        <v>0</v>
      </c>
      <c r="P5" s="370">
        <v>0</v>
      </c>
      <c r="Q5" s="370">
        <v>0</v>
      </c>
      <c r="R5" s="370">
        <v>0</v>
      </c>
      <c r="S5" s="370">
        <v>0</v>
      </c>
      <c r="T5" s="370">
        <v>0</v>
      </c>
      <c r="X5" s="370">
        <v>0</v>
      </c>
      <c r="Y5" s="370">
        <v>0</v>
      </c>
    </row>
    <row r="6" spans="1:25">
      <c r="A6" t="s">
        <v>474</v>
      </c>
      <c r="B6" t="s">
        <v>64</v>
      </c>
      <c r="C6" t="s">
        <v>68</v>
      </c>
      <c r="D6" t="s">
        <v>70</v>
      </c>
      <c r="E6" t="s">
        <v>486</v>
      </c>
      <c r="F6" t="s">
        <v>474</v>
      </c>
      <c r="G6" t="s">
        <v>476</v>
      </c>
      <c r="H6" t="s">
        <v>490</v>
      </c>
      <c r="I6" t="s">
        <v>491</v>
      </c>
      <c r="J6" s="370">
        <v>5641221.5099999998</v>
      </c>
      <c r="K6" s="370">
        <v>0</v>
      </c>
      <c r="L6" s="370">
        <v>0</v>
      </c>
      <c r="M6" s="370">
        <v>5641221.5099999998</v>
      </c>
      <c r="N6" s="370">
        <v>0</v>
      </c>
      <c r="O6" s="370">
        <v>5641221.5099999998</v>
      </c>
      <c r="P6" s="370">
        <v>5641221.5099999998</v>
      </c>
      <c r="Q6" s="370">
        <v>0</v>
      </c>
      <c r="R6" s="370">
        <v>2120698.7400000002</v>
      </c>
      <c r="S6" s="370">
        <v>0</v>
      </c>
      <c r="T6" s="370">
        <v>5641221.5099999998</v>
      </c>
      <c r="U6" s="370">
        <v>1</v>
      </c>
      <c r="V6" s="370" t="s">
        <v>482</v>
      </c>
      <c r="W6" s="370">
        <v>5641221.5099999998</v>
      </c>
      <c r="X6" s="370">
        <v>0</v>
      </c>
      <c r="Y6" s="370">
        <v>5641221.5099999998</v>
      </c>
    </row>
    <row r="7" spans="1:25">
      <c r="A7" t="s">
        <v>474</v>
      </c>
      <c r="B7" t="s">
        <v>64</v>
      </c>
      <c r="C7" t="s">
        <v>68</v>
      </c>
      <c r="D7" t="s">
        <v>71</v>
      </c>
      <c r="E7" t="s">
        <v>492</v>
      </c>
      <c r="F7" t="s">
        <v>474</v>
      </c>
      <c r="G7" t="s">
        <v>476</v>
      </c>
      <c r="H7" t="s">
        <v>493</v>
      </c>
      <c r="I7" t="s">
        <v>494</v>
      </c>
      <c r="J7" s="370">
        <v>8785614.5500000007</v>
      </c>
      <c r="K7" s="370">
        <v>0</v>
      </c>
      <c r="L7" s="370">
        <v>0</v>
      </c>
      <c r="M7" s="370">
        <v>8785614.5500000007</v>
      </c>
      <c r="N7" s="370">
        <v>0</v>
      </c>
      <c r="O7" s="370">
        <v>8585614.5500000007</v>
      </c>
      <c r="P7" s="370">
        <v>8651170.1099999994</v>
      </c>
      <c r="Q7" s="370">
        <v>0</v>
      </c>
      <c r="R7" s="370">
        <v>1460979.71</v>
      </c>
      <c r="S7" s="370">
        <v>0</v>
      </c>
      <c r="T7" s="370">
        <v>8651170.1099999994</v>
      </c>
      <c r="U7" s="370">
        <v>1</v>
      </c>
      <c r="V7" s="370" t="s">
        <v>482</v>
      </c>
      <c r="W7" s="370">
        <v>8585614.5500000007</v>
      </c>
      <c r="X7" s="370">
        <v>0</v>
      </c>
      <c r="Y7" s="370">
        <v>8651170.1099999994</v>
      </c>
    </row>
    <row r="8" spans="1:25">
      <c r="A8" t="s">
        <v>474</v>
      </c>
      <c r="B8" t="s">
        <v>64</v>
      </c>
      <c r="C8" t="s">
        <v>68</v>
      </c>
      <c r="D8" t="s">
        <v>72</v>
      </c>
      <c r="E8" t="s">
        <v>495</v>
      </c>
      <c r="F8" t="s">
        <v>474</v>
      </c>
      <c r="G8" t="s">
        <v>476</v>
      </c>
      <c r="H8" t="s">
        <v>496</v>
      </c>
      <c r="I8" t="s">
        <v>497</v>
      </c>
      <c r="J8" s="370">
        <v>5932855.3499999996</v>
      </c>
      <c r="K8" s="370">
        <v>0</v>
      </c>
      <c r="L8" s="370">
        <v>0</v>
      </c>
      <c r="M8" s="370">
        <v>5932855.3499999996</v>
      </c>
      <c r="N8" s="370">
        <v>0</v>
      </c>
      <c r="O8" s="370">
        <v>5932855.3499999996</v>
      </c>
      <c r="P8" s="370">
        <v>5340673.67</v>
      </c>
      <c r="Q8" s="370">
        <v>0</v>
      </c>
      <c r="R8" s="370">
        <v>4274616.0999999996</v>
      </c>
      <c r="S8" s="370">
        <v>0</v>
      </c>
      <c r="T8" s="370">
        <v>5340673.67</v>
      </c>
      <c r="U8" s="370">
        <v>1</v>
      </c>
      <c r="V8" s="370" t="s">
        <v>482</v>
      </c>
      <c r="W8" s="370">
        <v>5932855.3499999996</v>
      </c>
      <c r="X8" s="370">
        <v>592181.68000000005</v>
      </c>
      <c r="Y8" s="370">
        <v>5932855.3499999996</v>
      </c>
    </row>
    <row r="9" spans="1:25">
      <c r="A9" t="s">
        <v>474</v>
      </c>
      <c r="B9" t="s">
        <v>64</v>
      </c>
      <c r="C9" t="s">
        <v>68</v>
      </c>
      <c r="D9" t="s">
        <v>73</v>
      </c>
      <c r="E9" t="s">
        <v>498</v>
      </c>
      <c r="F9" t="s">
        <v>474</v>
      </c>
      <c r="G9" t="s">
        <v>476</v>
      </c>
      <c r="H9" t="s">
        <v>499</v>
      </c>
      <c r="I9" t="s">
        <v>500</v>
      </c>
      <c r="J9" s="370">
        <v>367644.95</v>
      </c>
      <c r="K9" s="370">
        <v>0</v>
      </c>
      <c r="L9" s="370">
        <v>0</v>
      </c>
      <c r="M9" s="370">
        <v>367644.95</v>
      </c>
      <c r="N9" s="370">
        <v>0</v>
      </c>
      <c r="O9" s="370">
        <v>367644.95</v>
      </c>
      <c r="P9" s="370">
        <v>318992.25</v>
      </c>
      <c r="Q9" s="370">
        <v>0</v>
      </c>
      <c r="R9" s="370">
        <v>318992.25</v>
      </c>
      <c r="S9" s="370">
        <v>0</v>
      </c>
      <c r="T9" s="370">
        <v>318992.25</v>
      </c>
      <c r="U9" s="370">
        <v>1</v>
      </c>
      <c r="V9" s="370" t="s">
        <v>482</v>
      </c>
      <c r="W9" s="370">
        <v>367644.95</v>
      </c>
      <c r="X9" s="370">
        <v>48652.7</v>
      </c>
      <c r="Y9" s="370">
        <v>367644.95</v>
      </c>
    </row>
    <row r="10" spans="1:25">
      <c r="A10" t="s">
        <v>474</v>
      </c>
      <c r="B10" t="s">
        <v>64</v>
      </c>
      <c r="C10" t="s">
        <v>212</v>
      </c>
      <c r="D10" t="s">
        <v>76</v>
      </c>
      <c r="E10" t="s">
        <v>501</v>
      </c>
      <c r="F10" t="s">
        <v>474</v>
      </c>
      <c r="G10" t="s">
        <v>476</v>
      </c>
      <c r="H10" t="s">
        <v>502</v>
      </c>
      <c r="I10" t="s">
        <v>503</v>
      </c>
      <c r="J10" s="370">
        <v>0</v>
      </c>
      <c r="K10" s="370">
        <v>0</v>
      </c>
      <c r="L10" s="370">
        <v>0</v>
      </c>
      <c r="M10" s="370">
        <v>0</v>
      </c>
      <c r="N10" s="370">
        <v>0</v>
      </c>
      <c r="O10" s="370">
        <v>0</v>
      </c>
      <c r="P10" s="370">
        <v>0</v>
      </c>
      <c r="Q10" s="370">
        <v>0</v>
      </c>
      <c r="R10" s="370">
        <v>0</v>
      </c>
      <c r="S10" s="370">
        <v>0</v>
      </c>
      <c r="T10" s="370">
        <v>0</v>
      </c>
      <c r="X10" s="370">
        <v>0</v>
      </c>
      <c r="Y10" s="370">
        <v>0</v>
      </c>
    </row>
    <row r="11" spans="1:25">
      <c r="A11" t="s">
        <v>474</v>
      </c>
      <c r="B11" t="s">
        <v>64</v>
      </c>
      <c r="C11" t="s">
        <v>78</v>
      </c>
      <c r="D11" t="s">
        <v>79</v>
      </c>
      <c r="E11" t="s">
        <v>504</v>
      </c>
      <c r="F11" t="s">
        <v>474</v>
      </c>
      <c r="G11" t="s">
        <v>476</v>
      </c>
      <c r="H11" t="s">
        <v>505</v>
      </c>
      <c r="I11" t="s">
        <v>506</v>
      </c>
      <c r="J11" s="370">
        <v>11813427.039999999</v>
      </c>
      <c r="K11" s="370">
        <v>0</v>
      </c>
      <c r="L11" s="370">
        <v>0</v>
      </c>
      <c r="M11" s="370">
        <v>11813427.039999999</v>
      </c>
      <c r="N11" s="370">
        <v>0</v>
      </c>
      <c r="O11" s="370">
        <v>11813427.039999999</v>
      </c>
      <c r="P11" s="370">
        <v>0</v>
      </c>
      <c r="Q11" s="370">
        <v>0</v>
      </c>
      <c r="R11" s="370">
        <v>0</v>
      </c>
      <c r="S11" s="370">
        <v>0</v>
      </c>
      <c r="T11" s="370">
        <v>0</v>
      </c>
      <c r="U11" s="370">
        <v>1</v>
      </c>
      <c r="V11" s="370" t="s">
        <v>482</v>
      </c>
      <c r="W11" s="370">
        <v>11813427.039999999</v>
      </c>
      <c r="X11" s="370">
        <v>11813427.039999999</v>
      </c>
      <c r="Y11" s="370">
        <v>11813427.039999999</v>
      </c>
    </row>
    <row r="12" spans="1:25">
      <c r="A12" t="s">
        <v>474</v>
      </c>
      <c r="B12" t="s">
        <v>64</v>
      </c>
      <c r="C12" t="s">
        <v>78</v>
      </c>
      <c r="D12" t="s">
        <v>213</v>
      </c>
      <c r="E12" t="s">
        <v>507</v>
      </c>
      <c r="F12" t="s">
        <v>474</v>
      </c>
      <c r="G12" t="s">
        <v>476</v>
      </c>
      <c r="H12" t="s">
        <v>508</v>
      </c>
      <c r="I12" t="s">
        <v>509</v>
      </c>
      <c r="J12" s="370">
        <v>2608627.81</v>
      </c>
      <c r="K12" s="370">
        <v>0</v>
      </c>
      <c r="L12" s="370">
        <v>0</v>
      </c>
      <c r="M12" s="370">
        <v>2608627.81</v>
      </c>
      <c r="N12" s="370">
        <v>0</v>
      </c>
      <c r="O12" s="370">
        <v>2608627.81</v>
      </c>
      <c r="P12" s="370">
        <v>0</v>
      </c>
      <c r="Q12" s="370">
        <v>0</v>
      </c>
      <c r="R12" s="370">
        <v>0</v>
      </c>
      <c r="S12" s="370">
        <v>0</v>
      </c>
      <c r="T12" s="370">
        <v>0</v>
      </c>
      <c r="U12" s="370">
        <v>1</v>
      </c>
      <c r="W12" s="370">
        <v>2608627.81</v>
      </c>
      <c r="X12" s="370">
        <v>2608627.81</v>
      </c>
      <c r="Y12" s="370">
        <v>2608627.81</v>
      </c>
    </row>
    <row r="13" spans="1:25">
      <c r="A13" t="s">
        <v>474</v>
      </c>
      <c r="B13" t="s">
        <v>64</v>
      </c>
      <c r="C13" t="s">
        <v>78</v>
      </c>
      <c r="D13" t="s">
        <v>214</v>
      </c>
      <c r="E13" t="s">
        <v>510</v>
      </c>
      <c r="F13" t="s">
        <v>474</v>
      </c>
      <c r="G13" t="s">
        <v>476</v>
      </c>
      <c r="H13" t="s">
        <v>511</v>
      </c>
      <c r="I13" t="s">
        <v>512</v>
      </c>
      <c r="J13" s="370">
        <v>1897166.4</v>
      </c>
      <c r="K13" s="370">
        <v>0</v>
      </c>
      <c r="L13" s="370">
        <v>0</v>
      </c>
      <c r="M13" s="370">
        <v>1897166.4</v>
      </c>
      <c r="N13" s="370">
        <v>0</v>
      </c>
      <c r="O13" s="370">
        <v>1897166.4</v>
      </c>
      <c r="P13" s="370">
        <v>1897166.4</v>
      </c>
      <c r="Q13" s="370">
        <v>0</v>
      </c>
      <c r="R13" s="370">
        <v>1897166.4</v>
      </c>
      <c r="S13" s="370">
        <v>0</v>
      </c>
      <c r="T13" s="370">
        <v>1897166.4</v>
      </c>
      <c r="U13" s="370">
        <v>1</v>
      </c>
      <c r="W13" s="370">
        <v>1897166.4</v>
      </c>
      <c r="X13" s="370">
        <v>0</v>
      </c>
      <c r="Y13" s="370">
        <v>1897166.4</v>
      </c>
    </row>
    <row r="14" spans="1:25">
      <c r="A14" t="s">
        <v>474</v>
      </c>
      <c r="B14" t="s">
        <v>64</v>
      </c>
      <c r="C14" t="s">
        <v>78</v>
      </c>
      <c r="D14" t="s">
        <v>214</v>
      </c>
      <c r="E14" t="s">
        <v>513</v>
      </c>
      <c r="F14" t="s">
        <v>474</v>
      </c>
      <c r="G14" t="s">
        <v>476</v>
      </c>
      <c r="H14" t="s">
        <v>514</v>
      </c>
      <c r="I14" t="s">
        <v>515</v>
      </c>
      <c r="J14" s="370">
        <v>7141348.9900000002</v>
      </c>
      <c r="K14" s="370">
        <v>0</v>
      </c>
      <c r="L14" s="370">
        <v>0</v>
      </c>
      <c r="M14" s="370">
        <v>7141348.9900000002</v>
      </c>
      <c r="N14" s="370">
        <v>0</v>
      </c>
      <c r="O14" s="370">
        <v>7141348.9900000002</v>
      </c>
      <c r="P14" s="370">
        <v>7141348.9900000002</v>
      </c>
      <c r="Q14" s="370">
        <v>0</v>
      </c>
      <c r="R14" s="370">
        <v>5570282.9199999999</v>
      </c>
      <c r="S14" s="370">
        <v>0</v>
      </c>
      <c r="T14" s="370">
        <v>7141348.9900000002</v>
      </c>
      <c r="U14" s="370">
        <v>1</v>
      </c>
      <c r="W14" s="370">
        <v>7141348.9900000002</v>
      </c>
      <c r="X14" s="370">
        <v>0</v>
      </c>
      <c r="Y14" s="370">
        <v>7141348.9900000002</v>
      </c>
    </row>
    <row r="15" spans="1:25">
      <c r="A15" t="s">
        <v>474</v>
      </c>
      <c r="B15" t="s">
        <v>64</v>
      </c>
      <c r="C15" t="s">
        <v>78</v>
      </c>
      <c r="D15" t="s">
        <v>215</v>
      </c>
      <c r="E15" t="s">
        <v>516</v>
      </c>
      <c r="F15" t="s">
        <v>474</v>
      </c>
      <c r="G15" t="s">
        <v>476</v>
      </c>
      <c r="H15" t="s">
        <v>517</v>
      </c>
      <c r="I15" t="s">
        <v>518</v>
      </c>
      <c r="J15" s="370">
        <v>54584719.920000002</v>
      </c>
      <c r="K15" s="370">
        <v>0</v>
      </c>
      <c r="L15" s="370">
        <v>0</v>
      </c>
      <c r="M15" s="370">
        <v>54584719.920000002</v>
      </c>
      <c r="N15" s="370">
        <v>0</v>
      </c>
      <c r="O15" s="370">
        <v>54584719.920000002</v>
      </c>
      <c r="P15" s="370">
        <v>0</v>
      </c>
      <c r="Q15" s="370">
        <v>0</v>
      </c>
      <c r="R15" s="370">
        <v>0</v>
      </c>
      <c r="S15" s="370">
        <v>0</v>
      </c>
      <c r="T15" s="370">
        <v>0</v>
      </c>
      <c r="U15" s="370">
        <v>1</v>
      </c>
      <c r="V15" s="370" t="s">
        <v>482</v>
      </c>
      <c r="W15" s="370">
        <v>54584719.920000002</v>
      </c>
      <c r="X15" s="370">
        <v>54584719.920000002</v>
      </c>
      <c r="Y15" s="370">
        <v>54584719.920000002</v>
      </c>
    </row>
    <row r="16" spans="1:25">
      <c r="A16" t="s">
        <v>474</v>
      </c>
      <c r="B16" t="s">
        <v>64</v>
      </c>
      <c r="C16" t="s">
        <v>78</v>
      </c>
      <c r="D16" t="s">
        <v>216</v>
      </c>
      <c r="E16" t="s">
        <v>519</v>
      </c>
      <c r="F16" t="s">
        <v>474</v>
      </c>
      <c r="G16" t="s">
        <v>476</v>
      </c>
      <c r="H16" t="s">
        <v>520</v>
      </c>
      <c r="I16" t="s">
        <v>521</v>
      </c>
      <c r="J16" s="370">
        <v>56232240.789999999</v>
      </c>
      <c r="K16" s="370">
        <v>0</v>
      </c>
      <c r="L16" s="370">
        <v>0</v>
      </c>
      <c r="M16" s="370">
        <v>56232240.789999999</v>
      </c>
      <c r="N16" s="370">
        <v>0</v>
      </c>
      <c r="O16" s="370">
        <v>56232240.789999999</v>
      </c>
      <c r="P16" s="370">
        <v>0</v>
      </c>
      <c r="Q16" s="370">
        <v>0</v>
      </c>
      <c r="R16" s="370">
        <v>0</v>
      </c>
      <c r="S16" s="370">
        <v>0</v>
      </c>
      <c r="T16" s="370">
        <v>0</v>
      </c>
      <c r="U16" s="370">
        <v>1</v>
      </c>
      <c r="V16" s="370" t="s">
        <v>482</v>
      </c>
      <c r="W16" s="370">
        <v>56232240.789999999</v>
      </c>
      <c r="X16" s="370">
        <v>56232240.789999999</v>
      </c>
      <c r="Y16" s="370">
        <v>56232240.789999999</v>
      </c>
    </row>
    <row r="17" spans="1:25">
      <c r="A17" t="s">
        <v>474</v>
      </c>
      <c r="B17" t="s">
        <v>64</v>
      </c>
      <c r="C17" t="s">
        <v>78</v>
      </c>
      <c r="D17" t="s">
        <v>217</v>
      </c>
      <c r="E17" t="s">
        <v>522</v>
      </c>
      <c r="F17" t="s">
        <v>474</v>
      </c>
      <c r="G17" t="s">
        <v>476</v>
      </c>
      <c r="H17" t="s">
        <v>523</v>
      </c>
      <c r="I17" t="s">
        <v>524</v>
      </c>
      <c r="J17" s="370">
        <v>35679322.68</v>
      </c>
      <c r="K17" s="370">
        <v>0</v>
      </c>
      <c r="L17" s="370">
        <v>0</v>
      </c>
      <c r="M17" s="370">
        <v>35679322.68</v>
      </c>
      <c r="N17" s="370">
        <v>0</v>
      </c>
      <c r="O17" s="370">
        <v>35679322.68</v>
      </c>
      <c r="P17" s="370">
        <v>0</v>
      </c>
      <c r="Q17" s="370">
        <v>0</v>
      </c>
      <c r="R17" s="370">
        <v>0</v>
      </c>
      <c r="S17" s="370">
        <v>0</v>
      </c>
      <c r="T17" s="370">
        <v>0</v>
      </c>
      <c r="U17" s="370">
        <v>1</v>
      </c>
      <c r="V17" s="370" t="s">
        <v>482</v>
      </c>
      <c r="W17" s="370">
        <v>35679322.68</v>
      </c>
      <c r="X17" s="370">
        <v>35679322.68</v>
      </c>
      <c r="Y17" s="370">
        <v>35679322.68</v>
      </c>
    </row>
    <row r="18" spans="1:25">
      <c r="A18" t="s">
        <v>474</v>
      </c>
      <c r="B18" t="s">
        <v>64</v>
      </c>
      <c r="C18" t="s">
        <v>78</v>
      </c>
      <c r="D18" t="s">
        <v>218</v>
      </c>
      <c r="E18" t="s">
        <v>525</v>
      </c>
      <c r="F18" t="s">
        <v>474</v>
      </c>
      <c r="G18" t="s">
        <v>476</v>
      </c>
      <c r="H18" t="s">
        <v>526</v>
      </c>
      <c r="I18" t="s">
        <v>527</v>
      </c>
      <c r="J18" s="370">
        <v>135138026.36000001</v>
      </c>
      <c r="K18" s="370">
        <v>0</v>
      </c>
      <c r="L18" s="370">
        <v>0</v>
      </c>
      <c r="M18" s="370">
        <v>135138026.36000001</v>
      </c>
      <c r="N18" s="370">
        <v>0</v>
      </c>
      <c r="O18" s="370">
        <v>135138026.36000001</v>
      </c>
      <c r="P18" s="370">
        <v>0</v>
      </c>
      <c r="Q18" s="370">
        <v>0</v>
      </c>
      <c r="R18" s="370">
        <v>0</v>
      </c>
      <c r="S18" s="370">
        <v>0</v>
      </c>
      <c r="T18" s="370">
        <v>0</v>
      </c>
      <c r="U18" s="370">
        <v>1</v>
      </c>
      <c r="V18" s="370" t="s">
        <v>482</v>
      </c>
      <c r="W18" s="370">
        <v>135138026.36000001</v>
      </c>
      <c r="X18" s="370">
        <v>135138026.36000001</v>
      </c>
      <c r="Y18" s="370">
        <v>135138026.36000001</v>
      </c>
    </row>
    <row r="19" spans="1:25">
      <c r="A19" t="s">
        <v>474</v>
      </c>
      <c r="B19" t="s">
        <v>64</v>
      </c>
      <c r="C19" t="s">
        <v>78</v>
      </c>
      <c r="D19" t="s">
        <v>219</v>
      </c>
      <c r="E19" t="s">
        <v>528</v>
      </c>
      <c r="F19" t="s">
        <v>474</v>
      </c>
      <c r="G19" t="s">
        <v>476</v>
      </c>
      <c r="H19" t="s">
        <v>529</v>
      </c>
      <c r="I19" t="s">
        <v>530</v>
      </c>
      <c r="J19" s="370">
        <v>8535640.8900000006</v>
      </c>
      <c r="K19" s="370">
        <v>0</v>
      </c>
      <c r="L19" s="370">
        <v>0</v>
      </c>
      <c r="M19" s="370">
        <v>8535640.8900000006</v>
      </c>
      <c r="N19" s="370">
        <v>0</v>
      </c>
      <c r="O19" s="370">
        <v>8535640.8900000006</v>
      </c>
      <c r="P19" s="370">
        <v>0</v>
      </c>
      <c r="Q19" s="370">
        <v>0</v>
      </c>
      <c r="R19" s="370">
        <v>0</v>
      </c>
      <c r="S19" s="370">
        <v>0</v>
      </c>
      <c r="T19" s="370">
        <v>0</v>
      </c>
      <c r="U19" s="370">
        <v>1</v>
      </c>
      <c r="V19" s="370" t="s">
        <v>482</v>
      </c>
      <c r="W19" s="370">
        <v>8535640.8900000006</v>
      </c>
      <c r="X19" s="370">
        <v>8535640.8900000006</v>
      </c>
      <c r="Y19" s="370">
        <v>8535640.8900000006</v>
      </c>
    </row>
    <row r="20" spans="1:25">
      <c r="A20" t="s">
        <v>474</v>
      </c>
      <c r="B20" t="s">
        <v>64</v>
      </c>
      <c r="C20" t="s">
        <v>78</v>
      </c>
      <c r="D20" t="s">
        <v>220</v>
      </c>
      <c r="E20" t="s">
        <v>531</v>
      </c>
      <c r="F20" t="s">
        <v>474</v>
      </c>
      <c r="G20" t="s">
        <v>476</v>
      </c>
      <c r="H20" t="s">
        <v>532</v>
      </c>
      <c r="I20" t="s">
        <v>533</v>
      </c>
      <c r="J20" s="370">
        <v>14797543.15</v>
      </c>
      <c r="K20" s="370">
        <v>0</v>
      </c>
      <c r="L20" s="370">
        <v>0</v>
      </c>
      <c r="M20" s="370">
        <v>14797543.15</v>
      </c>
      <c r="N20" s="370">
        <v>0</v>
      </c>
      <c r="O20" s="370">
        <v>14797543.15</v>
      </c>
      <c r="P20" s="370">
        <v>0</v>
      </c>
      <c r="Q20" s="370">
        <v>0</v>
      </c>
      <c r="R20" s="370">
        <v>0</v>
      </c>
      <c r="S20" s="370">
        <v>0</v>
      </c>
      <c r="T20" s="370">
        <v>0</v>
      </c>
      <c r="U20" s="370">
        <v>1</v>
      </c>
      <c r="V20" s="370" t="s">
        <v>482</v>
      </c>
      <c r="W20" s="370">
        <v>14797543.15</v>
      </c>
      <c r="X20" s="370">
        <v>14797543.15</v>
      </c>
      <c r="Y20" s="370">
        <v>14797543.15</v>
      </c>
    </row>
    <row r="21" spans="1:25">
      <c r="A21" t="s">
        <v>474</v>
      </c>
      <c r="B21" t="s">
        <v>64</v>
      </c>
      <c r="C21" t="s">
        <v>78</v>
      </c>
      <c r="D21" t="s">
        <v>221</v>
      </c>
      <c r="E21" t="s">
        <v>534</v>
      </c>
      <c r="F21" t="s">
        <v>474</v>
      </c>
      <c r="G21" t="s">
        <v>476</v>
      </c>
      <c r="H21" t="s">
        <v>535</v>
      </c>
      <c r="I21" t="s">
        <v>536</v>
      </c>
      <c r="J21" s="370">
        <v>62873368.450000003</v>
      </c>
      <c r="K21" s="370">
        <v>0</v>
      </c>
      <c r="L21" s="370">
        <v>0</v>
      </c>
      <c r="M21" s="370">
        <v>62873368.450000003</v>
      </c>
      <c r="N21" s="370">
        <v>0</v>
      </c>
      <c r="O21" s="370">
        <v>62873368.450000003</v>
      </c>
      <c r="P21" s="370">
        <v>0</v>
      </c>
      <c r="Q21" s="370">
        <v>0</v>
      </c>
      <c r="R21" s="370">
        <v>0</v>
      </c>
      <c r="S21" s="370">
        <v>0</v>
      </c>
      <c r="T21" s="370">
        <v>0</v>
      </c>
      <c r="U21" s="370">
        <v>1</v>
      </c>
      <c r="V21" s="370" t="s">
        <v>482</v>
      </c>
      <c r="W21" s="370">
        <v>62873368.450000003</v>
      </c>
      <c r="X21" s="370">
        <v>62873368.450000003</v>
      </c>
      <c r="Y21" s="370">
        <v>62873368.450000003</v>
      </c>
    </row>
    <row r="22" spans="1:25">
      <c r="A22" t="s">
        <v>474</v>
      </c>
      <c r="B22" t="s">
        <v>64</v>
      </c>
      <c r="C22" t="s">
        <v>78</v>
      </c>
      <c r="D22" t="s">
        <v>222</v>
      </c>
      <c r="E22" t="s">
        <v>537</v>
      </c>
      <c r="F22" t="s">
        <v>474</v>
      </c>
      <c r="G22" t="s">
        <v>476</v>
      </c>
      <c r="H22" t="s">
        <v>538</v>
      </c>
      <c r="I22" t="s">
        <v>539</v>
      </c>
      <c r="J22" s="370">
        <v>26736231.68</v>
      </c>
      <c r="K22" s="370">
        <v>0</v>
      </c>
      <c r="L22" s="370">
        <v>0</v>
      </c>
      <c r="M22" s="370">
        <v>26736231.68</v>
      </c>
      <c r="N22" s="370">
        <v>0</v>
      </c>
      <c r="O22" s="370">
        <v>26736231.68</v>
      </c>
      <c r="P22" s="370">
        <v>0</v>
      </c>
      <c r="Q22" s="370">
        <v>0</v>
      </c>
      <c r="R22" s="370">
        <v>0</v>
      </c>
      <c r="S22" s="370">
        <v>0</v>
      </c>
      <c r="T22" s="370">
        <v>0</v>
      </c>
      <c r="U22" s="370">
        <v>1</v>
      </c>
      <c r="V22" s="370" t="s">
        <v>482</v>
      </c>
      <c r="W22" s="370">
        <v>26736231.68</v>
      </c>
      <c r="X22" s="370">
        <v>26736231.68</v>
      </c>
      <c r="Y22" s="370">
        <v>26736231.68</v>
      </c>
    </row>
    <row r="23" spans="1:25">
      <c r="A23" t="s">
        <v>474</v>
      </c>
      <c r="B23" t="s">
        <v>64</v>
      </c>
      <c r="C23" t="s">
        <v>78</v>
      </c>
      <c r="D23" t="s">
        <v>223</v>
      </c>
      <c r="E23" t="s">
        <v>540</v>
      </c>
      <c r="F23" t="s">
        <v>474</v>
      </c>
      <c r="G23" t="s">
        <v>476</v>
      </c>
      <c r="H23" t="s">
        <v>541</v>
      </c>
      <c r="I23" t="s">
        <v>542</v>
      </c>
      <c r="J23" s="370">
        <v>27763645.809999999</v>
      </c>
      <c r="K23" s="370">
        <v>0</v>
      </c>
      <c r="L23" s="370">
        <v>0</v>
      </c>
      <c r="M23" s="370">
        <v>27763645.809999999</v>
      </c>
      <c r="N23" s="370">
        <v>0</v>
      </c>
      <c r="O23" s="370">
        <v>27763645.809999999</v>
      </c>
      <c r="P23" s="370">
        <v>0</v>
      </c>
      <c r="Q23" s="370">
        <v>0</v>
      </c>
      <c r="R23" s="370">
        <v>0</v>
      </c>
      <c r="S23" s="370">
        <v>0</v>
      </c>
      <c r="T23" s="370">
        <v>0</v>
      </c>
      <c r="U23" s="370">
        <v>1</v>
      </c>
      <c r="W23" s="370">
        <v>27763645.809999999</v>
      </c>
      <c r="X23" s="370">
        <v>27763645.809999999</v>
      </c>
      <c r="Y23" s="370">
        <v>27763645.809999999</v>
      </c>
    </row>
    <row r="24" spans="1:25">
      <c r="A24" t="s">
        <v>474</v>
      </c>
      <c r="B24" t="s">
        <v>64</v>
      </c>
      <c r="C24" t="s">
        <v>78</v>
      </c>
      <c r="D24" t="s">
        <v>224</v>
      </c>
      <c r="E24" t="s">
        <v>543</v>
      </c>
      <c r="F24" t="s">
        <v>474</v>
      </c>
      <c r="G24" t="s">
        <v>476</v>
      </c>
      <c r="H24" t="s">
        <v>544</v>
      </c>
      <c r="I24" t="s">
        <v>545</v>
      </c>
      <c r="J24" s="370">
        <v>5957690.0300000003</v>
      </c>
      <c r="K24" s="370">
        <v>0</v>
      </c>
      <c r="L24" s="370">
        <v>0</v>
      </c>
      <c r="M24" s="370">
        <v>5957690.0300000003</v>
      </c>
      <c r="N24" s="370">
        <v>0</v>
      </c>
      <c r="O24" s="370">
        <v>5957690.0300000003</v>
      </c>
      <c r="P24" s="370">
        <v>0</v>
      </c>
      <c r="Q24" s="370">
        <v>0</v>
      </c>
      <c r="R24" s="370">
        <v>0</v>
      </c>
      <c r="S24" s="370">
        <v>0</v>
      </c>
      <c r="T24" s="370">
        <v>0</v>
      </c>
      <c r="U24" s="370">
        <v>1</v>
      </c>
      <c r="W24" s="370">
        <v>5957690.0300000003</v>
      </c>
      <c r="X24" s="370">
        <v>5957690.0300000003</v>
      </c>
      <c r="Y24" s="370">
        <v>5957690.0300000003</v>
      </c>
    </row>
    <row r="25" spans="1:25">
      <c r="A25" t="s">
        <v>474</v>
      </c>
      <c r="B25" t="s">
        <v>64</v>
      </c>
      <c r="C25" t="s">
        <v>90</v>
      </c>
      <c r="D25" t="s">
        <v>91</v>
      </c>
      <c r="E25" t="s">
        <v>546</v>
      </c>
      <c r="F25" t="s">
        <v>547</v>
      </c>
      <c r="G25" t="s">
        <v>476</v>
      </c>
      <c r="H25" t="s">
        <v>548</v>
      </c>
      <c r="I25" t="s">
        <v>549</v>
      </c>
      <c r="J25" s="370">
        <v>7612584.9800000004</v>
      </c>
      <c r="K25" s="370">
        <v>0</v>
      </c>
      <c r="L25" s="370">
        <v>0</v>
      </c>
      <c r="M25" s="370">
        <v>7612584.9800000004</v>
      </c>
      <c r="N25" s="370">
        <v>0</v>
      </c>
      <c r="O25" s="370">
        <v>7612584.9800000004</v>
      </c>
      <c r="P25" s="370">
        <v>0</v>
      </c>
      <c r="Q25" s="370">
        <v>0</v>
      </c>
      <c r="R25" s="370">
        <v>0</v>
      </c>
      <c r="S25" s="370">
        <v>0</v>
      </c>
      <c r="T25" s="370">
        <v>0</v>
      </c>
      <c r="U25" s="370">
        <v>1</v>
      </c>
      <c r="V25" s="370" t="s">
        <v>482</v>
      </c>
      <c r="W25" s="370">
        <v>7612584.9800000004</v>
      </c>
      <c r="X25" s="370">
        <v>7612584.9800000004</v>
      </c>
      <c r="Y25" s="370">
        <v>7612584.9800000004</v>
      </c>
    </row>
    <row r="26" spans="1:25">
      <c r="A26" t="s">
        <v>474</v>
      </c>
      <c r="B26" t="s">
        <v>64</v>
      </c>
      <c r="C26" t="s">
        <v>90</v>
      </c>
      <c r="D26" t="s">
        <v>92</v>
      </c>
      <c r="E26" t="s">
        <v>550</v>
      </c>
      <c r="F26" t="s">
        <v>474</v>
      </c>
      <c r="G26" t="s">
        <v>476</v>
      </c>
      <c r="H26" t="s">
        <v>551</v>
      </c>
      <c r="I26" t="s">
        <v>552</v>
      </c>
      <c r="J26" s="370">
        <v>85437791.670000002</v>
      </c>
      <c r="K26" s="370">
        <v>0</v>
      </c>
      <c r="L26" s="370">
        <v>0</v>
      </c>
      <c r="M26" s="370">
        <v>85437791.670000002</v>
      </c>
      <c r="N26" s="370">
        <v>0</v>
      </c>
      <c r="O26" s="370">
        <v>85437791.670000002</v>
      </c>
      <c r="P26" s="370">
        <v>0</v>
      </c>
      <c r="Q26" s="370">
        <v>0</v>
      </c>
      <c r="R26" s="370">
        <v>0</v>
      </c>
      <c r="S26" s="370">
        <v>0</v>
      </c>
      <c r="T26" s="370">
        <v>0</v>
      </c>
      <c r="U26" s="370">
        <v>1</v>
      </c>
      <c r="V26" s="370" t="s">
        <v>482</v>
      </c>
      <c r="W26" s="370">
        <v>85437791.670000002</v>
      </c>
      <c r="X26" s="370">
        <v>85437791.670000002</v>
      </c>
      <c r="Y26" s="370">
        <v>85437791.670000002</v>
      </c>
    </row>
    <row r="27" spans="1:25">
      <c r="A27" t="s">
        <v>474</v>
      </c>
      <c r="B27" t="s">
        <v>64</v>
      </c>
      <c r="C27" t="s">
        <v>90</v>
      </c>
      <c r="D27" t="s">
        <v>93</v>
      </c>
      <c r="E27" t="s">
        <v>553</v>
      </c>
      <c r="F27" t="s">
        <v>474</v>
      </c>
      <c r="G27" t="s">
        <v>476</v>
      </c>
      <c r="H27" t="s">
        <v>554</v>
      </c>
      <c r="I27" t="s">
        <v>555</v>
      </c>
      <c r="J27" s="370">
        <v>283042948.64999998</v>
      </c>
      <c r="K27" s="370">
        <v>0</v>
      </c>
      <c r="L27" s="370">
        <v>0</v>
      </c>
      <c r="M27" s="370">
        <v>283042948.64999998</v>
      </c>
      <c r="N27" s="370">
        <v>0</v>
      </c>
      <c r="O27" s="370">
        <v>283042948.64999998</v>
      </c>
      <c r="P27" s="370">
        <v>0</v>
      </c>
      <c r="Q27" s="370">
        <v>0</v>
      </c>
      <c r="R27" s="370">
        <v>0</v>
      </c>
      <c r="S27" s="370">
        <v>0</v>
      </c>
      <c r="T27" s="370">
        <v>0</v>
      </c>
      <c r="U27" s="370">
        <v>1</v>
      </c>
      <c r="V27" s="370" t="s">
        <v>482</v>
      </c>
      <c r="W27" s="370">
        <v>283042948.64999998</v>
      </c>
      <c r="X27" s="370">
        <v>283042948.64999998</v>
      </c>
      <c r="Y27" s="370">
        <v>283042948.64999998</v>
      </c>
    </row>
    <row r="28" spans="1:25">
      <c r="A28" t="s">
        <v>474</v>
      </c>
      <c r="B28" t="s">
        <v>64</v>
      </c>
      <c r="C28" t="s">
        <v>90</v>
      </c>
      <c r="D28" t="s">
        <v>94</v>
      </c>
      <c r="E28" t="s">
        <v>556</v>
      </c>
      <c r="F28" t="s">
        <v>474</v>
      </c>
      <c r="G28" t="s">
        <v>487</v>
      </c>
      <c r="H28" t="s">
        <v>557</v>
      </c>
      <c r="I28" t="s">
        <v>558</v>
      </c>
      <c r="J28" s="370">
        <v>0</v>
      </c>
      <c r="K28" s="370">
        <v>0</v>
      </c>
      <c r="L28" s="370">
        <v>0</v>
      </c>
      <c r="M28" s="370">
        <v>0</v>
      </c>
      <c r="N28" s="370">
        <v>0</v>
      </c>
      <c r="O28" s="370">
        <v>0</v>
      </c>
      <c r="P28" s="370">
        <v>0</v>
      </c>
      <c r="Q28" s="370">
        <v>0</v>
      </c>
      <c r="R28" s="370">
        <v>0</v>
      </c>
      <c r="S28" s="370">
        <v>0</v>
      </c>
      <c r="T28" s="370">
        <v>0</v>
      </c>
      <c r="X28" s="370">
        <v>0</v>
      </c>
      <c r="Y28" s="370">
        <v>0</v>
      </c>
    </row>
    <row r="29" spans="1:25">
      <c r="A29" t="s">
        <v>474</v>
      </c>
      <c r="B29" t="s">
        <v>64</v>
      </c>
      <c r="C29" t="s">
        <v>90</v>
      </c>
      <c r="D29" t="s">
        <v>94</v>
      </c>
      <c r="E29" t="s">
        <v>556</v>
      </c>
      <c r="F29" t="s">
        <v>474</v>
      </c>
      <c r="G29" t="s">
        <v>476</v>
      </c>
      <c r="H29" t="s">
        <v>559</v>
      </c>
      <c r="I29" t="s">
        <v>560</v>
      </c>
      <c r="J29" s="370">
        <v>60439199.590000004</v>
      </c>
      <c r="K29" s="370">
        <v>0</v>
      </c>
      <c r="L29" s="370">
        <v>0</v>
      </c>
      <c r="M29" s="370">
        <v>60439199.590000004</v>
      </c>
      <c r="N29" s="370">
        <v>0</v>
      </c>
      <c r="O29" s="370">
        <v>60439199.590000004</v>
      </c>
      <c r="P29" s="370">
        <v>0</v>
      </c>
      <c r="Q29" s="370">
        <v>0</v>
      </c>
      <c r="R29" s="370">
        <v>0</v>
      </c>
      <c r="S29" s="370">
        <v>0</v>
      </c>
      <c r="T29" s="370">
        <v>0</v>
      </c>
      <c r="U29" s="370">
        <v>1</v>
      </c>
      <c r="V29" s="370" t="s">
        <v>482</v>
      </c>
      <c r="W29" s="370">
        <v>60439199.590000004</v>
      </c>
      <c r="X29" s="370">
        <v>60439199.590000004</v>
      </c>
      <c r="Y29" s="370">
        <v>60439199.590000004</v>
      </c>
    </row>
    <row r="30" spans="1:25">
      <c r="A30" t="s">
        <v>474</v>
      </c>
      <c r="B30" t="s">
        <v>64</v>
      </c>
      <c r="C30" t="s">
        <v>90</v>
      </c>
      <c r="D30" t="s">
        <v>95</v>
      </c>
      <c r="E30" t="s">
        <v>561</v>
      </c>
      <c r="F30" t="s">
        <v>474</v>
      </c>
      <c r="G30" t="s">
        <v>476</v>
      </c>
      <c r="H30" t="s">
        <v>562</v>
      </c>
      <c r="I30" t="s">
        <v>563</v>
      </c>
      <c r="J30" s="370">
        <v>8446912.3200000003</v>
      </c>
      <c r="K30" s="370">
        <v>0</v>
      </c>
      <c r="L30" s="370">
        <v>0</v>
      </c>
      <c r="M30" s="370">
        <v>8446912.3200000003</v>
      </c>
      <c r="N30" s="370">
        <v>0</v>
      </c>
      <c r="O30" s="370">
        <v>8446912.3200000003</v>
      </c>
      <c r="P30" s="370">
        <v>0</v>
      </c>
      <c r="Q30" s="370">
        <v>0</v>
      </c>
      <c r="R30" s="370">
        <v>0</v>
      </c>
      <c r="S30" s="370">
        <v>0</v>
      </c>
      <c r="T30" s="370">
        <v>0</v>
      </c>
      <c r="U30" s="370">
        <v>1</v>
      </c>
      <c r="V30" s="370" t="s">
        <v>482</v>
      </c>
      <c r="W30" s="370">
        <v>8446912.3200000003</v>
      </c>
      <c r="X30" s="370">
        <v>8446912.3200000003</v>
      </c>
      <c r="Y30" s="370">
        <v>8446912.3200000003</v>
      </c>
    </row>
    <row r="31" spans="1:25">
      <c r="A31" t="s">
        <v>474</v>
      </c>
      <c r="B31" t="s">
        <v>64</v>
      </c>
      <c r="C31" t="s">
        <v>90</v>
      </c>
      <c r="D31" t="s">
        <v>96</v>
      </c>
      <c r="E31" t="s">
        <v>564</v>
      </c>
      <c r="F31" t="s">
        <v>474</v>
      </c>
      <c r="G31" t="s">
        <v>476</v>
      </c>
      <c r="H31" t="s">
        <v>565</v>
      </c>
      <c r="I31" t="s">
        <v>566</v>
      </c>
      <c r="J31" s="370">
        <v>101007491.2</v>
      </c>
      <c r="K31" s="370">
        <v>0</v>
      </c>
      <c r="L31" s="370">
        <v>0</v>
      </c>
      <c r="M31" s="370">
        <v>101007491.2</v>
      </c>
      <c r="N31" s="370">
        <v>0</v>
      </c>
      <c r="O31" s="370">
        <v>101007491.2</v>
      </c>
      <c r="P31" s="370">
        <v>0</v>
      </c>
      <c r="Q31" s="370">
        <v>0</v>
      </c>
      <c r="R31" s="370">
        <v>0</v>
      </c>
      <c r="S31" s="370">
        <v>0</v>
      </c>
      <c r="T31" s="370">
        <v>0</v>
      </c>
      <c r="U31" s="370">
        <v>1</v>
      </c>
      <c r="V31" s="370" t="s">
        <v>482</v>
      </c>
      <c r="W31" s="370">
        <v>101007491.2</v>
      </c>
      <c r="X31" s="370">
        <v>101007491.2</v>
      </c>
      <c r="Y31" s="370">
        <v>101007491.2</v>
      </c>
    </row>
    <row r="32" spans="1:25">
      <c r="A32" t="s">
        <v>474</v>
      </c>
      <c r="B32" t="s">
        <v>64</v>
      </c>
      <c r="C32" t="s">
        <v>90</v>
      </c>
      <c r="D32" t="s">
        <v>97</v>
      </c>
      <c r="E32" t="s">
        <v>567</v>
      </c>
      <c r="F32" t="s">
        <v>474</v>
      </c>
      <c r="G32" t="s">
        <v>476</v>
      </c>
      <c r="H32" t="s">
        <v>568</v>
      </c>
      <c r="I32" t="s">
        <v>569</v>
      </c>
      <c r="J32" s="370">
        <v>455797.65</v>
      </c>
      <c r="K32" s="370">
        <v>0</v>
      </c>
      <c r="L32" s="370">
        <v>0</v>
      </c>
      <c r="M32" s="370">
        <v>455797.65</v>
      </c>
      <c r="N32" s="370">
        <v>0</v>
      </c>
      <c r="O32" s="370">
        <v>455797.65</v>
      </c>
      <c r="P32" s="370">
        <v>0</v>
      </c>
      <c r="Q32" s="370">
        <v>0</v>
      </c>
      <c r="R32" s="370">
        <v>0</v>
      </c>
      <c r="S32" s="370">
        <v>0</v>
      </c>
      <c r="T32" s="370">
        <v>0</v>
      </c>
      <c r="U32" s="370">
        <v>1</v>
      </c>
      <c r="V32" s="370" t="s">
        <v>482</v>
      </c>
      <c r="W32" s="370">
        <v>455797.65</v>
      </c>
      <c r="X32" s="370">
        <v>455797.65</v>
      </c>
      <c r="Y32" s="370">
        <v>455797.65</v>
      </c>
    </row>
    <row r="33" spans="1:25">
      <c r="A33" t="s">
        <v>474</v>
      </c>
      <c r="B33" t="s">
        <v>64</v>
      </c>
      <c r="C33" t="s">
        <v>90</v>
      </c>
      <c r="D33" t="s">
        <v>98</v>
      </c>
      <c r="E33" t="s">
        <v>570</v>
      </c>
      <c r="F33" t="s">
        <v>474</v>
      </c>
      <c r="G33" t="s">
        <v>476</v>
      </c>
      <c r="H33" t="s">
        <v>571</v>
      </c>
      <c r="I33" t="s">
        <v>572</v>
      </c>
      <c r="J33" s="370">
        <v>79619985.829999998</v>
      </c>
      <c r="K33" s="370">
        <v>0</v>
      </c>
      <c r="L33" s="370">
        <v>0</v>
      </c>
      <c r="M33" s="370">
        <v>79619985.829999998</v>
      </c>
      <c r="N33" s="370">
        <v>0</v>
      </c>
      <c r="O33" s="370">
        <v>79619985.829999998</v>
      </c>
      <c r="P33" s="370">
        <v>0</v>
      </c>
      <c r="Q33" s="370">
        <v>0</v>
      </c>
      <c r="R33" s="370">
        <v>0</v>
      </c>
      <c r="S33" s="370">
        <v>0</v>
      </c>
      <c r="T33" s="370">
        <v>0</v>
      </c>
      <c r="U33" s="370">
        <v>1</v>
      </c>
      <c r="V33" s="370" t="s">
        <v>482</v>
      </c>
      <c r="W33" s="370">
        <v>79619985.829999998</v>
      </c>
      <c r="X33" s="370">
        <v>79619985.829999998</v>
      </c>
      <c r="Y33" s="370">
        <v>79619985.829999998</v>
      </c>
    </row>
    <row r="34" spans="1:25">
      <c r="A34" t="s">
        <v>474</v>
      </c>
      <c r="B34" t="s">
        <v>64</v>
      </c>
      <c r="C34" t="s">
        <v>90</v>
      </c>
      <c r="D34" t="s">
        <v>99</v>
      </c>
      <c r="E34" t="s">
        <v>573</v>
      </c>
      <c r="F34" t="s">
        <v>474</v>
      </c>
      <c r="G34" t="s">
        <v>476</v>
      </c>
      <c r="H34" t="s">
        <v>574</v>
      </c>
      <c r="I34" t="s">
        <v>575</v>
      </c>
      <c r="J34" s="370">
        <v>55148949.240000002</v>
      </c>
      <c r="K34" s="370">
        <v>0</v>
      </c>
      <c r="L34" s="370">
        <v>0</v>
      </c>
      <c r="M34" s="370">
        <v>55148949.240000002</v>
      </c>
      <c r="N34" s="370">
        <v>0</v>
      </c>
      <c r="O34" s="370">
        <v>55148949.240000002</v>
      </c>
      <c r="P34" s="370">
        <v>0</v>
      </c>
      <c r="Q34" s="370">
        <v>0</v>
      </c>
      <c r="R34" s="370">
        <v>0</v>
      </c>
      <c r="S34" s="370">
        <v>0</v>
      </c>
      <c r="T34" s="370">
        <v>0</v>
      </c>
      <c r="U34" s="370">
        <v>1</v>
      </c>
      <c r="V34" s="370" t="s">
        <v>482</v>
      </c>
      <c r="W34" s="370">
        <v>55148949.240000002</v>
      </c>
      <c r="X34" s="370">
        <v>55148949.240000002</v>
      </c>
      <c r="Y34" s="370">
        <v>55148949.240000002</v>
      </c>
    </row>
    <row r="35" spans="1:25">
      <c r="A35" t="s">
        <v>474</v>
      </c>
      <c r="B35" t="s">
        <v>64</v>
      </c>
      <c r="C35" t="s">
        <v>90</v>
      </c>
      <c r="D35" t="s">
        <v>100</v>
      </c>
      <c r="E35" t="s">
        <v>576</v>
      </c>
      <c r="F35" t="s">
        <v>474</v>
      </c>
      <c r="G35" t="s">
        <v>476</v>
      </c>
      <c r="H35" t="s">
        <v>577</v>
      </c>
      <c r="I35" t="s">
        <v>578</v>
      </c>
      <c r="J35" s="370">
        <v>179792572.19</v>
      </c>
      <c r="K35" s="370">
        <v>0</v>
      </c>
      <c r="L35" s="370">
        <v>0</v>
      </c>
      <c r="M35" s="370">
        <v>179792572.19</v>
      </c>
      <c r="N35" s="370">
        <v>0</v>
      </c>
      <c r="O35" s="370">
        <v>179792572.19</v>
      </c>
      <c r="P35" s="370">
        <v>0</v>
      </c>
      <c r="Q35" s="370">
        <v>0</v>
      </c>
      <c r="R35" s="370">
        <v>0</v>
      </c>
      <c r="S35" s="370">
        <v>0</v>
      </c>
      <c r="T35" s="370">
        <v>0</v>
      </c>
      <c r="U35" s="370">
        <v>1</v>
      </c>
      <c r="V35" s="370" t="s">
        <v>482</v>
      </c>
      <c r="W35" s="370">
        <v>179792572.19</v>
      </c>
      <c r="X35" s="370">
        <v>179792572.19</v>
      </c>
      <c r="Y35" s="370">
        <v>179792572.19</v>
      </c>
    </row>
    <row r="36" spans="1:25">
      <c r="A36" t="s">
        <v>474</v>
      </c>
      <c r="B36" t="s">
        <v>64</v>
      </c>
      <c r="C36" t="s">
        <v>90</v>
      </c>
      <c r="D36" t="s">
        <v>101</v>
      </c>
      <c r="E36" t="s">
        <v>579</v>
      </c>
      <c r="F36" t="s">
        <v>474</v>
      </c>
      <c r="G36" t="s">
        <v>476</v>
      </c>
      <c r="H36" t="s">
        <v>580</v>
      </c>
      <c r="I36" t="s">
        <v>581</v>
      </c>
      <c r="J36" s="370">
        <v>113405914.16</v>
      </c>
      <c r="K36" s="370">
        <v>0</v>
      </c>
      <c r="L36" s="370">
        <v>0</v>
      </c>
      <c r="M36" s="370">
        <v>113405914.16</v>
      </c>
      <c r="N36" s="370">
        <v>0</v>
      </c>
      <c r="O36" s="370">
        <v>113405914.16</v>
      </c>
      <c r="P36" s="370">
        <v>0</v>
      </c>
      <c r="Q36" s="370">
        <v>0</v>
      </c>
      <c r="R36" s="370">
        <v>0</v>
      </c>
      <c r="S36" s="370">
        <v>0</v>
      </c>
      <c r="T36" s="370">
        <v>0</v>
      </c>
      <c r="U36" s="370">
        <v>1</v>
      </c>
      <c r="V36" s="370" t="s">
        <v>482</v>
      </c>
      <c r="W36" s="370">
        <v>113405914.16</v>
      </c>
      <c r="X36" s="370">
        <v>113405914.16</v>
      </c>
      <c r="Y36" s="370">
        <v>113405914.16</v>
      </c>
    </row>
    <row r="37" spans="1:25">
      <c r="A37" t="s">
        <v>474</v>
      </c>
      <c r="B37" t="s">
        <v>64</v>
      </c>
      <c r="C37" t="s">
        <v>90</v>
      </c>
      <c r="D37" t="s">
        <v>102</v>
      </c>
      <c r="E37" t="s">
        <v>582</v>
      </c>
      <c r="F37" t="s">
        <v>474</v>
      </c>
      <c r="G37" t="s">
        <v>487</v>
      </c>
      <c r="H37" t="s">
        <v>583</v>
      </c>
      <c r="I37" t="s">
        <v>584</v>
      </c>
      <c r="J37" s="370">
        <v>95070319.959999993</v>
      </c>
      <c r="K37" s="370">
        <v>0</v>
      </c>
      <c r="L37" s="370">
        <v>0</v>
      </c>
      <c r="M37" s="370">
        <v>95070319.959999993</v>
      </c>
      <c r="N37" s="370">
        <v>0</v>
      </c>
      <c r="O37" s="370">
        <v>95070319.959999993</v>
      </c>
      <c r="P37" s="370">
        <v>0</v>
      </c>
      <c r="Q37" s="370">
        <v>0</v>
      </c>
      <c r="R37" s="370">
        <v>0</v>
      </c>
      <c r="S37" s="370">
        <v>0</v>
      </c>
      <c r="T37" s="370">
        <v>0</v>
      </c>
      <c r="U37" s="370">
        <v>1</v>
      </c>
      <c r="V37" s="370" t="s">
        <v>482</v>
      </c>
      <c r="W37" s="370">
        <v>95070319.959999993</v>
      </c>
      <c r="X37" s="370">
        <v>95070319.959999993</v>
      </c>
      <c r="Y37" s="370">
        <v>95070319.959999993</v>
      </c>
    </row>
    <row r="38" spans="1:25">
      <c r="A38" t="s">
        <v>474</v>
      </c>
      <c r="B38" t="s">
        <v>64</v>
      </c>
      <c r="C38" t="s">
        <v>90</v>
      </c>
      <c r="D38" t="s">
        <v>103</v>
      </c>
      <c r="E38" t="s">
        <v>585</v>
      </c>
      <c r="F38" t="s">
        <v>474</v>
      </c>
      <c r="G38" t="s">
        <v>476</v>
      </c>
      <c r="H38" t="s">
        <v>586</v>
      </c>
      <c r="I38" t="s">
        <v>587</v>
      </c>
      <c r="J38" s="370">
        <v>121904327.93000001</v>
      </c>
      <c r="K38" s="370">
        <v>0</v>
      </c>
      <c r="L38" s="370">
        <v>0</v>
      </c>
      <c r="M38" s="370">
        <v>121904327.93000001</v>
      </c>
      <c r="N38" s="370">
        <v>0</v>
      </c>
      <c r="O38" s="370">
        <v>121904327.93000001</v>
      </c>
      <c r="P38" s="370">
        <v>0</v>
      </c>
      <c r="Q38" s="370">
        <v>0</v>
      </c>
      <c r="R38" s="370">
        <v>0</v>
      </c>
      <c r="S38" s="370">
        <v>0</v>
      </c>
      <c r="T38" s="370">
        <v>0</v>
      </c>
      <c r="U38" s="370">
        <v>1</v>
      </c>
      <c r="V38" s="370" t="s">
        <v>482</v>
      </c>
      <c r="W38" s="370">
        <v>121904327.93000001</v>
      </c>
      <c r="X38" s="370">
        <v>121904327.93000001</v>
      </c>
      <c r="Y38" s="370">
        <v>121904327.93000001</v>
      </c>
    </row>
    <row r="39" spans="1:25">
      <c r="A39" t="s">
        <v>474</v>
      </c>
      <c r="B39" t="s">
        <v>64</v>
      </c>
      <c r="C39" t="s">
        <v>90</v>
      </c>
      <c r="D39" t="s">
        <v>104</v>
      </c>
      <c r="E39" t="s">
        <v>588</v>
      </c>
      <c r="F39" t="s">
        <v>474</v>
      </c>
      <c r="G39" t="s">
        <v>476</v>
      </c>
      <c r="H39" t="s">
        <v>589</v>
      </c>
      <c r="I39" t="s">
        <v>590</v>
      </c>
      <c r="J39" s="370">
        <v>74569124.629999995</v>
      </c>
      <c r="K39" s="370">
        <v>0</v>
      </c>
      <c r="L39" s="370">
        <v>0</v>
      </c>
      <c r="M39" s="370">
        <v>74569124.629999995</v>
      </c>
      <c r="N39" s="370">
        <v>0</v>
      </c>
      <c r="O39" s="370">
        <v>74569124.629999995</v>
      </c>
      <c r="P39" s="370">
        <v>0</v>
      </c>
      <c r="Q39" s="370">
        <v>0</v>
      </c>
      <c r="R39" s="370">
        <v>0</v>
      </c>
      <c r="S39" s="370">
        <v>0</v>
      </c>
      <c r="T39" s="370">
        <v>0</v>
      </c>
      <c r="U39" s="370">
        <v>1</v>
      </c>
      <c r="V39" s="370" t="s">
        <v>482</v>
      </c>
      <c r="W39" s="370">
        <v>74569124.629999995</v>
      </c>
      <c r="X39" s="370">
        <v>74569124.629999995</v>
      </c>
      <c r="Y39" s="370">
        <v>74569124.629999995</v>
      </c>
    </row>
    <row r="40" spans="1:25">
      <c r="A40" t="s">
        <v>474</v>
      </c>
      <c r="B40" t="s">
        <v>64</v>
      </c>
      <c r="C40" t="s">
        <v>105</v>
      </c>
      <c r="D40" t="s">
        <v>106</v>
      </c>
      <c r="E40" t="s">
        <v>591</v>
      </c>
      <c r="F40" t="s">
        <v>474</v>
      </c>
      <c r="G40" t="s">
        <v>487</v>
      </c>
      <c r="H40" t="s">
        <v>592</v>
      </c>
      <c r="I40" t="s">
        <v>593</v>
      </c>
      <c r="J40" s="370">
        <v>0</v>
      </c>
      <c r="K40" s="370">
        <v>0</v>
      </c>
      <c r="L40" s="370">
        <v>0</v>
      </c>
      <c r="M40" s="370">
        <v>0</v>
      </c>
      <c r="N40" s="370">
        <v>0</v>
      </c>
      <c r="O40" s="370">
        <v>0</v>
      </c>
      <c r="P40" s="370">
        <v>0</v>
      </c>
      <c r="Q40" s="370">
        <v>0</v>
      </c>
      <c r="R40" s="370">
        <v>0</v>
      </c>
      <c r="S40" s="370">
        <v>0</v>
      </c>
      <c r="T40" s="370">
        <v>0</v>
      </c>
      <c r="X40" s="370">
        <v>0</v>
      </c>
      <c r="Y40" s="370">
        <v>0</v>
      </c>
    </row>
    <row r="41" spans="1:25">
      <c r="A41" t="s">
        <v>474</v>
      </c>
      <c r="B41" t="s">
        <v>64</v>
      </c>
      <c r="C41" t="s">
        <v>105</v>
      </c>
      <c r="D41" t="s">
        <v>107</v>
      </c>
      <c r="E41" t="s">
        <v>594</v>
      </c>
      <c r="F41" t="s">
        <v>474</v>
      </c>
      <c r="G41" t="s">
        <v>476</v>
      </c>
      <c r="H41" t="s">
        <v>595</v>
      </c>
      <c r="I41" t="s">
        <v>596</v>
      </c>
      <c r="J41" s="370">
        <v>171771292</v>
      </c>
      <c r="K41" s="370">
        <v>0</v>
      </c>
      <c r="L41" s="370">
        <v>0</v>
      </c>
      <c r="M41" s="370">
        <v>171771292</v>
      </c>
      <c r="N41" s="370">
        <v>0</v>
      </c>
      <c r="O41" s="370">
        <v>171771292</v>
      </c>
      <c r="P41" s="370">
        <v>171771292</v>
      </c>
      <c r="Q41" s="370">
        <v>0</v>
      </c>
      <c r="R41" s="370">
        <v>776107.84</v>
      </c>
      <c r="S41" s="370">
        <v>0</v>
      </c>
      <c r="T41" s="370">
        <v>171771292</v>
      </c>
      <c r="U41" s="370">
        <v>1</v>
      </c>
      <c r="V41" s="370" t="s">
        <v>482</v>
      </c>
      <c r="W41" s="370">
        <v>171771292</v>
      </c>
      <c r="X41" s="370">
        <v>0</v>
      </c>
      <c r="Y41" s="370">
        <v>171771292</v>
      </c>
    </row>
    <row r="42" spans="1:25">
      <c r="A42" t="s">
        <v>474</v>
      </c>
      <c r="B42" t="s">
        <v>64</v>
      </c>
      <c r="C42" t="s">
        <v>108</v>
      </c>
      <c r="D42" t="s">
        <v>110</v>
      </c>
      <c r="E42" t="s">
        <v>597</v>
      </c>
      <c r="F42" t="s">
        <v>474</v>
      </c>
      <c r="G42" t="s">
        <v>476</v>
      </c>
      <c r="H42" t="s">
        <v>598</v>
      </c>
      <c r="I42" t="s">
        <v>599</v>
      </c>
      <c r="J42" s="370">
        <v>34354258</v>
      </c>
      <c r="K42" s="370">
        <v>0</v>
      </c>
      <c r="L42" s="370">
        <v>0</v>
      </c>
      <c r="M42" s="370">
        <v>34354258</v>
      </c>
      <c r="N42" s="370">
        <v>0</v>
      </c>
      <c r="O42" s="370">
        <v>34354258</v>
      </c>
      <c r="P42" s="370">
        <v>0</v>
      </c>
      <c r="Q42" s="370">
        <v>0</v>
      </c>
      <c r="R42" s="370">
        <v>0</v>
      </c>
      <c r="S42" s="370">
        <v>0</v>
      </c>
      <c r="T42" s="370">
        <v>0</v>
      </c>
      <c r="U42" s="370">
        <v>1</v>
      </c>
      <c r="V42" s="370" t="s">
        <v>482</v>
      </c>
      <c r="W42" s="370">
        <v>34354258</v>
      </c>
      <c r="X42" s="370">
        <v>34354258</v>
      </c>
      <c r="Y42" s="370">
        <v>34354258</v>
      </c>
    </row>
    <row r="43" spans="1:25">
      <c r="A43" t="s">
        <v>474</v>
      </c>
      <c r="B43" t="s">
        <v>111</v>
      </c>
      <c r="C43" t="s">
        <v>112</v>
      </c>
      <c r="D43" t="s">
        <v>114</v>
      </c>
      <c r="E43" t="s">
        <v>600</v>
      </c>
      <c r="F43" t="s">
        <v>474</v>
      </c>
      <c r="G43" t="s">
        <v>476</v>
      </c>
      <c r="H43" t="s">
        <v>601</v>
      </c>
      <c r="I43" t="s">
        <v>602</v>
      </c>
      <c r="J43" s="370">
        <v>137417034</v>
      </c>
      <c r="K43" s="370">
        <v>0</v>
      </c>
      <c r="L43" s="370">
        <v>0</v>
      </c>
      <c r="M43" s="370">
        <v>137417034</v>
      </c>
      <c r="N43" s="370">
        <v>0</v>
      </c>
      <c r="O43" s="370">
        <v>137417034</v>
      </c>
      <c r="P43" s="370">
        <v>137416238</v>
      </c>
      <c r="Q43" s="370">
        <v>0</v>
      </c>
      <c r="R43" s="370">
        <v>161175.97</v>
      </c>
      <c r="S43" s="370">
        <v>0</v>
      </c>
      <c r="T43" s="370">
        <v>137416238</v>
      </c>
      <c r="U43" s="370">
        <v>1</v>
      </c>
      <c r="V43" s="370" t="s">
        <v>482</v>
      </c>
      <c r="W43" s="370">
        <v>137417034</v>
      </c>
      <c r="X43" s="370">
        <v>796</v>
      </c>
      <c r="Y43" s="370">
        <v>137417034</v>
      </c>
    </row>
    <row r="44" spans="1:25">
      <c r="A44" t="s">
        <v>474</v>
      </c>
      <c r="B44" t="s">
        <v>111</v>
      </c>
      <c r="C44" t="s">
        <v>115</v>
      </c>
      <c r="D44" t="s">
        <v>116</v>
      </c>
      <c r="E44" t="s">
        <v>603</v>
      </c>
      <c r="F44" t="s">
        <v>474</v>
      </c>
      <c r="G44" t="s">
        <v>476</v>
      </c>
      <c r="H44" t="s">
        <v>604</v>
      </c>
      <c r="I44" t="s">
        <v>605</v>
      </c>
      <c r="J44" s="370">
        <v>0</v>
      </c>
      <c r="K44" s="370">
        <v>0</v>
      </c>
      <c r="L44" s="370">
        <v>0</v>
      </c>
      <c r="M44" s="370">
        <v>0</v>
      </c>
      <c r="N44" s="370">
        <v>0</v>
      </c>
      <c r="O44" s="370">
        <v>0</v>
      </c>
      <c r="P44" s="370">
        <v>0</v>
      </c>
      <c r="Q44" s="370">
        <v>0</v>
      </c>
      <c r="R44" s="370">
        <v>0</v>
      </c>
      <c r="S44" s="370">
        <v>0</v>
      </c>
      <c r="T44" s="370">
        <v>0</v>
      </c>
      <c r="X44" s="370">
        <v>0</v>
      </c>
      <c r="Y44" s="370">
        <v>0</v>
      </c>
    </row>
    <row r="45" spans="1:25">
      <c r="A45" t="s">
        <v>474</v>
      </c>
      <c r="B45" t="s">
        <v>111</v>
      </c>
      <c r="C45" t="s">
        <v>115</v>
      </c>
      <c r="D45" t="s">
        <v>117</v>
      </c>
      <c r="E45" t="s">
        <v>606</v>
      </c>
      <c r="F45" t="s">
        <v>474</v>
      </c>
      <c r="G45" t="s">
        <v>476</v>
      </c>
      <c r="H45" t="s">
        <v>607</v>
      </c>
      <c r="I45" t="s">
        <v>608</v>
      </c>
      <c r="J45" s="370">
        <v>35151584</v>
      </c>
      <c r="K45" s="370">
        <v>0</v>
      </c>
      <c r="L45" s="370">
        <v>0</v>
      </c>
      <c r="M45" s="370">
        <v>35151584</v>
      </c>
      <c r="N45" s="370">
        <v>0</v>
      </c>
      <c r="O45" s="370">
        <v>35151584</v>
      </c>
      <c r="P45" s="370">
        <v>35155869.210000001</v>
      </c>
      <c r="Q45" s="370">
        <v>0</v>
      </c>
      <c r="R45" s="370">
        <v>0</v>
      </c>
      <c r="S45" s="370">
        <v>0</v>
      </c>
      <c r="T45" s="370">
        <v>35155869.210000001</v>
      </c>
      <c r="U45" s="370">
        <v>1</v>
      </c>
      <c r="V45" s="370" t="s">
        <v>482</v>
      </c>
      <c r="W45" s="370">
        <v>35151584</v>
      </c>
      <c r="X45" s="370">
        <v>0</v>
      </c>
      <c r="Y45" s="370">
        <v>35155869.210000001</v>
      </c>
    </row>
    <row r="46" spans="1:25">
      <c r="A46" t="s">
        <v>474</v>
      </c>
      <c r="B46" t="s">
        <v>111</v>
      </c>
      <c r="C46" t="s">
        <v>115</v>
      </c>
      <c r="D46" t="s">
        <v>118</v>
      </c>
      <c r="E46" t="s">
        <v>609</v>
      </c>
      <c r="F46" t="s">
        <v>474</v>
      </c>
      <c r="G46" t="s">
        <v>476</v>
      </c>
      <c r="H46" t="s">
        <v>610</v>
      </c>
      <c r="I46" t="s">
        <v>611</v>
      </c>
      <c r="J46" s="370">
        <v>246553335</v>
      </c>
      <c r="K46" s="370">
        <v>0</v>
      </c>
      <c r="L46" s="370">
        <v>0</v>
      </c>
      <c r="M46" s="370">
        <v>246553335</v>
      </c>
      <c r="N46" s="370">
        <v>0</v>
      </c>
      <c r="O46" s="370">
        <v>246553335</v>
      </c>
      <c r="P46" s="370">
        <v>0</v>
      </c>
      <c r="Q46" s="370">
        <v>0</v>
      </c>
      <c r="R46" s="370">
        <v>0</v>
      </c>
      <c r="S46" s="370">
        <v>0</v>
      </c>
      <c r="T46" s="370">
        <v>0</v>
      </c>
      <c r="U46" s="370">
        <v>1</v>
      </c>
      <c r="V46" s="370" t="s">
        <v>482</v>
      </c>
      <c r="W46" s="370">
        <v>246553335</v>
      </c>
      <c r="X46" s="370">
        <v>246553335</v>
      </c>
      <c r="Y46" s="370">
        <v>246553335</v>
      </c>
    </row>
    <row r="47" spans="1:25">
      <c r="A47" t="s">
        <v>474</v>
      </c>
      <c r="B47" t="s">
        <v>111</v>
      </c>
      <c r="C47" t="s">
        <v>119</v>
      </c>
      <c r="D47" t="s">
        <v>121</v>
      </c>
      <c r="E47" t="s">
        <v>612</v>
      </c>
      <c r="F47" t="s">
        <v>474</v>
      </c>
      <c r="G47" t="s">
        <v>476</v>
      </c>
      <c r="H47" t="s">
        <v>613</v>
      </c>
      <c r="I47" t="s">
        <v>614</v>
      </c>
      <c r="J47" s="370">
        <v>67334346</v>
      </c>
      <c r="K47" s="370">
        <v>0</v>
      </c>
      <c r="L47" s="370">
        <v>0</v>
      </c>
      <c r="M47" s="370">
        <v>67334346</v>
      </c>
      <c r="N47" s="370">
        <v>0</v>
      </c>
      <c r="O47" s="370">
        <v>67334346</v>
      </c>
      <c r="P47" s="370">
        <v>237853.9</v>
      </c>
      <c r="Q47" s="370">
        <v>0</v>
      </c>
      <c r="R47" s="370">
        <v>237853.9</v>
      </c>
      <c r="S47" s="370">
        <v>0</v>
      </c>
      <c r="T47" s="370">
        <v>237853.9</v>
      </c>
      <c r="U47" s="370">
        <v>1</v>
      </c>
      <c r="V47" s="370" t="s">
        <v>482</v>
      </c>
      <c r="W47" s="370">
        <v>67334346</v>
      </c>
      <c r="X47" s="370">
        <v>67096492.100000001</v>
      </c>
      <c r="Y47" s="370">
        <v>67334346</v>
      </c>
    </row>
    <row r="48" spans="1:25">
      <c r="A48" t="s">
        <v>474</v>
      </c>
      <c r="B48" t="s">
        <v>111</v>
      </c>
      <c r="C48" t="s">
        <v>122</v>
      </c>
      <c r="D48" t="s">
        <v>123</v>
      </c>
      <c r="E48" t="s">
        <v>615</v>
      </c>
      <c r="F48" t="s">
        <v>474</v>
      </c>
      <c r="G48" t="s">
        <v>476</v>
      </c>
      <c r="H48" t="s">
        <v>616</v>
      </c>
      <c r="I48" t="s">
        <v>617</v>
      </c>
      <c r="J48" s="370">
        <v>47692179.399999999</v>
      </c>
      <c r="K48" s="370">
        <v>0</v>
      </c>
      <c r="L48" s="370">
        <v>0</v>
      </c>
      <c r="M48" s="370">
        <v>47692179.399999999</v>
      </c>
      <c r="N48" s="370">
        <v>0</v>
      </c>
      <c r="O48" s="370">
        <v>47692179.399999999</v>
      </c>
      <c r="P48" s="370">
        <v>0</v>
      </c>
      <c r="Q48" s="370">
        <v>0</v>
      </c>
      <c r="R48" s="370">
        <v>0</v>
      </c>
      <c r="S48" s="370">
        <v>0</v>
      </c>
      <c r="T48" s="370">
        <v>0</v>
      </c>
      <c r="U48" s="370">
        <v>1</v>
      </c>
      <c r="V48" s="370" t="s">
        <v>482</v>
      </c>
      <c r="W48" s="370">
        <v>47692179.399999999</v>
      </c>
      <c r="X48" s="370">
        <v>47692179.399999999</v>
      </c>
      <c r="Y48" s="370">
        <v>47692179.399999999</v>
      </c>
    </row>
    <row r="49" spans="1:25">
      <c r="A49" t="s">
        <v>474</v>
      </c>
      <c r="B49" t="s">
        <v>111</v>
      </c>
      <c r="C49" t="s">
        <v>122</v>
      </c>
      <c r="D49" t="s">
        <v>180</v>
      </c>
      <c r="E49" t="s">
        <v>618</v>
      </c>
      <c r="F49" t="s">
        <v>474</v>
      </c>
      <c r="G49" t="s">
        <v>476</v>
      </c>
      <c r="H49" t="s">
        <v>619</v>
      </c>
      <c r="I49" t="s">
        <v>620</v>
      </c>
      <c r="J49" s="370">
        <v>3839208.55</v>
      </c>
      <c r="K49" s="370">
        <v>0</v>
      </c>
      <c r="L49" s="370">
        <v>0</v>
      </c>
      <c r="M49" s="370">
        <v>3839208.55</v>
      </c>
      <c r="N49" s="370">
        <v>0</v>
      </c>
      <c r="O49" s="370">
        <v>3839208.55</v>
      </c>
      <c r="P49" s="370">
        <v>3654562.97</v>
      </c>
      <c r="Q49" s="370">
        <v>0</v>
      </c>
      <c r="R49" s="370">
        <v>2285058.4700000002</v>
      </c>
      <c r="S49" s="370">
        <v>0</v>
      </c>
      <c r="T49" s="370">
        <v>3654562.97</v>
      </c>
      <c r="U49" s="370">
        <v>1</v>
      </c>
      <c r="V49" s="370" t="s">
        <v>482</v>
      </c>
      <c r="W49" s="370">
        <v>3839208.55</v>
      </c>
      <c r="X49" s="370">
        <v>184645.58</v>
      </c>
      <c r="Y49" s="370">
        <v>3839208.55</v>
      </c>
    </row>
    <row r="50" spans="1:25">
      <c r="A50" t="s">
        <v>474</v>
      </c>
      <c r="B50" t="s">
        <v>111</v>
      </c>
      <c r="C50" t="s">
        <v>126</v>
      </c>
      <c r="D50" t="s">
        <v>128</v>
      </c>
      <c r="E50" t="s">
        <v>621</v>
      </c>
      <c r="F50" t="s">
        <v>474</v>
      </c>
      <c r="G50" t="s">
        <v>476</v>
      </c>
      <c r="H50" t="s">
        <v>622</v>
      </c>
      <c r="I50" t="s">
        <v>623</v>
      </c>
      <c r="J50" s="370">
        <v>19238385</v>
      </c>
      <c r="K50" s="370">
        <v>0</v>
      </c>
      <c r="L50" s="370">
        <v>0</v>
      </c>
      <c r="M50" s="370">
        <v>19238385</v>
      </c>
      <c r="N50" s="370">
        <v>0</v>
      </c>
      <c r="O50" s="370">
        <v>19238385</v>
      </c>
      <c r="P50" s="370">
        <v>0</v>
      </c>
      <c r="Q50" s="370">
        <v>0</v>
      </c>
      <c r="R50" s="370">
        <v>0</v>
      </c>
      <c r="S50" s="370">
        <v>0</v>
      </c>
      <c r="T50" s="370">
        <v>0</v>
      </c>
      <c r="U50" s="370">
        <v>1</v>
      </c>
      <c r="V50" s="370" t="s">
        <v>482</v>
      </c>
      <c r="W50" s="370">
        <v>19238385</v>
      </c>
      <c r="X50" s="370">
        <v>19238385</v>
      </c>
      <c r="Y50" s="370">
        <v>19238385</v>
      </c>
    </row>
    <row r="51" spans="1:25">
      <c r="A51" t="s">
        <v>474</v>
      </c>
      <c r="B51" t="s">
        <v>129</v>
      </c>
      <c r="C51" t="s">
        <v>193</v>
      </c>
      <c r="D51" t="s">
        <v>194</v>
      </c>
      <c r="E51" t="s">
        <v>624</v>
      </c>
      <c r="F51" t="s">
        <v>474</v>
      </c>
      <c r="G51" t="s">
        <v>476</v>
      </c>
      <c r="H51" t="s">
        <v>625</v>
      </c>
      <c r="I51" t="s">
        <v>626</v>
      </c>
      <c r="J51" s="370">
        <v>3396950.7</v>
      </c>
      <c r="K51" s="370">
        <v>0</v>
      </c>
      <c r="L51" s="370">
        <v>0</v>
      </c>
      <c r="M51" s="370">
        <v>3396950.7</v>
      </c>
      <c r="N51" s="370">
        <v>0</v>
      </c>
      <c r="O51" s="370">
        <v>3396950.7</v>
      </c>
      <c r="P51" s="370">
        <v>0</v>
      </c>
      <c r="Q51" s="370">
        <v>0</v>
      </c>
      <c r="R51" s="370">
        <v>0</v>
      </c>
      <c r="S51" s="370">
        <v>0</v>
      </c>
      <c r="T51" s="370">
        <v>0</v>
      </c>
      <c r="U51" s="370">
        <v>1</v>
      </c>
      <c r="V51" s="370" t="s">
        <v>482</v>
      </c>
      <c r="W51" s="370">
        <v>3396950.7</v>
      </c>
      <c r="X51" s="370">
        <v>3396950.7</v>
      </c>
      <c r="Y51" s="370">
        <v>3396950.7</v>
      </c>
    </row>
    <row r="52" spans="1:25">
      <c r="A52" t="s">
        <v>474</v>
      </c>
      <c r="B52" t="s">
        <v>129</v>
      </c>
      <c r="C52" t="s">
        <v>193</v>
      </c>
      <c r="D52" t="s">
        <v>195</v>
      </c>
      <c r="E52" t="s">
        <v>627</v>
      </c>
      <c r="F52" t="s">
        <v>474</v>
      </c>
      <c r="G52" t="s">
        <v>476</v>
      </c>
      <c r="H52" t="s">
        <v>628</v>
      </c>
      <c r="I52" t="s">
        <v>629</v>
      </c>
      <c r="J52" s="370">
        <v>11603049.300000001</v>
      </c>
      <c r="K52" s="370">
        <v>0</v>
      </c>
      <c r="L52" s="370">
        <v>0</v>
      </c>
      <c r="M52" s="370">
        <v>11603049.300000001</v>
      </c>
      <c r="N52" s="370">
        <v>0</v>
      </c>
      <c r="O52" s="370">
        <v>11603049.300000001</v>
      </c>
      <c r="P52" s="370">
        <v>12074454.789999999</v>
      </c>
      <c r="Q52" s="370">
        <v>0</v>
      </c>
      <c r="R52" s="370">
        <v>7796718.8200000003</v>
      </c>
      <c r="S52" s="370">
        <v>0</v>
      </c>
      <c r="T52" s="370">
        <v>12074454.789999999</v>
      </c>
      <c r="U52" s="370">
        <v>1</v>
      </c>
      <c r="V52" s="370" t="s">
        <v>482</v>
      </c>
      <c r="W52" s="370">
        <v>11603049.300000001</v>
      </c>
      <c r="X52" s="370">
        <v>0</v>
      </c>
      <c r="Y52" s="370">
        <v>12074454.789999999</v>
      </c>
    </row>
    <row r="53" spans="1:25">
      <c r="A53" t="s">
        <v>474</v>
      </c>
      <c r="B53" t="s">
        <v>129</v>
      </c>
      <c r="C53" t="s">
        <v>133</v>
      </c>
      <c r="D53" t="s">
        <v>135</v>
      </c>
      <c r="E53" t="s">
        <v>630</v>
      </c>
      <c r="F53" t="s">
        <v>474</v>
      </c>
      <c r="G53" t="s">
        <v>476</v>
      </c>
      <c r="H53" t="s">
        <v>631</v>
      </c>
      <c r="I53" t="s">
        <v>632</v>
      </c>
      <c r="J53" s="370">
        <v>19238385</v>
      </c>
      <c r="K53" s="370">
        <v>0</v>
      </c>
      <c r="L53" s="370">
        <v>0</v>
      </c>
      <c r="M53" s="370">
        <v>19238385</v>
      </c>
      <c r="N53" s="370">
        <v>0</v>
      </c>
      <c r="O53" s="370">
        <v>19238385</v>
      </c>
      <c r="P53" s="370">
        <v>0</v>
      </c>
      <c r="Q53" s="370">
        <v>0</v>
      </c>
      <c r="R53" s="370">
        <v>0</v>
      </c>
      <c r="S53" s="370">
        <v>0</v>
      </c>
      <c r="T53" s="370">
        <v>0</v>
      </c>
      <c r="U53" s="370">
        <v>1</v>
      </c>
      <c r="V53" s="370" t="s">
        <v>482</v>
      </c>
      <c r="W53" s="370">
        <v>19238385</v>
      </c>
      <c r="X53" s="370">
        <v>19238385</v>
      </c>
      <c r="Y53" s="370">
        <v>19238385</v>
      </c>
    </row>
    <row r="54" spans="1:25">
      <c r="A54" t="s">
        <v>474</v>
      </c>
      <c r="B54" t="s">
        <v>129</v>
      </c>
      <c r="C54" t="s">
        <v>136</v>
      </c>
      <c r="D54" t="s">
        <v>138</v>
      </c>
      <c r="E54" t="s">
        <v>633</v>
      </c>
      <c r="F54" t="s">
        <v>474</v>
      </c>
      <c r="G54" t="s">
        <v>476</v>
      </c>
      <c r="H54" t="s">
        <v>634</v>
      </c>
      <c r="I54" t="s">
        <v>635</v>
      </c>
      <c r="J54" s="370">
        <v>192383847</v>
      </c>
      <c r="K54" s="370">
        <v>0</v>
      </c>
      <c r="L54" s="370">
        <v>0</v>
      </c>
      <c r="M54" s="370">
        <v>192383847</v>
      </c>
      <c r="N54" s="370">
        <v>0</v>
      </c>
      <c r="O54" s="370">
        <v>192383847</v>
      </c>
      <c r="P54" s="370">
        <v>0</v>
      </c>
      <c r="Q54" s="370">
        <v>0</v>
      </c>
      <c r="R54" s="370">
        <v>0</v>
      </c>
      <c r="S54" s="370">
        <v>0</v>
      </c>
      <c r="T54" s="370">
        <v>0</v>
      </c>
      <c r="U54" s="370">
        <v>1</v>
      </c>
      <c r="V54" s="370" t="s">
        <v>482</v>
      </c>
      <c r="W54" s="370">
        <v>192383847</v>
      </c>
      <c r="X54" s="370">
        <v>192383847</v>
      </c>
      <c r="Y54" s="370">
        <v>192383847</v>
      </c>
    </row>
  </sheetData>
  <autoFilter ref="A1:Y1" xr:uid="{DBD6C5FC-27EF-42E2-98DE-3661D792F872}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FC477-7328-4168-B9CA-71A489DD5D3A}">
  <dimension ref="A1:F44"/>
  <sheetViews>
    <sheetView showGridLines="0" zoomScaleNormal="100" workbookViewId="0">
      <selection activeCell="C31" sqref="C30:C31"/>
    </sheetView>
  </sheetViews>
  <sheetFormatPr baseColWidth="10" defaultColWidth="8" defaultRowHeight="11.4"/>
  <cols>
    <col min="1" max="1" width="1.33203125" style="383" customWidth="1"/>
    <col min="2" max="2" width="35.6640625" style="383" bestFit="1" customWidth="1"/>
    <col min="3" max="3" width="11.88671875" style="383" bestFit="1" customWidth="1"/>
    <col min="4" max="4" width="4.88671875" style="383" customWidth="1"/>
    <col min="5" max="5" width="12.44140625" style="383" bestFit="1" customWidth="1"/>
    <col min="6" max="6" width="13" style="383" bestFit="1" customWidth="1"/>
    <col min="7" max="16384" width="8" style="383"/>
  </cols>
  <sheetData>
    <row r="1" spans="1:4" s="380" customFormat="1" ht="16.649999999999999" customHeight="1">
      <c r="A1" s="379" t="s">
        <v>235</v>
      </c>
      <c r="B1" s="379"/>
      <c r="C1" s="379"/>
      <c r="D1" s="379"/>
    </row>
    <row r="2" spans="1:4" s="382" customFormat="1" ht="14.4" customHeight="1">
      <c r="A2" s="381" t="s">
        <v>236</v>
      </c>
      <c r="B2" s="381"/>
      <c r="C2" s="381"/>
      <c r="D2" s="381"/>
    </row>
    <row r="3" spans="1:4" s="382" customFormat="1" ht="14.4" customHeight="1">
      <c r="A3" s="381" t="s">
        <v>636</v>
      </c>
      <c r="B3" s="381"/>
      <c r="C3" s="381"/>
      <c r="D3" s="381"/>
    </row>
    <row r="4" spans="1:4" ht="13.35" customHeight="1"/>
    <row r="5" spans="1:4" s="387" customFormat="1" ht="12.15" customHeight="1">
      <c r="A5" s="384"/>
      <c r="B5" s="385" t="s">
        <v>238</v>
      </c>
      <c r="C5" s="386" t="s">
        <v>637</v>
      </c>
      <c r="D5" s="386"/>
    </row>
    <row r="6" spans="1:4" ht="13.35" customHeight="1"/>
    <row r="7" spans="1:4" s="387" customFormat="1" ht="12.15" customHeight="1">
      <c r="A7" s="384" t="s">
        <v>239</v>
      </c>
      <c r="B7" s="384"/>
      <c r="C7" s="384"/>
      <c r="D7" s="384"/>
    </row>
    <row r="8" spans="1:4" ht="10.95" customHeight="1">
      <c r="A8" s="388"/>
      <c r="B8" s="388" t="s">
        <v>638</v>
      </c>
      <c r="C8" s="388"/>
      <c r="D8" s="388"/>
    </row>
    <row r="9" spans="1:4" ht="10.95" customHeight="1">
      <c r="B9" s="389" t="s">
        <v>639</v>
      </c>
      <c r="C9" s="390">
        <v>30000</v>
      </c>
      <c r="D9" s="389"/>
    </row>
    <row r="10" spans="1:4" ht="10.95" customHeight="1">
      <c r="B10" s="389" t="s">
        <v>640</v>
      </c>
      <c r="C10" s="390">
        <v>177012.04</v>
      </c>
      <c r="D10" s="389" t="s">
        <v>641</v>
      </c>
    </row>
    <row r="11" spans="1:4" ht="10.95" customHeight="1">
      <c r="B11" s="391" t="s">
        <v>642</v>
      </c>
      <c r="C11" s="392">
        <f>SUM(C9:C10)</f>
        <v>207012.04</v>
      </c>
      <c r="D11" s="391"/>
    </row>
    <row r="12" spans="1:4" ht="10.95" customHeight="1">
      <c r="A12" s="388"/>
      <c r="B12" s="388" t="s">
        <v>240</v>
      </c>
      <c r="C12" s="388"/>
      <c r="D12" s="388"/>
    </row>
    <row r="13" spans="1:4" ht="10.95" customHeight="1">
      <c r="B13" s="389" t="s">
        <v>241</v>
      </c>
      <c r="C13" s="390">
        <v>11540173.189999999</v>
      </c>
      <c r="D13" s="389"/>
    </row>
    <row r="14" spans="1:4" ht="10.95" customHeight="1">
      <c r="B14" s="391" t="s">
        <v>242</v>
      </c>
      <c r="C14" s="392">
        <f>C13</f>
        <v>11540173.189999999</v>
      </c>
      <c r="D14" s="391"/>
    </row>
    <row r="15" spans="1:4" ht="10.95" customHeight="1">
      <c r="A15" s="388"/>
      <c r="B15" s="388" t="s">
        <v>243</v>
      </c>
      <c r="C15" s="388"/>
      <c r="D15" s="388"/>
    </row>
    <row r="16" spans="1:4" ht="10.95" customHeight="1">
      <c r="B16" s="389" t="s">
        <v>244</v>
      </c>
      <c r="C16" s="390">
        <v>14595080.609999999</v>
      </c>
      <c r="D16" s="389"/>
    </row>
    <row r="17" spans="1:6" ht="10.95" customHeight="1">
      <c r="B17" s="389" t="s">
        <v>245</v>
      </c>
      <c r="C17" s="390">
        <v>2684088.34</v>
      </c>
      <c r="D17" s="389"/>
    </row>
    <row r="18" spans="1:6" ht="10.95" customHeight="1">
      <c r="B18" s="389" t="s">
        <v>246</v>
      </c>
      <c r="C18" s="390">
        <v>7796718.8200000003</v>
      </c>
      <c r="D18" s="389"/>
    </row>
    <row r="19" spans="1:6" ht="10.95" customHeight="1">
      <c r="B19" s="389" t="s">
        <v>33</v>
      </c>
      <c r="C19" s="390">
        <v>87141623.670000002</v>
      </c>
      <c r="D19" s="389"/>
    </row>
    <row r="20" spans="1:6" ht="10.95" customHeight="1">
      <c r="B20" s="391" t="s">
        <v>247</v>
      </c>
      <c r="C20" s="392">
        <f>SUM(C16:C19)</f>
        <v>112217511.44</v>
      </c>
      <c r="D20" s="391"/>
    </row>
    <row r="21" spans="1:6" ht="10.95" customHeight="1">
      <c r="A21" s="391" t="s">
        <v>248</v>
      </c>
      <c r="C21" s="392">
        <f>(0 + ((C11 + C14) + C20))</f>
        <v>123964696.67</v>
      </c>
      <c r="D21" s="391"/>
    </row>
    <row r="22" spans="1:6" ht="13.35" customHeight="1"/>
    <row r="23" spans="1:6" s="387" customFormat="1" ht="12.15" customHeight="1">
      <c r="A23" s="384" t="s">
        <v>249</v>
      </c>
      <c r="B23" s="384"/>
      <c r="C23" s="384"/>
      <c r="D23" s="384"/>
    </row>
    <row r="24" spans="1:6" ht="10.95" customHeight="1">
      <c r="A24" s="388"/>
      <c r="B24" s="388" t="s">
        <v>250</v>
      </c>
      <c r="C24" s="388"/>
      <c r="D24" s="388"/>
    </row>
    <row r="25" spans="1:6" ht="10.95" customHeight="1">
      <c r="B25" s="389" t="s">
        <v>251</v>
      </c>
      <c r="C25" s="390">
        <v>4508384.2</v>
      </c>
      <c r="D25" s="389"/>
      <c r="E25" s="399">
        <f>+C14+C20</f>
        <v>123757684.63</v>
      </c>
      <c r="F25" s="400">
        <f>+E25-C25</f>
        <v>119249300.42999999</v>
      </c>
    </row>
    <row r="26" spans="1:6" ht="10.95" customHeight="1">
      <c r="B26" s="389" t="s">
        <v>252</v>
      </c>
      <c r="C26" s="390">
        <v>1068618.48</v>
      </c>
      <c r="D26" s="389"/>
      <c r="F26" s="400">
        <f>+'PRESENTACIÓN Al 30062024'!F22</f>
        <v>126110167.23</v>
      </c>
    </row>
    <row r="27" spans="1:6" ht="10.95" customHeight="1">
      <c r="B27" s="389" t="s">
        <v>643</v>
      </c>
      <c r="C27" s="390">
        <v>20520</v>
      </c>
      <c r="D27" s="389"/>
      <c r="F27" s="400">
        <f>+F25-F26</f>
        <v>-6860866.8000000119</v>
      </c>
    </row>
    <row r="28" spans="1:6" ht="10.95" customHeight="1">
      <c r="B28" s="389" t="s">
        <v>644</v>
      </c>
      <c r="C28" s="390">
        <v>85402.08</v>
      </c>
      <c r="D28" s="389"/>
      <c r="F28" s="400"/>
    </row>
    <row r="29" spans="1:6" ht="10.95" customHeight="1">
      <c r="B29" s="389" t="s">
        <v>645</v>
      </c>
      <c r="C29" s="390">
        <v>1566553.05</v>
      </c>
      <c r="D29" s="389"/>
      <c r="F29" s="400"/>
    </row>
    <row r="30" spans="1:6" ht="10.95" customHeight="1">
      <c r="B30" s="389" t="s">
        <v>646</v>
      </c>
      <c r="C30" s="390">
        <v>11400</v>
      </c>
      <c r="D30" s="389"/>
      <c r="F30" s="400"/>
    </row>
    <row r="31" spans="1:6" ht="10.95" customHeight="1">
      <c r="B31" s="391" t="s">
        <v>253</v>
      </c>
      <c r="C31" s="392">
        <f>SUM(C25:C30)</f>
        <v>7260877.8099999996</v>
      </c>
      <c r="D31" s="391"/>
      <c r="F31" s="400"/>
    </row>
    <row r="32" spans="1:6" ht="10.95" customHeight="1">
      <c r="A32" s="391" t="s">
        <v>254</v>
      </c>
      <c r="C32" s="392">
        <f>(0 + C31)</f>
        <v>7260877.8099999996</v>
      </c>
      <c r="D32" s="391"/>
      <c r="F32" s="400"/>
    </row>
    <row r="34" spans="1:3" ht="10.95" customHeight="1">
      <c r="B34" s="393" t="s">
        <v>255</v>
      </c>
      <c r="C34" s="394">
        <f>(C21 - C32)</f>
        <v>116703818.86</v>
      </c>
    </row>
    <row r="35" spans="1:3" ht="13.35" customHeight="1"/>
    <row r="36" spans="1:3" s="387" customFormat="1" ht="12.15" customHeight="1">
      <c r="A36" s="384" t="s">
        <v>256</v>
      </c>
      <c r="B36" s="384"/>
      <c r="C36" s="384"/>
    </row>
    <row r="37" spans="1:3" ht="10.95" customHeight="1">
      <c r="B37" s="395" t="s">
        <v>257</v>
      </c>
      <c r="C37" s="396">
        <v>116705230.16</v>
      </c>
    </row>
    <row r="38" spans="1:3" ht="10.95" customHeight="1">
      <c r="B38" s="389" t="s">
        <v>647</v>
      </c>
      <c r="C38" s="390">
        <v>-1411.3</v>
      </c>
    </row>
    <row r="39" spans="1:3" ht="10.95" customHeight="1">
      <c r="A39" s="391" t="s">
        <v>258</v>
      </c>
      <c r="C39" s="392">
        <f>SUM(C37:C38)</f>
        <v>116703818.86</v>
      </c>
    </row>
    <row r="40" spans="1:3" ht="13.35" customHeight="1"/>
    <row r="41" spans="1:3" ht="13.35" customHeight="1"/>
    <row r="42" spans="1:3" ht="10.95" customHeight="1">
      <c r="A42" s="397" t="s">
        <v>648</v>
      </c>
    </row>
    <row r="43" spans="1:3" ht="10.95" customHeight="1">
      <c r="A43" s="398" t="s">
        <v>637</v>
      </c>
    </row>
    <row r="44" spans="1:3" ht="10.95" customHeight="1">
      <c r="A44" s="397" t="s">
        <v>649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3D5E5-E6FD-4615-B7FC-F539D96D51C2}">
  <sheetPr>
    <tabColor theme="5" tint="0.79998168889431442"/>
  </sheetPr>
  <dimension ref="A1:P43"/>
  <sheetViews>
    <sheetView showGridLines="0" zoomScaleNormal="100" workbookViewId="0">
      <selection activeCell="F10" sqref="F10"/>
    </sheetView>
  </sheetViews>
  <sheetFormatPr baseColWidth="10" defaultColWidth="11.44140625" defaultRowHeight="14.4"/>
  <cols>
    <col min="1" max="1" width="10.109375" customWidth="1"/>
    <col min="2" max="2" width="23.6640625" customWidth="1"/>
    <col min="3" max="3" width="20" bestFit="1" customWidth="1"/>
    <col min="4" max="4" width="16.5546875" bestFit="1" customWidth="1"/>
    <col min="5" max="5" width="18.88671875" bestFit="1" customWidth="1"/>
    <col min="6" max="6" width="18.88671875" hidden="1" customWidth="1"/>
    <col min="7" max="7" width="20" hidden="1" customWidth="1"/>
    <col min="8" max="8" width="18.88671875" hidden="1" customWidth="1"/>
    <col min="9" max="10" width="18.88671875" bestFit="1" customWidth="1"/>
    <col min="11" max="11" width="19.88671875" customWidth="1"/>
    <col min="12" max="12" width="21.5546875" bestFit="1" customWidth="1"/>
    <col min="13" max="13" width="16.109375" customWidth="1"/>
    <col min="14" max="14" width="18.5546875" customWidth="1"/>
    <col min="15" max="15" width="17" customWidth="1"/>
    <col min="16" max="18" width="15.44140625" bestFit="1" customWidth="1"/>
    <col min="19" max="19" width="14.44140625" bestFit="1" customWidth="1"/>
  </cols>
  <sheetData>
    <row r="1" spans="1:16" ht="21.6" customHeight="1">
      <c r="M1" s="2109" t="s">
        <v>185</v>
      </c>
      <c r="N1" s="2109"/>
      <c r="O1" s="2109"/>
      <c r="P1" s="2109"/>
    </row>
    <row r="2" spans="1:16" ht="15" thickBot="1">
      <c r="E2" s="181" t="s">
        <v>197</v>
      </c>
      <c r="F2" s="181"/>
      <c r="G2" s="181"/>
      <c r="H2" s="181"/>
      <c r="I2" s="181"/>
      <c r="J2" s="181" t="s">
        <v>199</v>
      </c>
      <c r="K2" s="181" t="s">
        <v>225</v>
      </c>
      <c r="L2" s="181"/>
      <c r="M2" s="2109"/>
      <c r="N2" s="2109"/>
      <c r="O2" s="2109"/>
      <c r="P2" s="2109"/>
    </row>
    <row r="3" spans="1:16" ht="15.6">
      <c r="B3" s="160" t="s">
        <v>278</v>
      </c>
      <c r="C3" s="62"/>
      <c r="D3" s="141">
        <v>59</v>
      </c>
      <c r="E3" s="2122" t="s">
        <v>145</v>
      </c>
      <c r="F3" s="2135" t="s">
        <v>650</v>
      </c>
      <c r="G3" s="2135" t="s">
        <v>651</v>
      </c>
      <c r="H3" s="2135" t="s">
        <v>652</v>
      </c>
      <c r="I3" s="2122" t="s">
        <v>227</v>
      </c>
      <c r="J3" s="2124" t="s">
        <v>228</v>
      </c>
      <c r="K3" s="2122" t="s">
        <v>146</v>
      </c>
      <c r="L3" s="2126"/>
      <c r="M3" s="183"/>
      <c r="N3" s="183"/>
      <c r="O3" s="183"/>
      <c r="P3" s="183"/>
    </row>
    <row r="4" spans="1:16" ht="16.2" thickBot="1">
      <c r="A4" s="152"/>
      <c r="B4" s="25" t="s">
        <v>29</v>
      </c>
      <c r="C4" s="25" t="s">
        <v>30</v>
      </c>
      <c r="D4" s="65" t="s">
        <v>31</v>
      </c>
      <c r="E4" s="2123"/>
      <c r="F4" s="2136"/>
      <c r="G4" s="2136"/>
      <c r="H4" s="2136"/>
      <c r="I4" s="2123"/>
      <c r="J4" s="2125"/>
      <c r="K4" s="2123"/>
      <c r="L4" s="2127"/>
      <c r="M4" s="183"/>
      <c r="N4" s="183"/>
      <c r="O4" s="183"/>
      <c r="P4" s="183"/>
    </row>
    <row r="5" spans="1:16" ht="15" thickBot="1">
      <c r="A5">
        <v>1</v>
      </c>
      <c r="B5" s="254" t="s">
        <v>33</v>
      </c>
      <c r="C5" s="256">
        <f>SUM('budget (11)'!D2:D3)</f>
        <v>103385169</v>
      </c>
      <c r="D5" s="257">
        <f>C5/D3</f>
        <v>1752291</v>
      </c>
      <c r="E5" s="258">
        <f>+'Finanzas 06.24'!L48+7030718.17</f>
        <v>94172341.840000004</v>
      </c>
      <c r="F5" s="258">
        <f>+'Resumen de Costos 07.24 '!B9</f>
        <v>94172341.829999998</v>
      </c>
      <c r="G5" s="258">
        <v>0</v>
      </c>
      <c r="H5" s="258"/>
      <c r="I5" s="258">
        <f>+F5-G5</f>
        <v>94172341.829999998</v>
      </c>
      <c r="J5" s="259">
        <f>E5-I5</f>
        <v>1.000000536441803E-2</v>
      </c>
      <c r="K5" s="260" t="e">
        <f>+#REF!-7030718.17</f>
        <v>#REF!</v>
      </c>
      <c r="L5" s="321" t="e">
        <f>C5-(E5+K5)</f>
        <v>#REF!</v>
      </c>
      <c r="M5" s="183"/>
      <c r="N5" s="183"/>
      <c r="O5" s="183"/>
      <c r="P5" s="183"/>
    </row>
    <row r="6" spans="1:16">
      <c r="B6" s="115" t="s">
        <v>35</v>
      </c>
      <c r="C6" s="116">
        <f>SUM('budget (11)'!D11:D24)</f>
        <v>451758999.99999994</v>
      </c>
      <c r="D6" s="117">
        <f>C6/$D$3</f>
        <v>7656932.20338983</v>
      </c>
      <c r="E6" s="132">
        <f>+'Finanzas 06.24'!L53</f>
        <v>9038515.3900000006</v>
      </c>
      <c r="F6" s="132">
        <v>7467449.3200000003</v>
      </c>
      <c r="G6" s="132"/>
      <c r="H6" s="132">
        <v>1571066</v>
      </c>
      <c r="I6" s="132">
        <f>+F6-G6+H6</f>
        <v>9038515.3200000003</v>
      </c>
      <c r="J6" s="125">
        <f t="shared" ref="J6:J22" si="0">E6-I6</f>
        <v>7.0000000298023224E-2</v>
      </c>
      <c r="K6" s="173" t="e">
        <f>+#REF!</f>
        <v>#REF!</v>
      </c>
      <c r="L6" s="322" t="e">
        <f t="shared" ref="L6:L20" si="1">C6-(E6+K6)</f>
        <v>#REF!</v>
      </c>
      <c r="M6" s="183"/>
      <c r="N6" s="184"/>
      <c r="O6" s="183"/>
      <c r="P6" s="183"/>
    </row>
    <row r="7" spans="1:16" ht="13.95" customHeight="1">
      <c r="B7" s="112" t="s">
        <v>38</v>
      </c>
      <c r="C7" s="113">
        <f>SUM('budget (11)'!D25:D39)</f>
        <v>1265953920</v>
      </c>
      <c r="D7" s="114">
        <f>C7/$D$3</f>
        <v>21456846.101694915</v>
      </c>
      <c r="E7" s="133">
        <f>SUM('budget (11)'!E25:E39)</f>
        <v>0</v>
      </c>
      <c r="F7" s="133"/>
      <c r="G7" s="133"/>
      <c r="H7" s="133"/>
      <c r="I7" s="133">
        <f t="shared" ref="I7:I9" si="2">+F7-G7+H7</f>
        <v>0</v>
      </c>
      <c r="J7" s="127">
        <f t="shared" si="0"/>
        <v>0</v>
      </c>
      <c r="K7" s="133" t="e">
        <f>+#REF!</f>
        <v>#REF!</v>
      </c>
      <c r="L7" s="323" t="e">
        <f t="shared" si="1"/>
        <v>#REF!</v>
      </c>
      <c r="M7" s="183"/>
      <c r="N7" s="184"/>
      <c r="O7" s="183"/>
      <c r="P7" s="183"/>
    </row>
    <row r="8" spans="1:16">
      <c r="B8" s="115" t="s">
        <v>148</v>
      </c>
      <c r="C8" s="118">
        <f>SUM('budget (11)'!D40:D41)</f>
        <v>171771292</v>
      </c>
      <c r="D8" s="117">
        <f>C8/$D$3</f>
        <v>2911377.8305084747</v>
      </c>
      <c r="E8" s="134">
        <f>+'Finanzas 06.24'!L27</f>
        <v>171771292</v>
      </c>
      <c r="F8" s="134">
        <f>+'Resumen de Costos 07.24 '!B14</f>
        <v>779044.14</v>
      </c>
      <c r="G8" s="134"/>
      <c r="H8" s="134"/>
      <c r="I8" s="134">
        <f t="shared" si="2"/>
        <v>779044.14</v>
      </c>
      <c r="J8" s="129">
        <f>E8-I8</f>
        <v>170992247.86000001</v>
      </c>
      <c r="K8" s="134" t="e">
        <f>+#REF!</f>
        <v>#REF!</v>
      </c>
      <c r="L8" s="324" t="e">
        <f t="shared" si="1"/>
        <v>#REF!</v>
      </c>
      <c r="M8" s="183"/>
      <c r="N8" s="184"/>
      <c r="O8" s="183"/>
      <c r="P8" s="183"/>
    </row>
    <row r="9" spans="1:16">
      <c r="B9" s="112" t="s">
        <v>40</v>
      </c>
      <c r="C9" s="113">
        <f>SUM('budget (11)'!D42)</f>
        <v>34354258</v>
      </c>
      <c r="D9" s="114">
        <f>C9/$D$3</f>
        <v>582275.55932203389</v>
      </c>
      <c r="E9" s="133">
        <f>SUM('budget (11)'!E42)</f>
        <v>0</v>
      </c>
      <c r="F9" s="133"/>
      <c r="G9" s="133"/>
      <c r="H9" s="133"/>
      <c r="I9" s="133">
        <f t="shared" si="2"/>
        <v>0</v>
      </c>
      <c r="J9" s="127">
        <f t="shared" si="0"/>
        <v>0</v>
      </c>
      <c r="K9" s="133" t="e">
        <f>+#REF!</f>
        <v>#REF!</v>
      </c>
      <c r="L9" s="323" t="e">
        <f t="shared" si="1"/>
        <v>#REF!</v>
      </c>
      <c r="M9" s="183"/>
      <c r="N9" s="184"/>
      <c r="O9" s="183"/>
      <c r="P9" s="183"/>
    </row>
    <row r="10" spans="1:16" ht="15" thickBot="1">
      <c r="B10" s="254" t="s">
        <v>41</v>
      </c>
      <c r="C10" s="261">
        <f t="shared" ref="C10:I10" si="3">SUM(C6:C9)</f>
        <v>1923838470</v>
      </c>
      <c r="D10" s="259">
        <f t="shared" si="3"/>
        <v>32607431.694915254</v>
      </c>
      <c r="E10" s="262">
        <f t="shared" si="3"/>
        <v>180809807.38999999</v>
      </c>
      <c r="F10" s="262">
        <f t="shared" si="3"/>
        <v>8246493.46</v>
      </c>
      <c r="G10" s="262">
        <f t="shared" si="3"/>
        <v>0</v>
      </c>
      <c r="H10" s="262">
        <f t="shared" si="3"/>
        <v>1571066</v>
      </c>
      <c r="I10" s="262">
        <f t="shared" si="3"/>
        <v>9817559.4600000009</v>
      </c>
      <c r="J10" s="262">
        <f>E10-I10</f>
        <v>170992247.92999998</v>
      </c>
      <c r="K10" s="263" t="e">
        <f>SUM(K6:K9)</f>
        <v>#REF!</v>
      </c>
      <c r="L10" s="325" t="e">
        <f t="shared" si="1"/>
        <v>#REF!</v>
      </c>
      <c r="M10" s="183"/>
      <c r="N10" s="184"/>
      <c r="O10" s="183"/>
      <c r="P10" s="183"/>
    </row>
    <row r="11" spans="1:16">
      <c r="B11" s="112" t="s">
        <v>42</v>
      </c>
      <c r="C11" s="163">
        <f>SUM('budget (11)'!D43)</f>
        <v>137417034</v>
      </c>
      <c r="D11" s="114">
        <f>C11/$D$3</f>
        <v>2329102.2711864407</v>
      </c>
      <c r="E11" s="179">
        <f>+'Finanzas 06.24'!L29</f>
        <v>137416238</v>
      </c>
      <c r="F11" s="179">
        <f>+'Resumen de Costos 07.24 '!B18</f>
        <v>161175.97</v>
      </c>
      <c r="G11" s="179"/>
      <c r="H11" s="179"/>
      <c r="I11" s="179">
        <f>+F11-G11+H11</f>
        <v>161175.97</v>
      </c>
      <c r="J11" s="179">
        <f t="shared" si="0"/>
        <v>137255062.03</v>
      </c>
      <c r="K11" s="177" t="e">
        <f>+#REF!</f>
        <v>#REF!</v>
      </c>
      <c r="L11" s="326" t="e">
        <f t="shared" si="1"/>
        <v>#REF!</v>
      </c>
      <c r="M11" s="183"/>
      <c r="N11" s="184"/>
      <c r="O11" s="183"/>
      <c r="P11" s="183"/>
    </row>
    <row r="12" spans="1:16">
      <c r="B12" s="115" t="s">
        <v>43</v>
      </c>
      <c r="C12" s="165">
        <f>SUM('budget (11)'!D45:D46)</f>
        <v>281704919</v>
      </c>
      <c r="D12" s="117">
        <f>C12/$D$3</f>
        <v>4774659.6440677969</v>
      </c>
      <c r="E12" s="178">
        <v>35151584</v>
      </c>
      <c r="F12" s="178"/>
      <c r="G12" s="178"/>
      <c r="H12" s="178"/>
      <c r="I12" s="178">
        <f t="shared" ref="I12:I15" si="4">+F12-G12+H12</f>
        <v>0</v>
      </c>
      <c r="J12" s="178">
        <f t="shared" si="0"/>
        <v>35151584</v>
      </c>
      <c r="K12" s="178" t="e">
        <f>+#REF!</f>
        <v>#REF!</v>
      </c>
      <c r="L12" s="327" t="e">
        <f t="shared" si="1"/>
        <v>#REF!</v>
      </c>
      <c r="M12" s="183"/>
      <c r="N12" s="184"/>
      <c r="O12" s="183"/>
      <c r="P12" s="183"/>
    </row>
    <row r="13" spans="1:16">
      <c r="B13" s="112" t="s">
        <v>44</v>
      </c>
      <c r="C13" s="163">
        <f>SUM('budget (11)'!D47)</f>
        <v>67334346</v>
      </c>
      <c r="D13" s="114">
        <f>C13/$D$3</f>
        <v>1141260.1016949152</v>
      </c>
      <c r="E13" s="179">
        <f>+'Finanzas 06.24'!L2</f>
        <v>237853.9</v>
      </c>
      <c r="F13" s="179">
        <f>+'Resumen de Costos 07.24 '!B19</f>
        <v>237853.9</v>
      </c>
      <c r="G13" s="179"/>
      <c r="H13" s="179"/>
      <c r="I13" s="179">
        <f t="shared" si="4"/>
        <v>237853.9</v>
      </c>
      <c r="J13" s="179">
        <f t="shared" si="0"/>
        <v>0</v>
      </c>
      <c r="K13" s="179" t="e">
        <f>+#REF!</f>
        <v>#REF!</v>
      </c>
      <c r="L13" s="327" t="e">
        <f t="shared" si="1"/>
        <v>#REF!</v>
      </c>
      <c r="M13" s="183"/>
      <c r="N13" s="184"/>
      <c r="O13" s="183"/>
      <c r="P13" s="183"/>
    </row>
    <row r="14" spans="1:16">
      <c r="A14">
        <v>1</v>
      </c>
      <c r="B14" s="115" t="s">
        <v>45</v>
      </c>
      <c r="C14" s="165">
        <f>SUM('budget (11)'!D48:D49)</f>
        <v>51531387.949999996</v>
      </c>
      <c r="D14" s="117">
        <f>C14/$D$3</f>
        <v>873413.35508474568</v>
      </c>
      <c r="E14" s="178">
        <v>7464595.3300000001</v>
      </c>
      <c r="F14" s="178">
        <f>+'Resumen de Costos 07.24 '!B20</f>
        <v>3687523.96</v>
      </c>
      <c r="G14" s="178">
        <f>+'CXP 07.24'!F20</f>
        <v>1459465.4900000002</v>
      </c>
      <c r="H14" s="178"/>
      <c r="I14" s="178">
        <f t="shared" si="4"/>
        <v>2228058.4699999997</v>
      </c>
      <c r="J14" s="178">
        <f t="shared" si="0"/>
        <v>5236536.8600000003</v>
      </c>
      <c r="K14" s="178" t="e">
        <f>+#REF!</f>
        <v>#REF!</v>
      </c>
      <c r="L14" s="327" t="e">
        <f t="shared" si="1"/>
        <v>#REF!</v>
      </c>
      <c r="M14" s="183"/>
      <c r="N14" s="184"/>
      <c r="O14" s="183"/>
      <c r="P14" s="183"/>
    </row>
    <row r="15" spans="1:16">
      <c r="B15" s="112" t="s">
        <v>46</v>
      </c>
      <c r="C15" s="163">
        <f>SUM('budget (11)'!D50)</f>
        <v>19238385</v>
      </c>
      <c r="D15" s="114">
        <f>C15/$D$3</f>
        <v>326074.32203389832</v>
      </c>
      <c r="E15" s="179">
        <f>SUM('budget (11)'!E50)</f>
        <v>0</v>
      </c>
      <c r="F15" s="179"/>
      <c r="G15" s="179"/>
      <c r="H15" s="179"/>
      <c r="I15" s="179">
        <f t="shared" si="4"/>
        <v>0</v>
      </c>
      <c r="J15" s="179">
        <f t="shared" si="0"/>
        <v>0</v>
      </c>
      <c r="K15" s="179" t="e">
        <f>+#REF!</f>
        <v>#REF!</v>
      </c>
      <c r="L15" s="327" t="e">
        <f t="shared" si="1"/>
        <v>#REF!</v>
      </c>
      <c r="M15" s="183"/>
      <c r="N15" s="184"/>
      <c r="O15" s="183"/>
      <c r="P15" s="183"/>
    </row>
    <row r="16" spans="1:16" ht="15" thickBot="1">
      <c r="B16" s="254" t="s">
        <v>47</v>
      </c>
      <c r="C16" s="261">
        <f t="shared" ref="C16:I16" si="5">SUM(C11:C15)</f>
        <v>557226071.95000005</v>
      </c>
      <c r="D16" s="259">
        <f t="shared" si="5"/>
        <v>9444509.6940677967</v>
      </c>
      <c r="E16" s="262">
        <f t="shared" si="5"/>
        <v>180270271.23000002</v>
      </c>
      <c r="F16" s="262">
        <f t="shared" si="5"/>
        <v>4086553.83</v>
      </c>
      <c r="G16" s="262">
        <f t="shared" si="5"/>
        <v>1459465.4900000002</v>
      </c>
      <c r="H16" s="262">
        <f t="shared" si="5"/>
        <v>0</v>
      </c>
      <c r="I16" s="262">
        <f t="shared" si="5"/>
        <v>2627088.34</v>
      </c>
      <c r="J16" s="262">
        <f>E16-I16</f>
        <v>177643182.89000002</v>
      </c>
      <c r="K16" s="263" t="e">
        <f t="shared" ref="K16" si="6">SUM(K11:K15)</f>
        <v>#REF!</v>
      </c>
      <c r="L16" s="325" t="e">
        <f t="shared" si="1"/>
        <v>#REF!</v>
      </c>
      <c r="M16" s="183"/>
      <c r="N16" s="184"/>
      <c r="O16" s="183"/>
      <c r="P16" s="183"/>
    </row>
    <row r="17" spans="1:16">
      <c r="B17" s="112" t="s">
        <v>48</v>
      </c>
      <c r="C17" s="401">
        <f>SUM('budget (11)'!D51:D52)</f>
        <v>15000000</v>
      </c>
      <c r="D17" s="77">
        <f>C17/$D$3</f>
        <v>254237.28813559323</v>
      </c>
      <c r="E17" s="402">
        <v>18740000</v>
      </c>
      <c r="F17" s="402">
        <f>+'Resumen de Costos 07.24 '!B24</f>
        <v>7854532.5300000003</v>
      </c>
      <c r="G17" s="402"/>
      <c r="H17" s="402">
        <f>+'ANTICIPO 07.24'!E9</f>
        <v>2724363.68</v>
      </c>
      <c r="I17" s="402">
        <f>+F17-G17+H17</f>
        <v>10578896.210000001</v>
      </c>
      <c r="J17" s="179">
        <f t="shared" si="0"/>
        <v>8161103.7899999991</v>
      </c>
      <c r="K17" s="177" t="e">
        <f>+#REF!</f>
        <v>#REF!</v>
      </c>
      <c r="L17" s="326" t="e">
        <f>C17-(E17+K17)</f>
        <v>#REF!</v>
      </c>
      <c r="M17" s="183"/>
      <c r="N17" s="184"/>
      <c r="O17" s="183"/>
      <c r="P17" s="185"/>
    </row>
    <row r="18" spans="1:16">
      <c r="B18" s="115" t="s">
        <v>49</v>
      </c>
      <c r="C18" s="165">
        <f>SUM('budget (11)'!D4:D10)</f>
        <v>20789999.999999996</v>
      </c>
      <c r="D18" s="117">
        <f>C18/$D$3</f>
        <v>352372.88135593216</v>
      </c>
      <c r="E18" s="178">
        <v>20395152.629999999</v>
      </c>
      <c r="F18" s="178">
        <f>+'Resumen de Costos 07.24 '!B12</f>
        <v>19211666.289999999</v>
      </c>
      <c r="G18" s="178">
        <f>+'CXP 07.24'!F14</f>
        <v>2877278.3</v>
      </c>
      <c r="H18" s="178">
        <f>+'ANTICIPO 07.24'!E5</f>
        <v>742800</v>
      </c>
      <c r="I18" s="178">
        <f t="shared" ref="I18:I20" si="7">+F18-G18+H18</f>
        <v>17077187.989999998</v>
      </c>
      <c r="J18" s="178">
        <f t="shared" si="0"/>
        <v>3317964.6400000006</v>
      </c>
      <c r="K18" s="178" t="e">
        <f>+#REF!</f>
        <v>#REF!</v>
      </c>
      <c r="L18" s="327" t="e">
        <f>C18-(E18+K18)</f>
        <v>#REF!</v>
      </c>
      <c r="M18" s="183"/>
      <c r="N18" s="184"/>
      <c r="O18" s="183"/>
      <c r="P18" s="183"/>
    </row>
    <row r="19" spans="1:16">
      <c r="B19" s="112" t="s">
        <v>50</v>
      </c>
      <c r="C19" s="163">
        <f>SUM('budget (11)'!D54)</f>
        <v>192383847</v>
      </c>
      <c r="D19" s="114">
        <f>C19/$D$3</f>
        <v>3260743.1694915253</v>
      </c>
      <c r="E19" s="179">
        <f>SUM('budget (11)'!E54)</f>
        <v>0</v>
      </c>
      <c r="F19" s="179"/>
      <c r="G19" s="179"/>
      <c r="H19" s="179"/>
      <c r="I19" s="179">
        <f t="shared" si="7"/>
        <v>0</v>
      </c>
      <c r="J19" s="179">
        <f t="shared" si="0"/>
        <v>0</v>
      </c>
      <c r="K19" s="179" t="e">
        <f>+#REF!</f>
        <v>#REF!</v>
      </c>
      <c r="L19" s="327" t="e">
        <f t="shared" si="1"/>
        <v>#REF!</v>
      </c>
      <c r="M19" s="183"/>
      <c r="N19" s="184"/>
      <c r="O19" s="183"/>
      <c r="P19" s="183"/>
    </row>
    <row r="20" spans="1:16">
      <c r="B20" s="115" t="s">
        <v>51</v>
      </c>
      <c r="C20" s="165">
        <f>SUM('budget (11)'!D53)</f>
        <v>19238385</v>
      </c>
      <c r="D20" s="117">
        <f>C20/$D$3</f>
        <v>326074.32203389832</v>
      </c>
      <c r="E20" s="178">
        <f>SUM('budget (11)'!E53)</f>
        <v>0</v>
      </c>
      <c r="F20" s="178"/>
      <c r="G20" s="178"/>
      <c r="H20" s="178"/>
      <c r="I20" s="178">
        <f t="shared" si="7"/>
        <v>0</v>
      </c>
      <c r="J20" s="178">
        <f t="shared" si="0"/>
        <v>0</v>
      </c>
      <c r="K20" s="178" t="e">
        <f>+#REF!</f>
        <v>#REF!</v>
      </c>
      <c r="L20" s="327" t="e">
        <f t="shared" si="1"/>
        <v>#REF!</v>
      </c>
      <c r="M20" s="183"/>
      <c r="N20" s="184"/>
      <c r="O20" s="183"/>
      <c r="P20" s="183"/>
    </row>
    <row r="21" spans="1:16" ht="15" thickBot="1">
      <c r="B21" s="254" t="s">
        <v>52</v>
      </c>
      <c r="C21" s="261">
        <f t="shared" ref="C21:I21" si="8">SUM(C17:C20)</f>
        <v>247412232</v>
      </c>
      <c r="D21" s="259">
        <f t="shared" si="8"/>
        <v>4193427.661016949</v>
      </c>
      <c r="E21" s="262">
        <f t="shared" si="8"/>
        <v>39135152.629999995</v>
      </c>
      <c r="F21" s="262">
        <f t="shared" si="8"/>
        <v>27066198.82</v>
      </c>
      <c r="G21" s="262">
        <f t="shared" si="8"/>
        <v>2877278.3</v>
      </c>
      <c r="H21" s="262">
        <f t="shared" si="8"/>
        <v>3467163.68</v>
      </c>
      <c r="I21" s="262">
        <f t="shared" si="8"/>
        <v>27656084.199999999</v>
      </c>
      <c r="J21" s="259">
        <f>E21-I21</f>
        <v>11479068.429999996</v>
      </c>
      <c r="K21" s="263" t="e">
        <f t="shared" ref="K21" si="9">SUM(K17:K20)</f>
        <v>#REF!</v>
      </c>
      <c r="L21" s="325" t="e">
        <f>C21-(E21+K21)</f>
        <v>#REF!</v>
      </c>
      <c r="M21" s="183"/>
      <c r="N21" s="184"/>
      <c r="O21" s="183"/>
      <c r="P21" s="183"/>
    </row>
    <row r="22" spans="1:16" ht="18.600000000000001" thickBot="1">
      <c r="B22" s="333" t="s">
        <v>229</v>
      </c>
      <c r="C22" s="331">
        <f>C5+C10+C16+C21</f>
        <v>2831861942.9499998</v>
      </c>
      <c r="D22" s="332">
        <f>D5+D10+D16+D21</f>
        <v>47997660.049999997</v>
      </c>
      <c r="E22" s="329">
        <f>E21+E16+E10+E5</f>
        <v>494387573.09000003</v>
      </c>
      <c r="F22" s="329">
        <f>F21+F16+F10+F5</f>
        <v>133571587.94</v>
      </c>
      <c r="G22" s="329">
        <f>G21+G16+G10+G5</f>
        <v>4336743.79</v>
      </c>
      <c r="H22" s="329">
        <f>H21+H16+H10+H5</f>
        <v>5038229.68</v>
      </c>
      <c r="I22" s="329">
        <f>I21+I16+I10+I5</f>
        <v>134273073.82999998</v>
      </c>
      <c r="J22" s="330">
        <f t="shared" si="0"/>
        <v>360114499.26000005</v>
      </c>
      <c r="K22" s="329" t="e">
        <f t="shared" ref="K22" si="10">K21+K16+K10+K5</f>
        <v>#REF!</v>
      </c>
      <c r="L22" s="328" t="e">
        <f>L21+L16+L10+L5</f>
        <v>#REF!</v>
      </c>
      <c r="M22" s="183"/>
      <c r="N22" s="184"/>
      <c r="O22" s="183"/>
      <c r="P22" s="183"/>
    </row>
    <row r="23" spans="1:16" ht="15" thickBot="1">
      <c r="D23" s="368"/>
      <c r="E23" s="369">
        <f>+E22-E8-E11-E12</f>
        <v>150048459.09000003</v>
      </c>
      <c r="F23" s="369"/>
      <c r="G23" s="369"/>
      <c r="H23" s="369"/>
      <c r="I23" s="369"/>
      <c r="J23" s="320">
        <f>J17</f>
        <v>8161103.7899999991</v>
      </c>
      <c r="K23" s="368"/>
    </row>
    <row r="24" spans="1:16" ht="15" thickBot="1">
      <c r="E24" s="368"/>
      <c r="F24" s="368"/>
      <c r="G24" s="434" t="s">
        <v>653</v>
      </c>
      <c r="H24" s="435">
        <f>+'BCE 07.24'!C37</f>
        <v>133735948.31999999</v>
      </c>
      <c r="I24" s="368">
        <v>160000000</v>
      </c>
      <c r="J24" s="142"/>
      <c r="K24" t="s">
        <v>230</v>
      </c>
      <c r="L24" s="368"/>
      <c r="N24" s="186" t="s">
        <v>189</v>
      </c>
      <c r="O24" s="190">
        <v>2831861942.3920002</v>
      </c>
    </row>
    <row r="25" spans="1:16" ht="15" thickBot="1">
      <c r="G25" s="436" t="s">
        <v>654</v>
      </c>
      <c r="H25" s="437">
        <f>-'BCE 07.24'!C11</f>
        <v>-1534106.54</v>
      </c>
      <c r="I25" s="108">
        <f>I24-I22</f>
        <v>25726926.170000017</v>
      </c>
      <c r="J25" s="320">
        <f>E18-I18</f>
        <v>3317964.6400000006</v>
      </c>
      <c r="K25" t="s">
        <v>231</v>
      </c>
      <c r="N25" s="188" t="s">
        <v>190</v>
      </c>
      <c r="O25" s="189">
        <f>C22</f>
        <v>2831861942.9499998</v>
      </c>
    </row>
    <row r="26" spans="1:16" ht="15" thickBot="1">
      <c r="G26" s="441" t="s">
        <v>655</v>
      </c>
      <c r="H26" s="442">
        <f>+'BCE 07.24'!C26+'BCE 07.24'!C27+'BCE 07.24'!C28+'BCE 07.24'!C29+'BCE 07.24'!C30</f>
        <v>527534.29</v>
      </c>
      <c r="I26" s="370">
        <f>+J13+J14+J17+J18+J6</f>
        <v>16715605.359999999</v>
      </c>
      <c r="J26" s="320">
        <f>E14-I14</f>
        <v>5236536.8600000003</v>
      </c>
      <c r="K26" t="s">
        <v>232</v>
      </c>
      <c r="N26" s="187" t="s">
        <v>191</v>
      </c>
      <c r="O26" s="191">
        <f>O24-O25</f>
        <v>-0.55799961090087891</v>
      </c>
    </row>
    <row r="27" spans="1:16" ht="15" thickBot="1">
      <c r="E27" t="s">
        <v>233</v>
      </c>
      <c r="G27" s="438" t="s">
        <v>656</v>
      </c>
      <c r="H27" s="439">
        <f>SUM(H24:H26)</f>
        <v>132729376.06999999</v>
      </c>
      <c r="I27" s="445">
        <f>I25-I26</f>
        <v>9011320.8100000173</v>
      </c>
    </row>
    <row r="28" spans="1:16">
      <c r="G28" s="440" t="s">
        <v>657</v>
      </c>
      <c r="H28" s="370">
        <f>+I22</f>
        <v>134273073.82999998</v>
      </c>
    </row>
    <row r="29" spans="1:16">
      <c r="G29" s="443" t="s">
        <v>658</v>
      </c>
      <c r="H29" s="443">
        <f>+H27-H28</f>
        <v>-1543697.7599999905</v>
      </c>
      <c r="I29" s="444">
        <f>+'BCE 07.24'!C38+'PRESENTACIÓN Al 31072024'!H29</f>
        <v>-1571065.9999999905</v>
      </c>
    </row>
    <row r="30" spans="1:16">
      <c r="A30" s="192"/>
      <c r="B30" s="192"/>
      <c r="C30" s="192"/>
      <c r="D30" s="192"/>
      <c r="E30" s="192"/>
      <c r="F30" s="192"/>
      <c r="G30" s="192"/>
      <c r="H30" s="192"/>
      <c r="I30" s="192"/>
      <c r="J30" s="192"/>
      <c r="K30" s="192"/>
      <c r="L30" s="192"/>
      <c r="M30" s="192"/>
      <c r="N30" s="192"/>
      <c r="O30" s="192"/>
      <c r="P30" s="192"/>
    </row>
    <row r="32" spans="1:16">
      <c r="B32" s="254" t="s">
        <v>47</v>
      </c>
    </row>
    <row r="33" spans="2:4">
      <c r="B33" s="112" t="s">
        <v>48</v>
      </c>
    </row>
    <row r="34" spans="2:4">
      <c r="B34" s="115" t="s">
        <v>49</v>
      </c>
    </row>
    <row r="35" spans="2:4">
      <c r="B35" s="112" t="s">
        <v>50</v>
      </c>
    </row>
    <row r="36" spans="2:4">
      <c r="B36" s="115" t="s">
        <v>51</v>
      </c>
    </row>
    <row r="37" spans="2:4">
      <c r="B37" s="254" t="s">
        <v>52</v>
      </c>
    </row>
    <row r="38" spans="2:4" ht="18.600000000000001" thickBot="1">
      <c r="B38" s="333" t="s">
        <v>229</v>
      </c>
    </row>
    <row r="40" spans="2:4" ht="15" thickBot="1"/>
    <row r="41" spans="2:4">
      <c r="B41" s="335" t="s">
        <v>234</v>
      </c>
      <c r="C41" s="336">
        <v>160000000</v>
      </c>
      <c r="D41" s="337"/>
    </row>
    <row r="42" spans="2:4">
      <c r="B42" s="112" t="s">
        <v>153</v>
      </c>
      <c r="C42" s="403">
        <f>I22+I26</f>
        <v>150988679.19</v>
      </c>
      <c r="D42" s="338">
        <f>C42/C41</f>
        <v>0.94367924493749999</v>
      </c>
    </row>
    <row r="43" spans="2:4" ht="15" thickBot="1">
      <c r="B43" s="339" t="s">
        <v>154</v>
      </c>
      <c r="C43" s="340">
        <f>C41-C42</f>
        <v>9011320.8100000024</v>
      </c>
      <c r="D43" s="341">
        <f>C43/C41</f>
        <v>5.6320755062500012E-2</v>
      </c>
    </row>
  </sheetData>
  <mergeCells count="9">
    <mergeCell ref="M1:P2"/>
    <mergeCell ref="E3:E4"/>
    <mergeCell ref="I3:I4"/>
    <mergeCell ref="J3:J4"/>
    <mergeCell ref="K3:K4"/>
    <mergeCell ref="L3:L4"/>
    <mergeCell ref="F3:F4"/>
    <mergeCell ref="G3:G4"/>
    <mergeCell ref="H3:H4"/>
  </mergeCells>
  <conditionalFormatting sqref="M6:M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M9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M12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M14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M18">
    <cfRule type="iconSet" priority="2">
      <iconSet iconSet="3Arrows">
        <cfvo type="percent" val="0"/>
        <cfvo type="percent" val="45"/>
        <cfvo type="percent" val="80"/>
      </iconSet>
    </cfRule>
  </conditionalFormatting>
  <conditionalFormatting sqref="M20">
    <cfRule type="iconSet" priority="1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4054B-53D0-46DC-A2CF-53736A319569}">
  <dimension ref="A1:E44"/>
  <sheetViews>
    <sheetView showGridLines="0" topLeftCell="A15" zoomScaleNormal="100" workbookViewId="0">
      <selection activeCell="F10" sqref="F10"/>
    </sheetView>
  </sheetViews>
  <sheetFormatPr baseColWidth="10" defaultColWidth="8" defaultRowHeight="11.4"/>
  <cols>
    <col min="1" max="1" width="1.33203125" style="408" customWidth="1"/>
    <col min="2" max="2" width="38.5546875" style="408" customWidth="1"/>
    <col min="3" max="3" width="13.33203125" style="408" customWidth="1"/>
    <col min="4" max="4" width="4.88671875" style="408" customWidth="1"/>
    <col min="5" max="5" width="13" style="408" bestFit="1" customWidth="1"/>
    <col min="6" max="7" width="12.44140625" style="408" bestFit="1" customWidth="1"/>
    <col min="8" max="16384" width="8" style="408"/>
  </cols>
  <sheetData>
    <row r="1" spans="1:4" s="405" customFormat="1" ht="16.649999999999999" customHeight="1">
      <c r="A1" s="404" t="s">
        <v>235</v>
      </c>
      <c r="B1" s="404"/>
      <c r="C1" s="404"/>
      <c r="D1" s="404"/>
    </row>
    <row r="2" spans="1:4" s="407" customFormat="1" ht="14.4" customHeight="1">
      <c r="A2" s="406" t="s">
        <v>236</v>
      </c>
      <c r="B2" s="406"/>
      <c r="C2" s="406"/>
      <c r="D2" s="406"/>
    </row>
    <row r="3" spans="1:4" s="407" customFormat="1" ht="14.4" customHeight="1">
      <c r="A3" s="406" t="s">
        <v>659</v>
      </c>
      <c r="B3" s="406"/>
      <c r="C3" s="406"/>
      <c r="D3" s="406"/>
    </row>
    <row r="4" spans="1:4" ht="13.35" customHeight="1"/>
    <row r="5" spans="1:4" s="412" customFormat="1" ht="12.15" customHeight="1">
      <c r="A5" s="409"/>
      <c r="B5" s="410" t="s">
        <v>238</v>
      </c>
      <c r="C5" s="411" t="s">
        <v>660</v>
      </c>
      <c r="D5" s="411"/>
    </row>
    <row r="6" spans="1:4" ht="13.35" customHeight="1"/>
    <row r="7" spans="1:4" s="412" customFormat="1" ht="12.15" customHeight="1">
      <c r="A7" s="409" t="s">
        <v>239</v>
      </c>
      <c r="B7" s="409"/>
      <c r="C7" s="409"/>
      <c r="D7" s="409"/>
    </row>
    <row r="8" spans="1:4" ht="10.95" customHeight="1">
      <c r="A8" s="413"/>
      <c r="B8" s="413" t="s">
        <v>638</v>
      </c>
      <c r="C8" s="413"/>
      <c r="D8" s="413"/>
    </row>
    <row r="9" spans="1:4" ht="10.95" customHeight="1">
      <c r="B9" s="414" t="s">
        <v>639</v>
      </c>
      <c r="C9" s="415">
        <v>1067418.95</v>
      </c>
      <c r="D9" s="414"/>
    </row>
    <row r="10" spans="1:4" ht="10.95" customHeight="1">
      <c r="B10" s="414" t="s">
        <v>640</v>
      </c>
      <c r="C10" s="415">
        <v>466687.59</v>
      </c>
      <c r="D10" s="414" t="s">
        <v>641</v>
      </c>
    </row>
    <row r="11" spans="1:4" ht="10.95" customHeight="1">
      <c r="B11" s="416" t="s">
        <v>642</v>
      </c>
      <c r="C11" s="417">
        <f>SUM(C9:C10)</f>
        <v>1534106.54</v>
      </c>
      <c r="D11" s="416"/>
    </row>
    <row r="12" spans="1:4" ht="10.95" customHeight="1">
      <c r="A12" s="413"/>
      <c r="B12" s="413" t="s">
        <v>240</v>
      </c>
      <c r="C12" s="413"/>
      <c r="D12" s="413"/>
    </row>
    <row r="13" spans="1:4" ht="10.95" customHeight="1">
      <c r="B13" s="414" t="s">
        <v>241</v>
      </c>
      <c r="C13" s="415">
        <v>3467163.68</v>
      </c>
      <c r="D13" s="414"/>
    </row>
    <row r="14" spans="1:4" ht="10.95" customHeight="1">
      <c r="B14" s="416" t="s">
        <v>242</v>
      </c>
      <c r="C14" s="417">
        <f>C13</f>
        <v>3467163.68</v>
      </c>
      <c r="D14" s="416"/>
    </row>
    <row r="15" spans="1:4" ht="10.95" customHeight="1">
      <c r="A15" s="413"/>
      <c r="B15" s="413" t="s">
        <v>243</v>
      </c>
      <c r="C15" s="413"/>
      <c r="D15" s="413"/>
    </row>
    <row r="16" spans="1:4" ht="10.95" customHeight="1">
      <c r="B16" s="414" t="s">
        <v>244</v>
      </c>
      <c r="C16" s="415">
        <v>27458159.75</v>
      </c>
      <c r="D16" s="414"/>
    </row>
    <row r="17" spans="1:5" ht="10.95" customHeight="1">
      <c r="B17" s="414" t="s">
        <v>245</v>
      </c>
      <c r="C17" s="415">
        <v>4086553.83</v>
      </c>
      <c r="D17" s="414"/>
    </row>
    <row r="18" spans="1:5" ht="10.95" customHeight="1">
      <c r="B18" s="414" t="s">
        <v>246</v>
      </c>
      <c r="C18" s="415">
        <v>7854532.5300000003</v>
      </c>
      <c r="D18" s="414"/>
    </row>
    <row r="19" spans="1:5" ht="10.95" customHeight="1">
      <c r="B19" s="414" t="s">
        <v>33</v>
      </c>
      <c r="C19" s="415">
        <v>94172341.829999998</v>
      </c>
      <c r="D19" s="414"/>
    </row>
    <row r="20" spans="1:5" ht="10.95" customHeight="1">
      <c r="B20" s="416" t="s">
        <v>247</v>
      </c>
      <c r="C20" s="417">
        <f>SUM(C16:C19)</f>
        <v>133571587.94</v>
      </c>
      <c r="D20" s="416"/>
      <c r="E20" s="418" t="e">
        <f>+#REF!</f>
        <v>#REF!</v>
      </c>
    </row>
    <row r="21" spans="1:5" ht="10.95" customHeight="1">
      <c r="A21" s="416" t="s">
        <v>248</v>
      </c>
      <c r="C21" s="417">
        <f>(0 + ((C11 + C14) + C20))</f>
        <v>138572858.16</v>
      </c>
      <c r="D21" s="416"/>
    </row>
    <row r="22" spans="1:5" ht="13.35" customHeight="1"/>
    <row r="23" spans="1:5" s="412" customFormat="1" ht="12.15" customHeight="1">
      <c r="A23" s="409" t="s">
        <v>249</v>
      </c>
      <c r="B23" s="409"/>
      <c r="C23" s="409"/>
      <c r="D23" s="409"/>
    </row>
    <row r="24" spans="1:5" ht="10.95" customHeight="1">
      <c r="A24" s="413"/>
      <c r="B24" s="413" t="s">
        <v>250</v>
      </c>
      <c r="C24" s="413"/>
      <c r="D24" s="413"/>
    </row>
    <row r="25" spans="1:5" ht="10.95" customHeight="1">
      <c r="B25" s="414" t="s">
        <v>251</v>
      </c>
      <c r="C25" s="415">
        <v>4336743.79</v>
      </c>
      <c r="D25" s="414"/>
    </row>
    <row r="26" spans="1:5" ht="10.95" customHeight="1">
      <c r="B26" s="414" t="s">
        <v>252</v>
      </c>
      <c r="C26" s="415">
        <v>26550</v>
      </c>
      <c r="D26" s="414"/>
    </row>
    <row r="27" spans="1:5" ht="10.95" customHeight="1">
      <c r="B27" s="414" t="s">
        <v>643</v>
      </c>
      <c r="C27" s="415">
        <v>16092</v>
      </c>
      <c r="D27" s="414"/>
    </row>
    <row r="28" spans="1:5" ht="10.95" customHeight="1">
      <c r="B28" s="414" t="s">
        <v>644</v>
      </c>
      <c r="C28" s="415">
        <v>159727.69</v>
      </c>
      <c r="D28" s="414"/>
    </row>
    <row r="29" spans="1:5" ht="10.95" customHeight="1">
      <c r="B29" s="414" t="s">
        <v>645</v>
      </c>
      <c r="C29" s="415">
        <v>316224.59999999998</v>
      </c>
      <c r="D29" s="414"/>
    </row>
    <row r="30" spans="1:5" ht="10.95" customHeight="1">
      <c r="B30" s="414" t="s">
        <v>646</v>
      </c>
      <c r="C30" s="415">
        <v>8940</v>
      </c>
      <c r="D30" s="414"/>
    </row>
    <row r="31" spans="1:5" ht="10.95" customHeight="1">
      <c r="B31" s="416" t="s">
        <v>253</v>
      </c>
      <c r="C31" s="417">
        <f>SUM(C25:C30)</f>
        <v>4864278.08</v>
      </c>
      <c r="D31" s="416"/>
    </row>
    <row r="32" spans="1:5" ht="10.95" customHeight="1">
      <c r="A32" s="416" t="s">
        <v>254</v>
      </c>
      <c r="C32" s="417">
        <f>(0 + C31)</f>
        <v>4864278.08</v>
      </c>
      <c r="D32" s="416"/>
    </row>
    <row r="34" spans="1:3" ht="10.95" customHeight="1">
      <c r="B34" s="419" t="s">
        <v>255</v>
      </c>
      <c r="C34" s="420">
        <f>(C21 - C32)</f>
        <v>133708580.08</v>
      </c>
    </row>
    <row r="35" spans="1:3" ht="13.35" customHeight="1"/>
    <row r="36" spans="1:3" s="412" customFormat="1" ht="12.15" customHeight="1">
      <c r="A36" s="409" t="s">
        <v>256</v>
      </c>
      <c r="B36" s="409"/>
      <c r="C36" s="409"/>
    </row>
    <row r="37" spans="1:3" ht="10.95" customHeight="1">
      <c r="B37" s="421" t="s">
        <v>257</v>
      </c>
      <c r="C37" s="422">
        <v>133735948.31999999</v>
      </c>
    </row>
    <row r="38" spans="1:3" ht="10.95" customHeight="1">
      <c r="B38" s="414" t="s">
        <v>647</v>
      </c>
      <c r="C38" s="415">
        <v>-27368.240000000002</v>
      </c>
    </row>
    <row r="39" spans="1:3" ht="10.95" customHeight="1">
      <c r="A39" s="416" t="s">
        <v>258</v>
      </c>
      <c r="C39" s="417">
        <f>SUM(C37:C38)</f>
        <v>133708580.08</v>
      </c>
    </row>
    <row r="40" spans="1:3" ht="13.35" customHeight="1"/>
    <row r="41" spans="1:3" ht="13.35" customHeight="1"/>
    <row r="42" spans="1:3" ht="10.95" customHeight="1">
      <c r="A42" s="423" t="s">
        <v>648</v>
      </c>
    </row>
    <row r="43" spans="1:3" ht="10.95" customHeight="1">
      <c r="A43" s="424" t="s">
        <v>660</v>
      </c>
    </row>
    <row r="44" spans="1:3" ht="10.95" customHeight="1">
      <c r="A44" s="423" t="s">
        <v>661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1EA5-0E4C-45C4-8442-4F2B1799DEF2}">
  <dimension ref="A1:C27"/>
  <sheetViews>
    <sheetView showGridLines="0" zoomScaleNormal="100" workbookViewId="0">
      <selection activeCell="F10" sqref="F10"/>
    </sheetView>
  </sheetViews>
  <sheetFormatPr baseColWidth="10" defaultColWidth="8" defaultRowHeight="11.4"/>
  <cols>
    <col min="1" max="1" width="33.33203125" style="408" customWidth="1"/>
    <col min="2" max="2" width="12.6640625" style="408" customWidth="1"/>
    <col min="3" max="3" width="13.6640625" style="408" customWidth="1"/>
    <col min="4" max="4" width="10.6640625" style="408" bestFit="1" customWidth="1"/>
    <col min="5" max="16384" width="8" style="408"/>
  </cols>
  <sheetData>
    <row r="1" spans="1:3" s="405" customFormat="1" ht="16.649999999999999" customHeight="1">
      <c r="A1" s="404" t="s">
        <v>662</v>
      </c>
      <c r="B1" s="404"/>
      <c r="C1" s="404"/>
    </row>
    <row r="2" spans="1:3" s="407" customFormat="1" ht="14.4" customHeight="1">
      <c r="A2" s="406" t="s">
        <v>236</v>
      </c>
      <c r="B2" s="406"/>
      <c r="C2" s="406"/>
    </row>
    <row r="3" spans="1:3" s="407" customFormat="1" ht="14.4" customHeight="1">
      <c r="A3" s="406" t="s">
        <v>663</v>
      </c>
      <c r="B3" s="406"/>
      <c r="C3" s="406"/>
    </row>
    <row r="4" spans="1:3" ht="13.35" customHeight="1"/>
    <row r="5" spans="1:3" s="412" customFormat="1" ht="12.15" customHeight="1">
      <c r="A5" s="410" t="s">
        <v>664</v>
      </c>
      <c r="B5" s="411" t="s">
        <v>665</v>
      </c>
      <c r="C5" s="411" t="s">
        <v>666</v>
      </c>
    </row>
    <row r="6" spans="1:3" s="412" customFormat="1" ht="12.15" customHeight="1">
      <c r="A6" s="426"/>
      <c r="B6" s="427"/>
      <c r="C6" s="427"/>
    </row>
    <row r="7" spans="1:3" s="412" customFormat="1" ht="12.15" customHeight="1">
      <c r="A7" s="409" t="s">
        <v>667</v>
      </c>
      <c r="B7" s="409"/>
      <c r="C7" s="409"/>
    </row>
    <row r="8" spans="1:3" ht="10.95" customHeight="1">
      <c r="A8" s="414" t="s">
        <v>33</v>
      </c>
      <c r="B8" s="415">
        <v>94172341.829999998</v>
      </c>
      <c r="C8" s="415">
        <v>0</v>
      </c>
    </row>
    <row r="9" spans="1:3" ht="10.95" customHeight="1">
      <c r="A9" s="416" t="s">
        <v>668</v>
      </c>
      <c r="B9" s="417">
        <f>SUM(B8)</f>
        <v>94172341.829999998</v>
      </c>
      <c r="C9" s="417">
        <v>0</v>
      </c>
    </row>
    <row r="10" spans="1:3" ht="10.95" customHeight="1">
      <c r="A10" s="413"/>
      <c r="B10" s="428"/>
      <c r="C10" s="428"/>
    </row>
    <row r="11" spans="1:3" s="412" customFormat="1" ht="12.15" customHeight="1">
      <c r="A11" s="409" t="s">
        <v>669</v>
      </c>
      <c r="B11" s="409"/>
      <c r="C11" s="409"/>
    </row>
    <row r="12" spans="1:3" ht="10.95" customHeight="1">
      <c r="A12" s="414" t="s">
        <v>49</v>
      </c>
      <c r="B12" s="415">
        <v>19211666.289999999</v>
      </c>
      <c r="C12" s="415">
        <v>0</v>
      </c>
    </row>
    <row r="13" spans="1:3" ht="10.95" customHeight="1">
      <c r="A13" s="414" t="s">
        <v>35</v>
      </c>
      <c r="B13" s="415">
        <v>7467449.3200000003</v>
      </c>
      <c r="C13" s="415">
        <v>0</v>
      </c>
    </row>
    <row r="14" spans="1:3" ht="10.95" customHeight="1">
      <c r="A14" s="414" t="s">
        <v>272</v>
      </c>
      <c r="B14" s="415">
        <v>779044.14</v>
      </c>
      <c r="C14" s="415">
        <v>0</v>
      </c>
    </row>
    <row r="15" spans="1:3" ht="10.95" customHeight="1">
      <c r="A15" s="416" t="s">
        <v>670</v>
      </c>
      <c r="B15" s="417">
        <f>SUM(B12:B14)</f>
        <v>27458159.75</v>
      </c>
      <c r="C15" s="417">
        <v>0</v>
      </c>
    </row>
    <row r="17" spans="1:3" s="412" customFormat="1" ht="12.15" customHeight="1">
      <c r="A17" s="409" t="s">
        <v>671</v>
      </c>
      <c r="B17" s="409"/>
      <c r="C17" s="409"/>
    </row>
    <row r="18" spans="1:3" ht="10.95" customHeight="1">
      <c r="A18" s="414" t="s">
        <v>42</v>
      </c>
      <c r="B18" s="415">
        <v>161175.97</v>
      </c>
      <c r="C18" s="415">
        <v>0</v>
      </c>
    </row>
    <row r="19" spans="1:3" ht="10.95" customHeight="1">
      <c r="A19" s="414" t="s">
        <v>672</v>
      </c>
      <c r="B19" s="415">
        <v>237853.9</v>
      </c>
      <c r="C19" s="415">
        <v>0</v>
      </c>
    </row>
    <row r="20" spans="1:3" ht="10.95" customHeight="1">
      <c r="A20" s="414" t="s">
        <v>673</v>
      </c>
      <c r="B20" s="415">
        <v>3687523.96</v>
      </c>
      <c r="C20" s="415">
        <v>0</v>
      </c>
    </row>
    <row r="21" spans="1:3" ht="10.95" customHeight="1">
      <c r="A21" s="416" t="s">
        <v>674</v>
      </c>
      <c r="B21" s="417">
        <f>SUM(B18:B20)</f>
        <v>4086553.83</v>
      </c>
      <c r="C21" s="417">
        <v>0</v>
      </c>
    </row>
    <row r="22" spans="1:3" ht="13.35" customHeight="1"/>
    <row r="23" spans="1:3" s="412" customFormat="1" ht="12.15" customHeight="1">
      <c r="A23" s="409" t="s">
        <v>675</v>
      </c>
      <c r="B23" s="409"/>
      <c r="C23" s="409"/>
    </row>
    <row r="24" spans="1:3" ht="10.95" customHeight="1">
      <c r="A24" s="421" t="s">
        <v>676</v>
      </c>
      <c r="B24" s="422">
        <v>7854532.5300000003</v>
      </c>
      <c r="C24" s="422">
        <v>0</v>
      </c>
    </row>
    <row r="25" spans="1:3" ht="10.95" customHeight="1">
      <c r="A25" s="416" t="s">
        <v>677</v>
      </c>
      <c r="B25" s="417">
        <f>SUM(B24)</f>
        <v>7854532.5300000003</v>
      </c>
      <c r="C25" s="417">
        <v>0</v>
      </c>
    </row>
    <row r="26" spans="1:3" ht="13.35" customHeight="1"/>
    <row r="27" spans="1:3" ht="10.95" customHeight="1">
      <c r="A27" s="419" t="s">
        <v>164</v>
      </c>
      <c r="B27" s="420">
        <f>+B9+B15+B21+B25</f>
        <v>133571587.94</v>
      </c>
      <c r="C27" s="420">
        <v>0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06D9C-038E-47CC-9364-5CFDC4B0FC2D}">
  <dimension ref="A1:E16"/>
  <sheetViews>
    <sheetView workbookViewId="0">
      <selection activeCell="F10" sqref="F10"/>
    </sheetView>
  </sheetViews>
  <sheetFormatPr baseColWidth="10" defaultColWidth="11.5546875" defaultRowHeight="14.4"/>
  <cols>
    <col min="1" max="1" width="34.33203125" style="370" customWidth="1"/>
    <col min="2" max="2" width="29.6640625" style="370" customWidth="1"/>
    <col min="3" max="3" width="21.5546875" style="370" customWidth="1"/>
    <col min="4" max="4" width="30" style="370" bestFit="1" customWidth="1"/>
    <col min="5" max="5" width="24.6640625" style="370" customWidth="1"/>
    <col min="6" max="16384" width="11.5546875" style="370"/>
  </cols>
  <sheetData>
    <row r="1" spans="1:5" s="446" customFormat="1" ht="28.8">
      <c r="A1" s="446" t="s">
        <v>279</v>
      </c>
      <c r="B1" s="446" t="s">
        <v>678</v>
      </c>
      <c r="C1" s="446" t="s">
        <v>290</v>
      </c>
      <c r="D1" s="446" t="s">
        <v>285</v>
      </c>
      <c r="E1" s="446" t="s">
        <v>679</v>
      </c>
    </row>
    <row r="2" spans="1:5">
      <c r="A2" s="370" t="s">
        <v>259</v>
      </c>
      <c r="B2" s="370">
        <v>103385169</v>
      </c>
      <c r="C2" s="370">
        <v>94172341.829999998</v>
      </c>
      <c r="D2" s="370">
        <v>93973039.829999998</v>
      </c>
      <c r="E2" s="370">
        <f t="shared" ref="E2:E15" si="0">+C2-D2</f>
        <v>199302</v>
      </c>
    </row>
    <row r="3" spans="1:5">
      <c r="A3" s="370" t="s">
        <v>680</v>
      </c>
      <c r="B3" s="370">
        <v>20790000</v>
      </c>
      <c r="C3" s="370">
        <v>20784947.59</v>
      </c>
      <c r="D3" s="370">
        <f>14942869.17+2025354.08</f>
        <v>16968223.25</v>
      </c>
      <c r="E3" s="370">
        <f t="shared" si="0"/>
        <v>3816724.34</v>
      </c>
    </row>
    <row r="4" spans="1:5">
      <c r="A4" s="370" t="s">
        <v>271</v>
      </c>
      <c r="B4" s="370">
        <v>451759000</v>
      </c>
      <c r="C4" s="370">
        <f>9038515.39+2518299.79</f>
        <v>11556815.18</v>
      </c>
      <c r="D4" s="370">
        <v>9038515</v>
      </c>
      <c r="E4" s="370">
        <f t="shared" si="0"/>
        <v>2518300.1799999997</v>
      </c>
    </row>
    <row r="5" spans="1:5">
      <c r="A5" s="370" t="s">
        <v>681</v>
      </c>
      <c r="B5" s="370">
        <v>1265953920</v>
      </c>
      <c r="E5" s="370">
        <f t="shared" si="0"/>
        <v>0</v>
      </c>
    </row>
    <row r="6" spans="1:5">
      <c r="A6" s="370" t="s">
        <v>379</v>
      </c>
      <c r="B6" s="370">
        <v>171771292</v>
      </c>
      <c r="C6" s="370">
        <v>171771292</v>
      </c>
      <c r="D6" s="370">
        <v>9038515</v>
      </c>
      <c r="E6" s="370">
        <f t="shared" si="0"/>
        <v>162732777</v>
      </c>
    </row>
    <row r="7" spans="1:5">
      <c r="A7" s="370" t="s">
        <v>682</v>
      </c>
      <c r="B7" s="370">
        <v>34354258</v>
      </c>
      <c r="E7" s="370">
        <f t="shared" si="0"/>
        <v>0</v>
      </c>
    </row>
    <row r="8" spans="1:5">
      <c r="A8" s="370" t="s">
        <v>384</v>
      </c>
      <c r="B8" s="370">
        <v>137417034</v>
      </c>
      <c r="C8" s="370">
        <v>137416238</v>
      </c>
      <c r="D8" s="370">
        <v>161175.97</v>
      </c>
      <c r="E8" s="370">
        <f t="shared" si="0"/>
        <v>137255062.03</v>
      </c>
    </row>
    <row r="9" spans="1:5">
      <c r="A9" s="370" t="s">
        <v>387</v>
      </c>
      <c r="B9" s="370">
        <v>281704919</v>
      </c>
      <c r="C9" s="370">
        <v>35151584</v>
      </c>
      <c r="D9" s="370">
        <v>0</v>
      </c>
      <c r="E9" s="370">
        <f t="shared" si="0"/>
        <v>35151584</v>
      </c>
    </row>
    <row r="10" spans="1:5">
      <c r="A10" s="370" t="s">
        <v>291</v>
      </c>
      <c r="B10" s="370">
        <v>67334346</v>
      </c>
      <c r="C10" s="370">
        <v>237853.9</v>
      </c>
      <c r="D10" s="370">
        <v>0</v>
      </c>
      <c r="E10" s="370">
        <f t="shared" si="0"/>
        <v>237853.9</v>
      </c>
    </row>
    <row r="11" spans="1:5">
      <c r="A11" s="370" t="s">
        <v>416</v>
      </c>
      <c r="B11" s="370">
        <v>51531387.950000003</v>
      </c>
      <c r="C11" s="370">
        <f>7507475.33+2082233.67</f>
        <v>9589709</v>
      </c>
      <c r="D11" s="370">
        <f>2249437.93+1674645.92</f>
        <v>3924083.85</v>
      </c>
      <c r="E11" s="370">
        <f t="shared" si="0"/>
        <v>5665625.1500000004</v>
      </c>
    </row>
    <row r="12" spans="1:5">
      <c r="A12" s="370" t="s">
        <v>683</v>
      </c>
      <c r="B12" s="370">
        <v>19238385</v>
      </c>
      <c r="E12" s="370">
        <f t="shared" si="0"/>
        <v>0</v>
      </c>
    </row>
    <row r="13" spans="1:5">
      <c r="A13" s="370" t="s">
        <v>390</v>
      </c>
      <c r="B13" s="370">
        <v>15000000</v>
      </c>
      <c r="C13" s="370">
        <v>12132268.5</v>
      </c>
      <c r="D13" s="370">
        <v>7882792.6200000001</v>
      </c>
      <c r="E13" s="370">
        <f t="shared" si="0"/>
        <v>4249475.88</v>
      </c>
    </row>
    <row r="14" spans="1:5">
      <c r="A14" s="370" t="s">
        <v>684</v>
      </c>
      <c r="B14" s="370">
        <v>19238385</v>
      </c>
      <c r="E14" s="370">
        <f t="shared" si="0"/>
        <v>0</v>
      </c>
    </row>
    <row r="15" spans="1:5">
      <c r="A15" s="370" t="s">
        <v>685</v>
      </c>
      <c r="B15" s="370">
        <v>192383847</v>
      </c>
      <c r="E15" s="370">
        <f t="shared" si="0"/>
        <v>0</v>
      </c>
    </row>
    <row r="16" spans="1:5" s="432" customFormat="1">
      <c r="B16" s="432">
        <f>SUM(B2:B15)</f>
        <v>2831861942.9499998</v>
      </c>
      <c r="C16" s="432">
        <f>SUM(C2:C15)</f>
        <v>492813050</v>
      </c>
      <c r="D16" s="432">
        <f>SUM(D2:D15)</f>
        <v>140986345.51999998</v>
      </c>
      <c r="E16" s="432">
        <f>SUM(E2:E15)</f>
        <v>351826704.47999996</v>
      </c>
    </row>
  </sheetData>
  <autoFilter ref="A1:E15" xr:uid="{6D885037-1228-41D4-93D0-90E5368E773A}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0BB9F-E2D9-4364-8692-2DE7B3F3FDF9}">
  <dimension ref="A1:G20"/>
  <sheetViews>
    <sheetView showGridLines="0" zoomScaleNormal="100" workbookViewId="0">
      <selection activeCell="B17" sqref="A17:XFD17"/>
    </sheetView>
  </sheetViews>
  <sheetFormatPr baseColWidth="10" defaultColWidth="8" defaultRowHeight="11.4"/>
  <cols>
    <col min="1" max="1" width="12.6640625" style="408" customWidth="1"/>
    <col min="2" max="2" width="56.33203125" style="408" bestFit="1" customWidth="1"/>
    <col min="3" max="3" width="20.44140625" style="408" bestFit="1" customWidth="1"/>
    <col min="4" max="4" width="12.33203125" style="408" bestFit="1" customWidth="1"/>
    <col min="5" max="5" width="22.88671875" style="408" bestFit="1" customWidth="1"/>
    <col min="6" max="6" width="13.6640625" style="408" bestFit="1" customWidth="1"/>
    <col min="7" max="7" width="32.6640625" style="408" bestFit="1" customWidth="1"/>
    <col min="8" max="16384" width="8" style="408"/>
  </cols>
  <sheetData>
    <row r="1" spans="1:7" s="405" customFormat="1" ht="16.649999999999999" customHeight="1">
      <c r="A1" s="404" t="s">
        <v>686</v>
      </c>
      <c r="B1" s="404"/>
      <c r="C1" s="404"/>
      <c r="D1" s="404"/>
      <c r="E1" s="404"/>
      <c r="F1" s="404"/>
      <c r="G1" s="404"/>
    </row>
    <row r="2" spans="1:7" s="407" customFormat="1" ht="14.4" customHeight="1">
      <c r="A2" s="406" t="s">
        <v>236</v>
      </c>
      <c r="B2" s="406"/>
      <c r="C2" s="406"/>
      <c r="D2" s="406"/>
      <c r="E2" s="406"/>
      <c r="F2" s="406"/>
      <c r="G2" s="406"/>
    </row>
    <row r="3" spans="1:7" s="407" customFormat="1" ht="14.4" customHeight="1">
      <c r="A3" s="406" t="s">
        <v>687</v>
      </c>
      <c r="B3" s="406"/>
      <c r="C3" s="406"/>
      <c r="D3" s="406"/>
      <c r="E3" s="406"/>
      <c r="F3" s="406"/>
      <c r="G3" s="406"/>
    </row>
    <row r="4" spans="1:7" ht="13.35" customHeight="1"/>
    <row r="5" spans="1:7" ht="10.95" customHeight="1">
      <c r="A5" s="423" t="s">
        <v>688</v>
      </c>
    </row>
    <row r="6" spans="1:7" ht="13.35" customHeight="1"/>
    <row r="7" spans="1:7" s="412" customFormat="1" ht="12.15" customHeight="1">
      <c r="A7" s="410" t="s">
        <v>689</v>
      </c>
      <c r="B7" s="410" t="s">
        <v>690</v>
      </c>
      <c r="C7" s="410" t="s">
        <v>691</v>
      </c>
      <c r="D7" s="411" t="s">
        <v>692</v>
      </c>
      <c r="E7" s="411" t="s">
        <v>693</v>
      </c>
      <c r="F7" s="411" t="s">
        <v>694</v>
      </c>
      <c r="G7" s="410" t="s">
        <v>695</v>
      </c>
    </row>
    <row r="8" spans="1:7" ht="10.95" customHeight="1">
      <c r="A8" s="429">
        <v>45453</v>
      </c>
      <c r="B8" s="421" t="s">
        <v>373</v>
      </c>
      <c r="C8" s="421" t="s">
        <v>696</v>
      </c>
      <c r="D8" s="422">
        <v>446042</v>
      </c>
      <c r="E8" s="422">
        <v>385727.8</v>
      </c>
      <c r="F8" s="422">
        <v>60314.2</v>
      </c>
      <c r="G8" s="421" t="s">
        <v>49</v>
      </c>
    </row>
    <row r="9" spans="1:7" ht="10.95" customHeight="1">
      <c r="A9" s="430">
        <v>45453</v>
      </c>
      <c r="B9" s="414" t="s">
        <v>365</v>
      </c>
      <c r="C9" s="414" t="s">
        <v>697</v>
      </c>
      <c r="D9" s="415">
        <v>820656</v>
      </c>
      <c r="E9" s="415">
        <v>409320</v>
      </c>
      <c r="F9" s="415">
        <v>411336</v>
      </c>
      <c r="G9" s="414" t="s">
        <v>49</v>
      </c>
    </row>
    <row r="10" spans="1:7" ht="10.95" customHeight="1">
      <c r="A10" s="430">
        <v>45456</v>
      </c>
      <c r="B10" s="414" t="s">
        <v>327</v>
      </c>
      <c r="C10" s="414" t="s">
        <v>698</v>
      </c>
      <c r="D10" s="415">
        <v>3825551.15</v>
      </c>
      <c r="E10" s="415">
        <v>3533442.13</v>
      </c>
      <c r="F10" s="415">
        <v>292109.02</v>
      </c>
      <c r="G10" s="414" t="s">
        <v>49</v>
      </c>
    </row>
    <row r="11" spans="1:7" ht="10.95" customHeight="1">
      <c r="A11" s="430">
        <v>45474</v>
      </c>
      <c r="B11" s="414" t="s">
        <v>310</v>
      </c>
      <c r="C11" s="414" t="s">
        <v>699</v>
      </c>
      <c r="D11" s="415">
        <v>4876762</v>
      </c>
      <c r="E11" s="415">
        <v>3557991.92</v>
      </c>
      <c r="F11" s="415">
        <v>1318770.08</v>
      </c>
      <c r="G11" s="414" t="s">
        <v>49</v>
      </c>
    </row>
    <row r="12" spans="1:7" ht="10.95" customHeight="1">
      <c r="A12" s="430">
        <v>45499</v>
      </c>
      <c r="B12" s="414" t="s">
        <v>301</v>
      </c>
      <c r="C12" s="414" t="s">
        <v>700</v>
      </c>
      <c r="D12" s="415">
        <v>1998189</v>
      </c>
      <c r="E12" s="415">
        <v>1362015</v>
      </c>
      <c r="F12" s="415">
        <v>636174</v>
      </c>
      <c r="G12" s="414" t="s">
        <v>49</v>
      </c>
    </row>
    <row r="13" spans="1:7" ht="10.95" customHeight="1">
      <c r="A13" s="430">
        <v>45503</v>
      </c>
      <c r="B13" s="414" t="s">
        <v>342</v>
      </c>
      <c r="C13" s="414" t="s">
        <v>701</v>
      </c>
      <c r="D13" s="415">
        <v>348690</v>
      </c>
      <c r="E13" s="415">
        <v>190115</v>
      </c>
      <c r="F13" s="415">
        <v>158575</v>
      </c>
      <c r="G13" s="414" t="s">
        <v>49</v>
      </c>
    </row>
    <row r="14" spans="1:7" ht="10.95" customHeight="1">
      <c r="A14" s="430"/>
      <c r="B14" s="414"/>
      <c r="C14" s="414"/>
      <c r="D14" s="415"/>
      <c r="E14" s="415"/>
      <c r="F14" s="417">
        <f>SUM(F8:F13)</f>
        <v>2877278.3</v>
      </c>
      <c r="G14" s="416" t="s">
        <v>49</v>
      </c>
    </row>
    <row r="15" spans="1:7" ht="10.95" customHeight="1">
      <c r="A15" s="430"/>
      <c r="B15" s="414"/>
      <c r="C15" s="414"/>
      <c r="D15" s="415"/>
      <c r="E15" s="415"/>
      <c r="F15" s="415"/>
      <c r="G15" s="414"/>
    </row>
    <row r="16" spans="1:7" ht="10.95" customHeight="1">
      <c r="A16" s="430">
        <v>45469</v>
      </c>
      <c r="B16" s="414" t="s">
        <v>424</v>
      </c>
      <c r="C16" s="414" t="s">
        <v>702</v>
      </c>
      <c r="D16" s="415">
        <v>145920</v>
      </c>
      <c r="E16" s="415">
        <v>88920</v>
      </c>
      <c r="F16" s="415">
        <v>57000</v>
      </c>
      <c r="G16" s="414" t="s">
        <v>673</v>
      </c>
    </row>
    <row r="17" spans="1:7" ht="10.95" customHeight="1">
      <c r="A17" s="430">
        <v>45488</v>
      </c>
      <c r="B17" s="414" t="s">
        <v>420</v>
      </c>
      <c r="C17" s="414" t="s">
        <v>703</v>
      </c>
      <c r="D17" s="415">
        <v>331089</v>
      </c>
      <c r="E17" s="415">
        <v>0</v>
      </c>
      <c r="F17" s="415">
        <v>331089</v>
      </c>
      <c r="G17" s="414" t="s">
        <v>673</v>
      </c>
    </row>
    <row r="18" spans="1:7" ht="10.95" customHeight="1">
      <c r="A18" s="430">
        <v>45490</v>
      </c>
      <c r="B18" s="414" t="s">
        <v>704</v>
      </c>
      <c r="C18" s="414" t="s">
        <v>705</v>
      </c>
      <c r="D18" s="415">
        <v>156284.31</v>
      </c>
      <c r="E18" s="415">
        <v>0</v>
      </c>
      <c r="F18" s="415">
        <v>156284.31</v>
      </c>
      <c r="G18" s="414" t="s">
        <v>673</v>
      </c>
    </row>
    <row r="19" spans="1:7" ht="10.95" customHeight="1">
      <c r="A19" s="430">
        <v>45500</v>
      </c>
      <c r="B19" s="414" t="s">
        <v>420</v>
      </c>
      <c r="C19" s="414" t="s">
        <v>706</v>
      </c>
      <c r="D19" s="415">
        <v>915092.18</v>
      </c>
      <c r="E19" s="415">
        <v>0</v>
      </c>
      <c r="F19" s="415">
        <v>915092.18</v>
      </c>
      <c r="G19" s="414" t="s">
        <v>673</v>
      </c>
    </row>
    <row r="20" spans="1:7" ht="12">
      <c r="F20" s="431">
        <f>SUM(F16:F19)</f>
        <v>1459465.4900000002</v>
      </c>
      <c r="G20" s="416" t="s">
        <v>673</v>
      </c>
    </row>
  </sheetData>
  <autoFilter ref="A7:G7" xr:uid="{00000000-0001-0000-0000-000000000000}">
    <sortState xmlns:xlrd2="http://schemas.microsoft.com/office/spreadsheetml/2017/richdata2" ref="A8:G17">
      <sortCondition ref="G7"/>
    </sortState>
  </autoFilter>
  <pageMargins left="0.7" right="0.7" top="0.75" bottom="0.75" header="0.3" footer="0.3"/>
  <pageSetup paperSize="9" fitToWidth="0" fitToHeight="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6B383-4F83-4913-A6FE-B2B30958FDFB}">
  <dimension ref="A1:F9"/>
  <sheetViews>
    <sheetView workbookViewId="0">
      <selection activeCell="B17" sqref="A17:XFD17"/>
    </sheetView>
  </sheetViews>
  <sheetFormatPr baseColWidth="10" defaultColWidth="11.44140625" defaultRowHeight="14.4"/>
  <cols>
    <col min="1" max="1" width="50.6640625" bestFit="1" customWidth="1"/>
    <col min="2" max="2" width="31.88671875" bestFit="1" customWidth="1"/>
    <col min="4" max="4" width="12.6640625" style="370" bestFit="1" customWidth="1"/>
    <col min="5" max="5" width="18.5546875" style="370" bestFit="1" customWidth="1"/>
    <col min="6" max="6" width="21.88671875" bestFit="1" customWidth="1"/>
  </cols>
  <sheetData>
    <row r="1" spans="1:6">
      <c r="A1" t="s">
        <v>707</v>
      </c>
      <c r="B1" t="s">
        <v>691</v>
      </c>
      <c r="C1" t="s">
        <v>708</v>
      </c>
      <c r="D1" s="370" t="s">
        <v>164</v>
      </c>
      <c r="E1" s="370" t="s">
        <v>709</v>
      </c>
      <c r="F1" t="s">
        <v>710</v>
      </c>
    </row>
    <row r="2" spans="1:6">
      <c r="A2" t="s">
        <v>330</v>
      </c>
      <c r="B2" t="s">
        <v>711</v>
      </c>
      <c r="C2" s="193">
        <v>45497</v>
      </c>
      <c r="D2" s="370">
        <v>222000</v>
      </c>
      <c r="E2" s="370">
        <v>222000</v>
      </c>
      <c r="F2" t="s">
        <v>712</v>
      </c>
    </row>
    <row r="3" spans="1:6">
      <c r="A3" t="s">
        <v>369</v>
      </c>
      <c r="B3" t="s">
        <v>713</v>
      </c>
      <c r="C3" s="193">
        <v>45266</v>
      </c>
      <c r="D3" s="370">
        <v>273000</v>
      </c>
      <c r="E3" s="370">
        <v>273000</v>
      </c>
      <c r="F3" t="s">
        <v>712</v>
      </c>
    </row>
    <row r="4" spans="1:6">
      <c r="A4" t="s">
        <v>323</v>
      </c>
      <c r="B4" t="s">
        <v>714</v>
      </c>
      <c r="C4" s="193">
        <v>45343</v>
      </c>
      <c r="D4" s="370">
        <v>247800</v>
      </c>
      <c r="E4" s="370">
        <v>247800</v>
      </c>
      <c r="F4" t="s">
        <v>712</v>
      </c>
    </row>
    <row r="5" spans="1:6">
      <c r="C5" s="193"/>
      <c r="E5" s="432">
        <f>SUM(E2:E4)</f>
        <v>742800</v>
      </c>
      <c r="F5" s="433" t="s">
        <v>712</v>
      </c>
    </row>
    <row r="6" spans="1:6">
      <c r="C6" s="193"/>
    </row>
    <row r="7" spans="1:6">
      <c r="A7" t="s">
        <v>715</v>
      </c>
      <c r="B7" t="s">
        <v>716</v>
      </c>
      <c r="C7" s="193">
        <v>45338</v>
      </c>
      <c r="D7" s="370">
        <v>8000000</v>
      </c>
      <c r="E7" s="370">
        <v>1674259.36</v>
      </c>
      <c r="F7" t="s">
        <v>717</v>
      </c>
    </row>
    <row r="8" spans="1:6">
      <c r="A8" t="s">
        <v>404</v>
      </c>
      <c r="B8" t="s">
        <v>718</v>
      </c>
      <c r="C8" s="193">
        <v>45392</v>
      </c>
      <c r="D8" s="370">
        <v>1050104.3200000001</v>
      </c>
      <c r="E8" s="370">
        <v>1050104.3200000001</v>
      </c>
      <c r="F8" t="s">
        <v>717</v>
      </c>
    </row>
    <row r="9" spans="1:6">
      <c r="E9" s="432">
        <f>SUM(E7:E8)</f>
        <v>2724363.68</v>
      </c>
      <c r="F9" s="433" t="s">
        <v>717</v>
      </c>
    </row>
  </sheetData>
  <autoFilter ref="A1:F1" xr:uid="{9975605F-A0C4-424B-A09B-8AB950CE4756}">
    <sortState xmlns:xlrd2="http://schemas.microsoft.com/office/spreadsheetml/2017/richdata2" ref="A2:F7">
      <sortCondition ref="F1"/>
    </sortState>
  </autoFilter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72522-6E39-438D-BF17-5E53A5C8A24A}">
  <dimension ref="A1:D44"/>
  <sheetViews>
    <sheetView showGridLines="0" zoomScaleNormal="100" workbookViewId="0">
      <selection activeCell="B17" sqref="A17:XFD17"/>
    </sheetView>
  </sheetViews>
  <sheetFormatPr baseColWidth="10" defaultColWidth="8" defaultRowHeight="11.4"/>
  <cols>
    <col min="1" max="1" width="1.33203125" style="408" customWidth="1"/>
    <col min="2" max="2" width="38.5546875" style="408" customWidth="1"/>
    <col min="3" max="3" width="13.33203125" style="408" customWidth="1"/>
    <col min="4" max="4" width="4.88671875" style="408" customWidth="1"/>
    <col min="5" max="6" width="8" style="408"/>
    <col min="7" max="7" width="12.44140625" style="408" bestFit="1" customWidth="1"/>
    <col min="8" max="16384" width="8" style="408"/>
  </cols>
  <sheetData>
    <row r="1" spans="1:4" s="405" customFormat="1" ht="16.649999999999999" customHeight="1">
      <c r="A1" s="404" t="s">
        <v>235</v>
      </c>
      <c r="B1" s="404"/>
      <c r="C1" s="404"/>
      <c r="D1" s="404"/>
    </row>
    <row r="2" spans="1:4" s="407" customFormat="1" ht="14.4" customHeight="1">
      <c r="A2" s="406" t="s">
        <v>236</v>
      </c>
      <c r="B2" s="406"/>
      <c r="C2" s="406"/>
      <c r="D2" s="406"/>
    </row>
    <row r="3" spans="1:4" s="407" customFormat="1" ht="14.4" customHeight="1">
      <c r="A3" s="406" t="s">
        <v>719</v>
      </c>
      <c r="B3" s="406"/>
      <c r="C3" s="406"/>
      <c r="D3" s="406"/>
    </row>
    <row r="4" spans="1:4" ht="13.35" customHeight="1"/>
    <row r="5" spans="1:4" s="412" customFormat="1" ht="12.15" customHeight="1">
      <c r="A5" s="409"/>
      <c r="B5" s="410" t="s">
        <v>238</v>
      </c>
      <c r="C5" s="411" t="s">
        <v>720</v>
      </c>
      <c r="D5" s="411"/>
    </row>
    <row r="6" spans="1:4" ht="13.35" customHeight="1"/>
    <row r="7" spans="1:4" s="412" customFormat="1" ht="12.15" customHeight="1">
      <c r="A7" s="409" t="s">
        <v>239</v>
      </c>
      <c r="B7" s="409"/>
      <c r="C7" s="409"/>
      <c r="D7" s="409"/>
    </row>
    <row r="8" spans="1:4" ht="10.95" customHeight="1">
      <c r="A8" s="413"/>
      <c r="B8" s="413" t="s">
        <v>638</v>
      </c>
      <c r="C8" s="413"/>
      <c r="D8" s="413"/>
    </row>
    <row r="9" spans="1:4" ht="10.95" customHeight="1">
      <c r="B9" s="414" t="s">
        <v>639</v>
      </c>
      <c r="C9" s="415">
        <v>19880326.829999998</v>
      </c>
      <c r="D9" s="414"/>
    </row>
    <row r="10" spans="1:4" ht="10.95" customHeight="1">
      <c r="B10" s="414" t="s">
        <v>640</v>
      </c>
      <c r="C10" s="415">
        <v>170494.28</v>
      </c>
      <c r="D10" s="414" t="s">
        <v>641</v>
      </c>
    </row>
    <row r="11" spans="1:4" ht="10.95" customHeight="1">
      <c r="B11" s="416" t="s">
        <v>642</v>
      </c>
      <c r="C11" s="417">
        <f>SUM(C9:C10)</f>
        <v>20050821.109999999</v>
      </c>
      <c r="D11" s="416"/>
    </row>
    <row r="12" spans="1:4" ht="10.95" customHeight="1">
      <c r="A12" s="413"/>
      <c r="B12" s="413" t="s">
        <v>240</v>
      </c>
      <c r="C12" s="413"/>
      <c r="D12" s="413"/>
    </row>
    <row r="13" spans="1:4" ht="10.95" customHeight="1">
      <c r="B13" s="414" t="s">
        <v>241</v>
      </c>
      <c r="C13" s="415">
        <v>5848990.5700000003</v>
      </c>
      <c r="D13" s="414"/>
    </row>
    <row r="14" spans="1:4" ht="10.95" customHeight="1">
      <c r="B14" s="416" t="s">
        <v>242</v>
      </c>
      <c r="C14" s="417">
        <f>C13</f>
        <v>5848990.5700000003</v>
      </c>
      <c r="D14" s="416"/>
    </row>
    <row r="15" spans="1:4" ht="10.95" customHeight="1">
      <c r="A15" s="413"/>
      <c r="B15" s="413" t="s">
        <v>243</v>
      </c>
      <c r="C15" s="413"/>
      <c r="D15" s="413"/>
    </row>
    <row r="16" spans="1:4" ht="10.95" customHeight="1">
      <c r="B16" s="414" t="s">
        <v>244</v>
      </c>
      <c r="C16" s="415">
        <v>30229369.030000001</v>
      </c>
      <c r="D16" s="414"/>
    </row>
    <row r="17" spans="1:4" ht="10.95" customHeight="1">
      <c r="B17" s="414" t="s">
        <v>245</v>
      </c>
      <c r="C17" s="415">
        <v>4836760.33</v>
      </c>
      <c r="D17" s="414"/>
    </row>
    <row r="18" spans="1:4" ht="10.95" customHeight="1">
      <c r="B18" s="414" t="s">
        <v>246</v>
      </c>
      <c r="C18" s="415">
        <v>7854532.5300000003</v>
      </c>
      <c r="D18" s="414"/>
    </row>
    <row r="19" spans="1:4" ht="10.95" customHeight="1">
      <c r="B19" s="414" t="s">
        <v>33</v>
      </c>
      <c r="C19" s="415">
        <v>94172341.829999998</v>
      </c>
      <c r="D19" s="414"/>
    </row>
    <row r="20" spans="1:4" ht="10.95" customHeight="1">
      <c r="B20" s="416" t="s">
        <v>247</v>
      </c>
      <c r="C20" s="417">
        <f>SUM(C16:C19)</f>
        <v>137093003.72</v>
      </c>
      <c r="D20" s="416"/>
    </row>
    <row r="21" spans="1:4" ht="10.95" customHeight="1">
      <c r="A21" s="416" t="s">
        <v>248</v>
      </c>
      <c r="C21" s="417">
        <f>(0 + ((C11 + C14) + C20))</f>
        <v>162992815.40000001</v>
      </c>
      <c r="D21" s="416"/>
    </row>
    <row r="22" spans="1:4" ht="13.35" customHeight="1"/>
    <row r="23" spans="1:4" s="412" customFormat="1" ht="12.15" customHeight="1">
      <c r="A23" s="409" t="s">
        <v>249</v>
      </c>
      <c r="B23" s="409"/>
      <c r="C23" s="409"/>
      <c r="D23" s="409"/>
    </row>
    <row r="24" spans="1:4" ht="10.95" customHeight="1">
      <c r="A24" s="413"/>
      <c r="B24" s="413" t="s">
        <v>250</v>
      </c>
      <c r="C24" s="413"/>
      <c r="D24" s="413"/>
    </row>
    <row r="25" spans="1:4" ht="10.95" customHeight="1">
      <c r="B25" s="414" t="s">
        <v>251</v>
      </c>
      <c r="C25" s="415">
        <v>2359941.85</v>
      </c>
      <c r="D25" s="414"/>
    </row>
    <row r="26" spans="1:4" ht="10.95" customHeight="1">
      <c r="B26" s="414" t="s">
        <v>252</v>
      </c>
      <c r="C26" s="415">
        <v>340630</v>
      </c>
      <c r="D26" s="414"/>
    </row>
    <row r="27" spans="1:4" ht="10.95" customHeight="1">
      <c r="B27" s="414" t="s">
        <v>643</v>
      </c>
      <c r="C27" s="415">
        <v>43200</v>
      </c>
      <c r="D27" s="414"/>
    </row>
    <row r="28" spans="1:4" ht="10.95" customHeight="1">
      <c r="B28" s="414" t="s">
        <v>644</v>
      </c>
      <c r="C28" s="415">
        <v>7865.37</v>
      </c>
      <c r="D28" s="414"/>
    </row>
    <row r="29" spans="1:4" ht="10.95" customHeight="1">
      <c r="B29" s="414" t="s">
        <v>645</v>
      </c>
      <c r="C29" s="415">
        <v>519003.67</v>
      </c>
      <c r="D29" s="414"/>
    </row>
    <row r="30" spans="1:4" ht="10.95" customHeight="1">
      <c r="B30" s="414" t="s">
        <v>646</v>
      </c>
      <c r="C30" s="415">
        <v>24000</v>
      </c>
      <c r="D30" s="414"/>
    </row>
    <row r="31" spans="1:4" ht="10.95" customHeight="1">
      <c r="B31" s="416" t="s">
        <v>253</v>
      </c>
      <c r="C31" s="417">
        <f>SUM(C25:C30)</f>
        <v>3294640.89</v>
      </c>
      <c r="D31" s="416"/>
    </row>
    <row r="32" spans="1:4" ht="10.95" customHeight="1">
      <c r="A32" s="416" t="s">
        <v>254</v>
      </c>
      <c r="C32" s="417">
        <f>(0 + C31)</f>
        <v>3294640.89</v>
      </c>
      <c r="D32" s="416"/>
    </row>
    <row r="34" spans="1:3" ht="10.95" customHeight="1">
      <c r="B34" s="419" t="s">
        <v>255</v>
      </c>
      <c r="C34" s="420">
        <f>(C21 - C32)</f>
        <v>159698174.51000002</v>
      </c>
    </row>
    <row r="35" spans="1:3" ht="13.35" customHeight="1"/>
    <row r="36" spans="1:3" s="412" customFormat="1" ht="12.15" customHeight="1">
      <c r="A36" s="409" t="s">
        <v>256</v>
      </c>
      <c r="B36" s="409"/>
      <c r="C36" s="409"/>
    </row>
    <row r="37" spans="1:3" ht="10.95" customHeight="1">
      <c r="B37" s="421" t="s">
        <v>257</v>
      </c>
      <c r="C37" s="422">
        <v>159695773.63999999</v>
      </c>
    </row>
    <row r="38" spans="1:3" ht="10.95" customHeight="1">
      <c r="B38" s="414" t="s">
        <v>647</v>
      </c>
      <c r="C38" s="415">
        <v>2400.87</v>
      </c>
    </row>
    <row r="39" spans="1:3" ht="10.95" customHeight="1">
      <c r="A39" s="416" t="s">
        <v>258</v>
      </c>
      <c r="C39" s="417">
        <f>SUM(C37:C38)</f>
        <v>159698174.50999999</v>
      </c>
    </row>
    <row r="40" spans="1:3" ht="13.35" customHeight="1"/>
    <row r="41" spans="1:3" ht="13.35" customHeight="1"/>
    <row r="42" spans="1:3" ht="10.95" customHeight="1">
      <c r="A42" s="423" t="s">
        <v>648</v>
      </c>
    </row>
    <row r="43" spans="1:3" ht="10.95" customHeight="1">
      <c r="A43" s="424" t="s">
        <v>720</v>
      </c>
    </row>
    <row r="44" spans="1:3" ht="10.95" customHeight="1">
      <c r="A44" s="423" t="s">
        <v>721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007A-5802-4A46-A120-B7959A7FAB17}">
  <dimension ref="A1:C27"/>
  <sheetViews>
    <sheetView showGridLines="0" zoomScaleNormal="100" workbookViewId="0">
      <selection activeCell="B17" sqref="A17:XFD17"/>
    </sheetView>
  </sheetViews>
  <sheetFormatPr baseColWidth="10" defaultColWidth="8" defaultRowHeight="11.4"/>
  <cols>
    <col min="1" max="1" width="36.44140625" style="408" customWidth="1"/>
    <col min="2" max="2" width="12.6640625" style="408" customWidth="1"/>
    <col min="3" max="3" width="13.6640625" style="408" customWidth="1"/>
    <col min="4" max="4" width="10.6640625" style="408" bestFit="1" customWidth="1"/>
    <col min="5" max="16384" width="8" style="408"/>
  </cols>
  <sheetData>
    <row r="1" spans="1:3" s="405" customFormat="1" ht="16.649999999999999" customHeight="1">
      <c r="A1" s="404" t="s">
        <v>662</v>
      </c>
      <c r="B1" s="404"/>
      <c r="C1" s="404"/>
    </row>
    <row r="2" spans="1:3" s="407" customFormat="1" ht="14.4" customHeight="1">
      <c r="A2" s="406" t="s">
        <v>236</v>
      </c>
      <c r="B2" s="406"/>
      <c r="C2" s="406"/>
    </row>
    <row r="3" spans="1:3" s="407" customFormat="1" ht="14.4" customHeight="1">
      <c r="A3" s="406" t="s">
        <v>722</v>
      </c>
      <c r="B3" s="406"/>
      <c r="C3" s="406"/>
    </row>
    <row r="4" spans="1:3" ht="13.35" customHeight="1"/>
    <row r="5" spans="1:3" s="412" customFormat="1" ht="12.15" customHeight="1">
      <c r="A5" s="410" t="s">
        <v>695</v>
      </c>
      <c r="B5" s="411" t="s">
        <v>665</v>
      </c>
      <c r="C5" s="411" t="s">
        <v>666</v>
      </c>
    </row>
    <row r="6" spans="1:3" ht="13.35" customHeight="1"/>
    <row r="7" spans="1:3" s="412" customFormat="1" ht="12.15" customHeight="1">
      <c r="A7" s="409" t="s">
        <v>667</v>
      </c>
      <c r="B7" s="409"/>
      <c r="C7" s="409"/>
    </row>
    <row r="8" spans="1:3" ht="10.95" customHeight="1">
      <c r="A8" s="421" t="s">
        <v>33</v>
      </c>
      <c r="B8" s="422">
        <v>94172341.829999998</v>
      </c>
      <c r="C8" s="422">
        <v>0</v>
      </c>
    </row>
    <row r="9" spans="1:3" ht="10.95" customHeight="1">
      <c r="A9" s="416" t="s">
        <v>668</v>
      </c>
      <c r="B9" s="417">
        <f>SUM(B8:B8)</f>
        <v>94172341.829999998</v>
      </c>
      <c r="C9" s="417">
        <f>SUM(C8:C8)</f>
        <v>0</v>
      </c>
    </row>
    <row r="10" spans="1:3" ht="13.35" customHeight="1"/>
    <row r="11" spans="1:3" s="412" customFormat="1" ht="12.15" customHeight="1">
      <c r="A11" s="409" t="s">
        <v>669</v>
      </c>
      <c r="B11" s="409"/>
      <c r="C11" s="409"/>
    </row>
    <row r="12" spans="1:3" ht="10.95" customHeight="1">
      <c r="A12" s="414" t="s">
        <v>35</v>
      </c>
      <c r="B12" s="415">
        <v>9038515.3900000006</v>
      </c>
      <c r="C12" s="415">
        <v>0</v>
      </c>
    </row>
    <row r="13" spans="1:3" ht="10.95" customHeight="1">
      <c r="A13" s="414" t="s">
        <v>49</v>
      </c>
      <c r="B13" s="415">
        <v>20108039.539999999</v>
      </c>
      <c r="C13" s="415">
        <v>0</v>
      </c>
    </row>
    <row r="14" spans="1:3" ht="10.95" customHeight="1">
      <c r="A14" s="414" t="s">
        <v>272</v>
      </c>
      <c r="B14" s="415">
        <v>1082814.1000000001</v>
      </c>
      <c r="C14" s="415">
        <v>0</v>
      </c>
    </row>
    <row r="15" spans="1:3" ht="10.95" customHeight="1">
      <c r="A15" s="416" t="s">
        <v>670</v>
      </c>
      <c r="B15" s="417">
        <f>SUM(B12:B14)</f>
        <v>30229369.030000001</v>
      </c>
      <c r="C15" s="417">
        <f>SUM(C12:C14)</f>
        <v>0</v>
      </c>
    </row>
    <row r="17" spans="1:3" s="412" customFormat="1" ht="12.15" customHeight="1">
      <c r="A17" s="409" t="s">
        <v>671</v>
      </c>
      <c r="B17" s="409"/>
      <c r="C17" s="409"/>
    </row>
    <row r="18" spans="1:3" ht="10.95" customHeight="1">
      <c r="A18" s="414" t="s">
        <v>673</v>
      </c>
      <c r="B18" s="415">
        <v>4437730.46</v>
      </c>
      <c r="C18" s="415">
        <v>0</v>
      </c>
    </row>
    <row r="19" spans="1:3" ht="10.95" customHeight="1">
      <c r="A19" s="414" t="s">
        <v>42</v>
      </c>
      <c r="B19" s="415">
        <v>161175.97</v>
      </c>
      <c r="C19" s="415">
        <v>0</v>
      </c>
    </row>
    <row r="20" spans="1:3" ht="10.95" customHeight="1">
      <c r="A20" s="414" t="s">
        <v>672</v>
      </c>
      <c r="B20" s="415">
        <v>237853.9</v>
      </c>
      <c r="C20" s="415">
        <v>0</v>
      </c>
    </row>
    <row r="21" spans="1:3" ht="10.95" customHeight="1">
      <c r="A21" s="416" t="s">
        <v>674</v>
      </c>
      <c r="B21" s="417">
        <f>SUM(B18:B20)</f>
        <v>4836760.33</v>
      </c>
      <c r="C21" s="417">
        <f>SUM(C18:C20)</f>
        <v>0</v>
      </c>
    </row>
    <row r="22" spans="1:3" ht="13.35" customHeight="1"/>
    <row r="23" spans="1:3" s="412" customFormat="1" ht="12.15" customHeight="1">
      <c r="A23" s="409" t="s">
        <v>675</v>
      </c>
      <c r="B23" s="409"/>
      <c r="C23" s="409"/>
    </row>
    <row r="24" spans="1:3" ht="10.95" customHeight="1">
      <c r="A24" s="421" t="s">
        <v>676</v>
      </c>
      <c r="B24" s="422">
        <v>7854532.5299999984</v>
      </c>
      <c r="C24" s="422">
        <v>0</v>
      </c>
    </row>
    <row r="25" spans="1:3" ht="10.95" customHeight="1">
      <c r="A25" s="416" t="s">
        <v>677</v>
      </c>
      <c r="B25" s="417">
        <f>SUM(B24:B24)</f>
        <v>7854532.5299999984</v>
      </c>
      <c r="C25" s="417">
        <f>SUM(C24:C24)</f>
        <v>0</v>
      </c>
    </row>
    <row r="26" spans="1:3" ht="13.35" customHeight="1"/>
    <row r="27" spans="1:3" ht="10.95" customHeight="1">
      <c r="A27" s="419" t="s">
        <v>164</v>
      </c>
      <c r="B27" s="420">
        <f>SUM(B9,B15,B21,B25)</f>
        <v>137093003.72</v>
      </c>
      <c r="C27" s="420">
        <f>SUM(C9,C15,C21,C25)</f>
        <v>0</v>
      </c>
    </row>
  </sheetData>
  <autoFilter ref="A11:C11" xr:uid="{00000000-0001-0000-0000-000000000000}">
    <sortState xmlns:xlrd2="http://schemas.microsoft.com/office/spreadsheetml/2017/richdata2" ref="A12:C43">
      <sortCondition ref="A11"/>
    </sortState>
  </autoFilter>
  <pageMargins left="0.7" right="0.7" top="0.75" bottom="0.75" header="0.3" footer="0.3"/>
  <pageSetup paperSize="9" fitToWidth="0" fitToHeight="0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58EA2-23D5-4F80-8B12-60B8A1974C31}">
  <dimension ref="A1:B29"/>
  <sheetViews>
    <sheetView showGridLines="0" zoomScaleNormal="100" workbookViewId="0">
      <selection activeCell="B17" sqref="A17:XFD17"/>
    </sheetView>
  </sheetViews>
  <sheetFormatPr baseColWidth="10" defaultColWidth="8" defaultRowHeight="14.4"/>
  <cols>
    <col min="1" max="1" width="73.88671875" bestFit="1" customWidth="1"/>
    <col min="2" max="2" width="10.109375" bestFit="1" customWidth="1"/>
  </cols>
  <sheetData>
    <row r="1" spans="1:2" s="448" customFormat="1" ht="16.649999999999999" customHeight="1">
      <c r="A1" s="447" t="s">
        <v>723</v>
      </c>
      <c r="B1" s="447"/>
    </row>
    <row r="2" spans="1:2" s="450" customFormat="1" ht="14.4" customHeight="1">
      <c r="A2" s="449" t="s">
        <v>236</v>
      </c>
      <c r="B2" s="449"/>
    </row>
    <row r="3" spans="1:2" s="450" customFormat="1" ht="14.4" customHeight="1">
      <c r="A3" s="449" t="s">
        <v>719</v>
      </c>
      <c r="B3" s="449"/>
    </row>
    <row r="4" spans="1:2" s="450" customFormat="1" ht="13.35" customHeight="1">
      <c r="A4" s="449" t="s">
        <v>724</v>
      </c>
      <c r="B4" s="449"/>
    </row>
    <row r="5" spans="1:2" ht="10.95" customHeight="1"/>
    <row r="6" spans="1:2" s="453" customFormat="1" ht="13.35" customHeight="1">
      <c r="A6" s="451" t="s">
        <v>690</v>
      </c>
      <c r="B6" s="452" t="s">
        <v>164</v>
      </c>
    </row>
    <row r="7" spans="1:2" ht="12.15" customHeight="1"/>
    <row r="8" spans="1:2" s="453" customFormat="1" ht="10.95" customHeight="1">
      <c r="A8" s="454" t="s">
        <v>725</v>
      </c>
      <c r="B8" s="454"/>
    </row>
    <row r="9" spans="1:2" ht="10.95" customHeight="1">
      <c r="A9" s="455" t="s">
        <v>715</v>
      </c>
      <c r="B9" s="456">
        <v>190631.57</v>
      </c>
    </row>
    <row r="10" spans="1:2" ht="10.95" customHeight="1">
      <c r="A10" s="457" t="s">
        <v>726</v>
      </c>
      <c r="B10" s="458">
        <f>B9</f>
        <v>190631.57</v>
      </c>
    </row>
    <row r="11" spans="1:2" ht="10.95" customHeight="1"/>
    <row r="12" spans="1:2" s="453" customFormat="1" ht="10.95" customHeight="1">
      <c r="A12" s="454" t="s">
        <v>727</v>
      </c>
      <c r="B12" s="454"/>
    </row>
    <row r="13" spans="1:2" ht="10.95" customHeight="1">
      <c r="A13" s="472" t="s">
        <v>373</v>
      </c>
      <c r="B13" s="473">
        <v>60314.2</v>
      </c>
    </row>
    <row r="14" spans="1:2" ht="10.95" customHeight="1">
      <c r="A14" s="459" t="s">
        <v>342</v>
      </c>
      <c r="B14" s="460">
        <v>158575</v>
      </c>
    </row>
    <row r="15" spans="1:2" ht="10.95" customHeight="1">
      <c r="A15" s="459" t="s">
        <v>327</v>
      </c>
      <c r="B15" s="460">
        <v>292109.02</v>
      </c>
    </row>
    <row r="16" spans="1:2" ht="10.95" customHeight="1">
      <c r="A16" s="459" t="s">
        <v>330</v>
      </c>
      <c r="B16" s="460">
        <v>166220</v>
      </c>
    </row>
    <row r="17" spans="1:2" ht="10.95" customHeight="1">
      <c r="A17" s="470" t="s">
        <v>365</v>
      </c>
      <c r="B17" s="471">
        <v>373780.56</v>
      </c>
    </row>
    <row r="18" spans="1:2" ht="10.95" customHeight="1">
      <c r="A18" s="459" t="s">
        <v>301</v>
      </c>
      <c r="B18" s="460">
        <v>636174</v>
      </c>
    </row>
    <row r="19" spans="1:2" ht="10.95" customHeight="1">
      <c r="A19" s="459" t="s">
        <v>728</v>
      </c>
      <c r="B19" s="460">
        <v>53100</v>
      </c>
    </row>
    <row r="20" spans="1:2">
      <c r="A20" s="457" t="s">
        <v>729</v>
      </c>
      <c r="B20" s="458">
        <f>SUM(B13:B19)</f>
        <v>1740272.78</v>
      </c>
    </row>
    <row r="22" spans="1:2" s="453" customFormat="1" ht="13.2">
      <c r="A22" s="454" t="s">
        <v>730</v>
      </c>
      <c r="B22" s="454"/>
    </row>
    <row r="23" spans="1:2">
      <c r="A23" s="455" t="s">
        <v>420</v>
      </c>
      <c r="B23" s="456">
        <v>376237.5</v>
      </c>
    </row>
    <row r="24" spans="1:2">
      <c r="A24" s="459" t="s">
        <v>424</v>
      </c>
      <c r="B24" s="460">
        <v>52800</v>
      </c>
    </row>
    <row r="25" spans="1:2">
      <c r="A25" s="457" t="s">
        <v>731</v>
      </c>
      <c r="B25" s="458">
        <f>SUM(B23:B24)</f>
        <v>429037.5</v>
      </c>
    </row>
    <row r="27" spans="1:2">
      <c r="A27" s="461" t="s">
        <v>164</v>
      </c>
      <c r="B27" s="462">
        <f>SUM(B10,B20,B25)</f>
        <v>2359941.85</v>
      </c>
    </row>
    <row r="29" spans="1:2">
      <c r="A29" s="461" t="s">
        <v>732</v>
      </c>
      <c r="B29" s="463">
        <f>(SUM(B10,B20,B25) / SUM(B10,B20,B25))</f>
        <v>1</v>
      </c>
    </row>
  </sheetData>
  <autoFilter ref="A7:B7" xr:uid="{00000000-0001-0000-0000-000000000000}"/>
  <pageMargins left="0.7" right="0.7" top="0.75" bottom="0.75" header="0.3" footer="0.3"/>
  <pageSetup paperSize="9" fitToWidth="0" fitToHeight="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F6917-19F3-4BE7-A1F4-8E72486F94BD}">
  <dimension ref="A1:E18"/>
  <sheetViews>
    <sheetView workbookViewId="0">
      <selection activeCell="B17" sqref="A17:XFD17"/>
    </sheetView>
  </sheetViews>
  <sheetFormatPr baseColWidth="10" defaultColWidth="11.44140625" defaultRowHeight="14.4"/>
  <cols>
    <col min="1" max="1" width="48.88671875" bestFit="1" customWidth="1"/>
    <col min="2" max="2" width="20.44140625" bestFit="1" customWidth="1"/>
    <col min="4" max="4" width="16.6640625" style="370" bestFit="1" customWidth="1"/>
    <col min="5" max="5" width="39.5546875" bestFit="1" customWidth="1"/>
  </cols>
  <sheetData>
    <row r="1" spans="1:5">
      <c r="A1" s="468" t="s">
        <v>707</v>
      </c>
      <c r="B1" s="468" t="s">
        <v>691</v>
      </c>
      <c r="C1" s="468" t="s">
        <v>708</v>
      </c>
      <c r="D1" s="469" t="s">
        <v>733</v>
      </c>
      <c r="E1" s="468" t="s">
        <v>710</v>
      </c>
    </row>
    <row r="2" spans="1:5">
      <c r="A2" t="s">
        <v>317</v>
      </c>
      <c r="B2" t="s">
        <v>734</v>
      </c>
      <c r="C2" s="193">
        <v>45504</v>
      </c>
      <c r="D2" s="370">
        <v>400</v>
      </c>
      <c r="E2" t="s">
        <v>712</v>
      </c>
    </row>
    <row r="3" spans="1:5">
      <c r="A3" t="s">
        <v>735</v>
      </c>
      <c r="B3" t="s">
        <v>736</v>
      </c>
      <c r="C3" s="193">
        <v>45469</v>
      </c>
      <c r="D3" s="370">
        <v>38250</v>
      </c>
      <c r="E3" t="s">
        <v>712</v>
      </c>
    </row>
    <row r="4" spans="1:5">
      <c r="A4" t="s">
        <v>737</v>
      </c>
      <c r="B4" t="s">
        <v>738</v>
      </c>
      <c r="C4" s="193">
        <v>45429</v>
      </c>
      <c r="D4" s="370">
        <v>40000</v>
      </c>
      <c r="E4" t="s">
        <v>712</v>
      </c>
    </row>
    <row r="5" spans="1:5">
      <c r="A5" t="s">
        <v>369</v>
      </c>
      <c r="B5" t="s">
        <v>713</v>
      </c>
      <c r="C5" s="193">
        <v>45266</v>
      </c>
      <c r="D5" s="370">
        <v>273000</v>
      </c>
      <c r="E5" t="s">
        <v>712</v>
      </c>
    </row>
    <row r="6" spans="1:5" s="464" customFormat="1">
      <c r="C6" s="465"/>
      <c r="D6" s="466">
        <f>SUM(D2:D5)</f>
        <v>351650</v>
      </c>
      <c r="E6" s="464" t="s">
        <v>712</v>
      </c>
    </row>
    <row r="7" spans="1:5">
      <c r="C7" s="193"/>
    </row>
    <row r="8" spans="1:5">
      <c r="A8" t="s">
        <v>404</v>
      </c>
      <c r="C8" s="193">
        <v>45392</v>
      </c>
      <c r="D8" s="370">
        <v>1050104.3200000001</v>
      </c>
      <c r="E8" t="s">
        <v>676</v>
      </c>
    </row>
    <row r="9" spans="1:5" s="464" customFormat="1">
      <c r="C9" s="465"/>
      <c r="D9" s="466">
        <f>SUM(D8)</f>
        <v>1050104.3200000001</v>
      </c>
      <c r="E9" s="464" t="s">
        <v>676</v>
      </c>
    </row>
    <row r="10" spans="1:5">
      <c r="C10" s="193"/>
    </row>
    <row r="11" spans="1:5">
      <c r="A11" t="s">
        <v>715</v>
      </c>
      <c r="B11" t="s">
        <v>716</v>
      </c>
      <c r="C11" s="193">
        <v>45510</v>
      </c>
      <c r="D11" s="370">
        <v>2025354.08</v>
      </c>
      <c r="E11" t="s">
        <v>739</v>
      </c>
    </row>
    <row r="12" spans="1:5" s="464" customFormat="1">
      <c r="C12" s="465"/>
      <c r="D12" s="466">
        <f>SUM(D11)</f>
        <v>2025354.08</v>
      </c>
      <c r="E12" s="464" t="s">
        <v>739</v>
      </c>
    </row>
    <row r="13" spans="1:5">
      <c r="C13" s="193"/>
    </row>
    <row r="14" spans="1:5">
      <c r="A14" t="s">
        <v>740</v>
      </c>
      <c r="C14" s="193">
        <v>45512</v>
      </c>
      <c r="D14" s="370">
        <v>747236.25</v>
      </c>
      <c r="E14" t="s">
        <v>673</v>
      </c>
    </row>
    <row r="15" spans="1:5">
      <c r="A15" t="s">
        <v>715</v>
      </c>
      <c r="B15" t="s">
        <v>716</v>
      </c>
      <c r="C15" s="193">
        <v>45510</v>
      </c>
      <c r="D15" s="370">
        <v>1674645.92</v>
      </c>
      <c r="E15" t="s">
        <v>673</v>
      </c>
    </row>
    <row r="16" spans="1:5" s="464" customFormat="1">
      <c r="D16" s="466">
        <f>SUM(D14:D15)</f>
        <v>2421882.17</v>
      </c>
      <c r="E16" s="464" t="s">
        <v>673</v>
      </c>
    </row>
    <row r="18" spans="4:4" ht="18">
      <c r="D18" s="467">
        <f>+D6+D9+D12+D16</f>
        <v>5848990.5700000003</v>
      </c>
    </row>
  </sheetData>
  <autoFilter ref="A1:E1" xr:uid="{8A0035D2-653C-4DF1-9623-B5FC46C4F7F2}">
    <sortState xmlns:xlrd2="http://schemas.microsoft.com/office/spreadsheetml/2017/richdata2" ref="A2:E9">
      <sortCondition ref="E1"/>
    </sortState>
  </autoFilter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BFAC2-586D-4076-8006-9655FAF640F9}">
  <sheetPr>
    <tabColor theme="5" tint="0.79998168889431442"/>
  </sheetPr>
  <dimension ref="A1:P43"/>
  <sheetViews>
    <sheetView showGridLines="0" zoomScale="90" zoomScaleNormal="90" workbookViewId="0">
      <selection activeCell="E17" sqref="E17"/>
    </sheetView>
  </sheetViews>
  <sheetFormatPr baseColWidth="10" defaultColWidth="11.44140625" defaultRowHeight="14.4"/>
  <cols>
    <col min="1" max="1" width="10.109375" customWidth="1"/>
    <col min="2" max="2" width="23.6640625" customWidth="1"/>
    <col min="3" max="3" width="20" bestFit="1" customWidth="1"/>
    <col min="4" max="4" width="16.5546875" bestFit="1" customWidth="1"/>
    <col min="5" max="5" width="18.88671875" bestFit="1" customWidth="1"/>
    <col min="6" max="6" width="18.88671875" customWidth="1"/>
    <col min="7" max="7" width="20" customWidth="1"/>
    <col min="8" max="8" width="18.88671875" customWidth="1"/>
    <col min="9" max="10" width="18.88671875" bestFit="1" customWidth="1"/>
    <col min="11" max="11" width="19.88671875" customWidth="1"/>
    <col min="12" max="12" width="21.5546875" bestFit="1" customWidth="1"/>
    <col min="13" max="13" width="16.109375" customWidth="1"/>
    <col min="14" max="14" width="18.5546875" customWidth="1"/>
    <col min="15" max="15" width="17" customWidth="1"/>
    <col min="16" max="18" width="15.44140625" bestFit="1" customWidth="1"/>
    <col min="19" max="19" width="14.44140625" bestFit="1" customWidth="1"/>
  </cols>
  <sheetData>
    <row r="1" spans="1:16" ht="21.6" customHeight="1">
      <c r="M1" s="2109" t="s">
        <v>185</v>
      </c>
      <c r="N1" s="2109"/>
      <c r="O1" s="2109"/>
      <c r="P1" s="2109"/>
    </row>
    <row r="2" spans="1:16" ht="15" thickBot="1">
      <c r="E2" s="181" t="s">
        <v>197</v>
      </c>
      <c r="F2" s="181"/>
      <c r="G2" s="181"/>
      <c r="H2" s="181"/>
      <c r="I2" s="181"/>
      <c r="J2" s="181" t="s">
        <v>199</v>
      </c>
      <c r="K2" s="181" t="s">
        <v>225</v>
      </c>
      <c r="L2" s="181"/>
      <c r="M2" s="2109"/>
      <c r="N2" s="2109"/>
      <c r="O2" s="2109"/>
      <c r="P2" s="2109"/>
    </row>
    <row r="3" spans="1:16" ht="15.6">
      <c r="B3" s="160" t="s">
        <v>278</v>
      </c>
      <c r="C3" s="62"/>
      <c r="D3" s="141">
        <v>59</v>
      </c>
      <c r="E3" s="2122" t="s">
        <v>145</v>
      </c>
      <c r="F3" s="2135" t="s">
        <v>650</v>
      </c>
      <c r="G3" s="2135" t="s">
        <v>651</v>
      </c>
      <c r="H3" s="2135" t="s">
        <v>652</v>
      </c>
      <c r="I3" s="2122" t="s">
        <v>227</v>
      </c>
      <c r="J3" s="2124" t="s">
        <v>228</v>
      </c>
      <c r="K3" s="2122" t="s">
        <v>146</v>
      </c>
      <c r="L3" s="2126"/>
      <c r="M3" s="183"/>
      <c r="N3" s="183"/>
      <c r="O3" s="183"/>
      <c r="P3" s="183"/>
    </row>
    <row r="4" spans="1:16" ht="16.2" thickBot="1">
      <c r="A4" s="152"/>
      <c r="B4" s="25" t="s">
        <v>29</v>
      </c>
      <c r="C4" s="25" t="s">
        <v>30</v>
      </c>
      <c r="D4" s="65" t="s">
        <v>31</v>
      </c>
      <c r="E4" s="2123"/>
      <c r="F4" s="2136"/>
      <c r="G4" s="2136"/>
      <c r="H4" s="2136"/>
      <c r="I4" s="2123"/>
      <c r="J4" s="2125"/>
      <c r="K4" s="2123"/>
      <c r="L4" s="2127"/>
      <c r="M4" s="183"/>
      <c r="N4" s="183"/>
      <c r="O4" s="183"/>
      <c r="P4" s="183"/>
    </row>
    <row r="5" spans="1:16" ht="15" thickBot="1">
      <c r="A5">
        <v>1</v>
      </c>
      <c r="B5" s="254" t="s">
        <v>33</v>
      </c>
      <c r="C5" s="256">
        <f>SUM('budget (11)'!D2:D3)</f>
        <v>103385169</v>
      </c>
      <c r="D5" s="257">
        <f>C5/D3</f>
        <v>1752291</v>
      </c>
      <c r="E5" s="258">
        <f>+'Finanzas 08.24'!C2</f>
        <v>94172341.829999998</v>
      </c>
      <c r="F5" s="258">
        <f>+'Resumen de Costos 08.24 '!B8</f>
        <v>94172341.829999998</v>
      </c>
      <c r="G5" s="258">
        <v>0</v>
      </c>
      <c r="H5" s="258"/>
      <c r="I5" s="258">
        <f>+F5-G5+H5</f>
        <v>94172341.829999998</v>
      </c>
      <c r="J5" s="259">
        <f>E5-I5</f>
        <v>0</v>
      </c>
      <c r="K5" s="260" t="e">
        <f>+#REF!-7030718.17</f>
        <v>#REF!</v>
      </c>
      <c r="L5" s="321" t="e">
        <f>C5-(E5+K5)</f>
        <v>#REF!</v>
      </c>
      <c r="M5" s="183"/>
      <c r="N5" s="183"/>
      <c r="O5" s="183"/>
      <c r="P5" s="183"/>
    </row>
    <row r="6" spans="1:16">
      <c r="B6" s="115" t="s">
        <v>35</v>
      </c>
      <c r="C6" s="116">
        <f>SUM('budget (11)'!D11:D24)</f>
        <v>451758999.99999994</v>
      </c>
      <c r="D6" s="117">
        <f>C6/$D$3</f>
        <v>7656932.20338983</v>
      </c>
      <c r="E6" s="132">
        <f>+'Finanzas 08.24'!C4</f>
        <v>11556815.18</v>
      </c>
      <c r="F6" s="132">
        <f>+'Resumen de Costos 08.24 '!B12</f>
        <v>9038515.3900000006</v>
      </c>
      <c r="G6" s="132"/>
      <c r="H6" s="132">
        <f>+'ANTICIPO 08.24'!D12</f>
        <v>2025354.08</v>
      </c>
      <c r="I6" s="132">
        <f>+F6-G6+H6</f>
        <v>11063869.470000001</v>
      </c>
      <c r="J6" s="125">
        <f t="shared" ref="J6:J20" si="0">E6-I6</f>
        <v>492945.70999999903</v>
      </c>
      <c r="K6" s="173" t="e">
        <f>+#REF!</f>
        <v>#REF!</v>
      </c>
      <c r="L6" s="322" t="e">
        <f t="shared" ref="L6:L20" si="1">C6-(E6+K6)</f>
        <v>#REF!</v>
      </c>
      <c r="M6" s="183"/>
      <c r="N6" s="184"/>
      <c r="O6" s="183"/>
      <c r="P6" s="183"/>
    </row>
    <row r="7" spans="1:16" ht="13.95" customHeight="1">
      <c r="B7" s="112" t="s">
        <v>38</v>
      </c>
      <c r="C7" s="113">
        <f>SUM('budget (11)'!D25:D39)</f>
        <v>1265953920</v>
      </c>
      <c r="D7" s="114">
        <f>C7/$D$3</f>
        <v>21456846.101694915</v>
      </c>
      <c r="E7" s="133">
        <f>SUM('budget (11)'!E25:E39)</f>
        <v>0</v>
      </c>
      <c r="F7" s="133"/>
      <c r="G7" s="133"/>
      <c r="H7" s="133"/>
      <c r="I7" s="133">
        <f t="shared" ref="I7:I9" si="2">+F7-G7+H7</f>
        <v>0</v>
      </c>
      <c r="J7" s="127">
        <f t="shared" si="0"/>
        <v>0</v>
      </c>
      <c r="K7" s="133" t="e">
        <f>+#REF!</f>
        <v>#REF!</v>
      </c>
      <c r="L7" s="323" t="e">
        <f t="shared" si="1"/>
        <v>#REF!</v>
      </c>
      <c r="M7" s="183"/>
      <c r="N7" s="184"/>
      <c r="O7" s="183"/>
      <c r="P7" s="183"/>
    </row>
    <row r="8" spans="1:16">
      <c r="B8" s="115" t="s">
        <v>148</v>
      </c>
      <c r="C8" s="118">
        <f>SUM('budget (11)'!D40:D41)</f>
        <v>171771292</v>
      </c>
      <c r="D8" s="117">
        <f>C8/$D$3</f>
        <v>2911377.8305084747</v>
      </c>
      <c r="E8" s="134">
        <f>+'Finanzas 08.24'!C6</f>
        <v>171771292</v>
      </c>
      <c r="F8" s="134">
        <f>+'Resumen de Costos 08.24 '!B14</f>
        <v>1082814.1000000001</v>
      </c>
      <c r="G8" s="134">
        <f>+'CXP 08.24'!B10</f>
        <v>190631.57</v>
      </c>
      <c r="H8" s="134"/>
      <c r="I8" s="134">
        <f>+F8-G8+H8</f>
        <v>892182.53</v>
      </c>
      <c r="J8" s="129">
        <f>E8-I8</f>
        <v>170879109.47</v>
      </c>
      <c r="K8" s="134" t="e">
        <f>+#REF!</f>
        <v>#REF!</v>
      </c>
      <c r="L8" s="324" t="e">
        <f t="shared" si="1"/>
        <v>#REF!</v>
      </c>
      <c r="M8" s="183"/>
      <c r="N8" s="184"/>
      <c r="O8" s="183"/>
      <c r="P8" s="183"/>
    </row>
    <row r="9" spans="1:16">
      <c r="B9" s="112" t="s">
        <v>40</v>
      </c>
      <c r="C9" s="113">
        <f>SUM('budget (11)'!D42)</f>
        <v>34354258</v>
      </c>
      <c r="D9" s="114">
        <f>C9/$D$3</f>
        <v>582275.55932203389</v>
      </c>
      <c r="E9" s="133">
        <f>SUM('budget (11)'!E42)</f>
        <v>0</v>
      </c>
      <c r="F9" s="133"/>
      <c r="G9" s="133"/>
      <c r="H9" s="133"/>
      <c r="I9" s="133">
        <f t="shared" si="2"/>
        <v>0</v>
      </c>
      <c r="J9" s="127">
        <f t="shared" si="0"/>
        <v>0</v>
      </c>
      <c r="K9" s="133" t="e">
        <f>+#REF!</f>
        <v>#REF!</v>
      </c>
      <c r="L9" s="323" t="e">
        <f t="shared" si="1"/>
        <v>#REF!</v>
      </c>
      <c r="M9" s="183"/>
      <c r="N9" s="184"/>
      <c r="O9" s="183"/>
      <c r="P9" s="183"/>
    </row>
    <row r="10" spans="1:16" ht="15" thickBot="1">
      <c r="B10" s="254" t="s">
        <v>41</v>
      </c>
      <c r="C10" s="261">
        <f t="shared" ref="C10:H10" si="3">SUM(C6:C9)</f>
        <v>1923838470</v>
      </c>
      <c r="D10" s="259">
        <f t="shared" si="3"/>
        <v>32607431.694915254</v>
      </c>
      <c r="E10" s="262">
        <f t="shared" si="3"/>
        <v>183328107.18000001</v>
      </c>
      <c r="F10" s="262">
        <f t="shared" si="3"/>
        <v>10121329.49</v>
      </c>
      <c r="G10" s="262">
        <f t="shared" si="3"/>
        <v>190631.57</v>
      </c>
      <c r="H10" s="262">
        <f t="shared" si="3"/>
        <v>2025354.08</v>
      </c>
      <c r="I10" s="262">
        <f>SUM(I6:I9)</f>
        <v>11956052</v>
      </c>
      <c r="J10" s="262">
        <f>SUM(J6:J9)</f>
        <v>171372055.18000001</v>
      </c>
      <c r="K10" s="263" t="e">
        <f>SUM(K6:K9)</f>
        <v>#REF!</v>
      </c>
      <c r="L10" s="325" t="e">
        <f t="shared" si="1"/>
        <v>#REF!</v>
      </c>
      <c r="M10" s="183"/>
      <c r="N10" s="184"/>
      <c r="O10" s="183"/>
      <c r="P10" s="183"/>
    </row>
    <row r="11" spans="1:16">
      <c r="B11" s="112" t="s">
        <v>42</v>
      </c>
      <c r="C11" s="163">
        <f>SUM('budget (11)'!D43)</f>
        <v>137417034</v>
      </c>
      <c r="D11" s="114">
        <f>C11/$D$3</f>
        <v>2329102.2711864407</v>
      </c>
      <c r="E11" s="179">
        <f>+'Finanzas 08.24'!C8</f>
        <v>137416238</v>
      </c>
      <c r="F11" s="179">
        <f>+'Resumen de Costos 08.24 '!B19</f>
        <v>161175.97</v>
      </c>
      <c r="G11" s="179"/>
      <c r="H11" s="179"/>
      <c r="I11" s="179">
        <f>+F11-G11+H11</f>
        <v>161175.97</v>
      </c>
      <c r="J11" s="179">
        <f t="shared" si="0"/>
        <v>137255062.03</v>
      </c>
      <c r="K11" s="177" t="e">
        <f>+#REF!</f>
        <v>#REF!</v>
      </c>
      <c r="L11" s="326" t="e">
        <f t="shared" si="1"/>
        <v>#REF!</v>
      </c>
      <c r="M11" s="183"/>
      <c r="N11" s="184"/>
      <c r="O11" s="183"/>
      <c r="P11" s="183"/>
    </row>
    <row r="12" spans="1:16">
      <c r="B12" s="115" t="s">
        <v>43</v>
      </c>
      <c r="C12" s="165">
        <f>SUM('budget (11)'!D45:D46)</f>
        <v>281704919</v>
      </c>
      <c r="D12" s="117">
        <f>C12/$D$3</f>
        <v>4774659.6440677969</v>
      </c>
      <c r="E12" s="178">
        <f>+'Finanzas 08.24'!C9</f>
        <v>35151584</v>
      </c>
      <c r="F12" s="178"/>
      <c r="G12" s="178"/>
      <c r="H12" s="178"/>
      <c r="I12" s="178">
        <f t="shared" ref="I12:I15" si="4">+F12-G12+H12</f>
        <v>0</v>
      </c>
      <c r="J12" s="178">
        <f t="shared" si="0"/>
        <v>35151584</v>
      </c>
      <c r="K12" s="178" t="e">
        <f>+#REF!</f>
        <v>#REF!</v>
      </c>
      <c r="L12" s="327" t="e">
        <f t="shared" si="1"/>
        <v>#REF!</v>
      </c>
      <c r="M12" s="183"/>
      <c r="N12" s="184"/>
      <c r="O12" s="183"/>
      <c r="P12" s="183"/>
    </row>
    <row r="13" spans="1:16">
      <c r="B13" s="112" t="s">
        <v>44</v>
      </c>
      <c r="C13" s="163">
        <f>SUM('budget (11)'!D47)</f>
        <v>67334346</v>
      </c>
      <c r="D13" s="114">
        <f>C13/$D$3</f>
        <v>1141260.1016949152</v>
      </c>
      <c r="E13" s="179">
        <f>+'Finanzas 08.24'!C10</f>
        <v>237853.9</v>
      </c>
      <c r="F13" s="179">
        <f>+'Resumen de Costos 08.24 '!B20</f>
        <v>237853.9</v>
      </c>
      <c r="G13" s="179"/>
      <c r="H13" s="179"/>
      <c r="I13" s="179">
        <f t="shared" si="4"/>
        <v>237853.9</v>
      </c>
      <c r="J13" s="179">
        <f t="shared" si="0"/>
        <v>0</v>
      </c>
      <c r="K13" s="179" t="e">
        <f>+#REF!</f>
        <v>#REF!</v>
      </c>
      <c r="L13" s="327" t="e">
        <f t="shared" si="1"/>
        <v>#REF!</v>
      </c>
      <c r="M13" s="183"/>
      <c r="N13" s="184"/>
      <c r="O13" s="183"/>
      <c r="P13" s="183"/>
    </row>
    <row r="14" spans="1:16">
      <c r="A14">
        <v>1</v>
      </c>
      <c r="B14" s="115" t="s">
        <v>45</v>
      </c>
      <c r="C14" s="165">
        <f>SUM('budget (11)'!D48:D49)</f>
        <v>51531387.949999996</v>
      </c>
      <c r="D14" s="117">
        <f>C14/$D$3</f>
        <v>873413.35508474568</v>
      </c>
      <c r="E14" s="178">
        <f>+'Finanzas 08.24'!C11</f>
        <v>9589709</v>
      </c>
      <c r="F14" s="178">
        <f>+'Resumen de Costos 08.24 '!B18</f>
        <v>4437730.46</v>
      </c>
      <c r="G14" s="178">
        <f>+'CXP 08.24'!B25</f>
        <v>429037.5</v>
      </c>
      <c r="H14" s="178">
        <f>+'ANTICIPO 08.24'!D16</f>
        <v>2421882.17</v>
      </c>
      <c r="I14" s="178">
        <f t="shared" si="4"/>
        <v>6430575.1299999999</v>
      </c>
      <c r="J14" s="178">
        <f t="shared" si="0"/>
        <v>3159133.87</v>
      </c>
      <c r="K14" s="178" t="e">
        <f>+#REF!</f>
        <v>#REF!</v>
      </c>
      <c r="L14" s="327" t="e">
        <f t="shared" si="1"/>
        <v>#REF!</v>
      </c>
      <c r="M14" s="183"/>
      <c r="N14" s="184"/>
      <c r="O14" s="183"/>
      <c r="P14" s="183"/>
    </row>
    <row r="15" spans="1:16">
      <c r="B15" s="112" t="s">
        <v>46</v>
      </c>
      <c r="C15" s="163">
        <f>SUM('budget (11)'!D50)</f>
        <v>19238385</v>
      </c>
      <c r="D15" s="114">
        <f>C15/$D$3</f>
        <v>326074.32203389832</v>
      </c>
      <c r="E15" s="179">
        <f>SUM('budget (11)'!E50)</f>
        <v>0</v>
      </c>
      <c r="F15" s="179"/>
      <c r="G15" s="179"/>
      <c r="H15" s="179"/>
      <c r="I15" s="179">
        <f t="shared" si="4"/>
        <v>0</v>
      </c>
      <c r="J15" s="179">
        <f t="shared" si="0"/>
        <v>0</v>
      </c>
      <c r="K15" s="179" t="e">
        <f>+#REF!</f>
        <v>#REF!</v>
      </c>
      <c r="L15" s="327" t="e">
        <f t="shared" si="1"/>
        <v>#REF!</v>
      </c>
      <c r="M15" s="183"/>
      <c r="N15" s="184"/>
      <c r="O15" s="183"/>
      <c r="P15" s="183"/>
    </row>
    <row r="16" spans="1:16" ht="15" thickBot="1">
      <c r="B16" s="254" t="s">
        <v>47</v>
      </c>
      <c r="C16" s="261">
        <f t="shared" ref="C16:J16" si="5">SUM(C11:C15)</f>
        <v>557226071.95000005</v>
      </c>
      <c r="D16" s="259">
        <f t="shared" si="5"/>
        <v>9444509.6940677967</v>
      </c>
      <c r="E16" s="262">
        <f t="shared" si="5"/>
        <v>182395384.90000001</v>
      </c>
      <c r="F16" s="262">
        <f t="shared" si="5"/>
        <v>4836760.33</v>
      </c>
      <c r="G16" s="262">
        <f t="shared" si="5"/>
        <v>429037.5</v>
      </c>
      <c r="H16" s="262">
        <f t="shared" si="5"/>
        <v>2421882.17</v>
      </c>
      <c r="I16" s="262">
        <f t="shared" si="5"/>
        <v>6829605</v>
      </c>
      <c r="J16" s="262">
        <f t="shared" si="5"/>
        <v>175565779.90000001</v>
      </c>
      <c r="K16" s="263" t="e">
        <f t="shared" ref="K16" si="6">SUM(K11:K15)</f>
        <v>#REF!</v>
      </c>
      <c r="L16" s="325" t="e">
        <f t="shared" si="1"/>
        <v>#REF!</v>
      </c>
      <c r="M16" s="183"/>
      <c r="N16" s="184"/>
      <c r="O16" s="183"/>
      <c r="P16" s="183"/>
    </row>
    <row r="17" spans="1:16">
      <c r="B17" s="112" t="s">
        <v>48</v>
      </c>
      <c r="C17" s="401">
        <f>SUM('budget (11)'!D51:D52)</f>
        <v>15000000</v>
      </c>
      <c r="D17" s="77">
        <f>C17/$D$3</f>
        <v>254237.28813559323</v>
      </c>
      <c r="E17" s="402">
        <v>18740000</v>
      </c>
      <c r="F17" s="402">
        <f>+'Resumen de Costos 07.24 '!B24</f>
        <v>7854532.5300000003</v>
      </c>
      <c r="G17" s="402"/>
      <c r="H17" s="402">
        <f>+'ANTICIPO 08.24'!D9</f>
        <v>1050104.3200000001</v>
      </c>
      <c r="I17" s="402">
        <f>+F17-G17+H17</f>
        <v>8904636.8499999996</v>
      </c>
      <c r="J17" s="179">
        <f t="shared" si="0"/>
        <v>9835363.1500000004</v>
      </c>
      <c r="K17" s="177" t="e">
        <f>+#REF!</f>
        <v>#REF!</v>
      </c>
      <c r="L17" s="326" t="e">
        <f>C17-(E17+K17)</f>
        <v>#REF!</v>
      </c>
      <c r="M17" s="183"/>
      <c r="N17" s="184"/>
      <c r="O17" s="183"/>
      <c r="P17" s="185"/>
    </row>
    <row r="18" spans="1:16">
      <c r="B18" s="115" t="s">
        <v>49</v>
      </c>
      <c r="C18" s="165">
        <f>SUM('budget (11)'!D4:D10)</f>
        <v>20789999.999999996</v>
      </c>
      <c r="D18" s="117">
        <f>C18/$D$3</f>
        <v>352372.88135593216</v>
      </c>
      <c r="E18" s="178">
        <f>+'Finanzas 08.24'!C3</f>
        <v>20784947.59</v>
      </c>
      <c r="F18" s="178">
        <f>+'Resumen de Costos 08.24 '!B13</f>
        <v>20108039.539999999</v>
      </c>
      <c r="G18" s="178">
        <f>+'CXP 08.24'!B20</f>
        <v>1740272.78</v>
      </c>
      <c r="H18" s="178">
        <f>+'ANTICIPO 08.24'!D6</f>
        <v>351650</v>
      </c>
      <c r="I18" s="178">
        <f t="shared" ref="I18:I20" si="7">+F18-G18+H18</f>
        <v>18719416.759999998</v>
      </c>
      <c r="J18" s="178">
        <f t="shared" si="0"/>
        <v>2065530.8300000019</v>
      </c>
      <c r="K18" s="178" t="e">
        <f>+#REF!</f>
        <v>#REF!</v>
      </c>
      <c r="L18" s="327" t="e">
        <f>C18-(E18+K18)</f>
        <v>#REF!</v>
      </c>
      <c r="M18" s="183"/>
      <c r="N18" s="184"/>
      <c r="O18" s="183"/>
      <c r="P18" s="183"/>
    </row>
    <row r="19" spans="1:16">
      <c r="B19" s="112" t="s">
        <v>50</v>
      </c>
      <c r="C19" s="163">
        <f>SUM('budget (11)'!D54)</f>
        <v>192383847</v>
      </c>
      <c r="D19" s="114">
        <f>C19/$D$3</f>
        <v>3260743.1694915253</v>
      </c>
      <c r="E19" s="179">
        <f>SUM('budget (11)'!E54)</f>
        <v>0</v>
      </c>
      <c r="F19" s="179"/>
      <c r="G19" s="179"/>
      <c r="H19" s="179"/>
      <c r="I19" s="179">
        <f t="shared" si="7"/>
        <v>0</v>
      </c>
      <c r="J19" s="179">
        <f t="shared" si="0"/>
        <v>0</v>
      </c>
      <c r="K19" s="179" t="e">
        <f>+#REF!</f>
        <v>#REF!</v>
      </c>
      <c r="L19" s="327" t="e">
        <f t="shared" si="1"/>
        <v>#REF!</v>
      </c>
      <c r="M19" s="183"/>
      <c r="N19" s="184"/>
      <c r="O19" s="183"/>
      <c r="P19" s="183"/>
    </row>
    <row r="20" spans="1:16">
      <c r="B20" s="115" t="s">
        <v>51</v>
      </c>
      <c r="C20" s="165">
        <f>SUM('budget (11)'!D53)</f>
        <v>19238385</v>
      </c>
      <c r="D20" s="117">
        <f>C20/$D$3</f>
        <v>326074.32203389832</v>
      </c>
      <c r="E20" s="178">
        <f>SUM('budget (11)'!E53)</f>
        <v>0</v>
      </c>
      <c r="F20" s="178"/>
      <c r="G20" s="178"/>
      <c r="H20" s="178"/>
      <c r="I20" s="178">
        <f t="shared" si="7"/>
        <v>0</v>
      </c>
      <c r="J20" s="178">
        <f t="shared" si="0"/>
        <v>0</v>
      </c>
      <c r="K20" s="178" t="e">
        <f>+#REF!</f>
        <v>#REF!</v>
      </c>
      <c r="L20" s="327" t="e">
        <f t="shared" si="1"/>
        <v>#REF!</v>
      </c>
      <c r="M20" s="183"/>
      <c r="N20" s="184"/>
      <c r="O20" s="183"/>
      <c r="P20" s="183"/>
    </row>
    <row r="21" spans="1:16" ht="15" thickBot="1">
      <c r="B21" s="254" t="s">
        <v>52</v>
      </c>
      <c r="C21" s="261">
        <f t="shared" ref="C21:J21" si="8">SUM(C17:C20)</f>
        <v>247412232</v>
      </c>
      <c r="D21" s="259">
        <f t="shared" si="8"/>
        <v>4193427.661016949</v>
      </c>
      <c r="E21" s="262">
        <f t="shared" si="8"/>
        <v>39524947.590000004</v>
      </c>
      <c r="F21" s="262">
        <f t="shared" si="8"/>
        <v>27962572.07</v>
      </c>
      <c r="G21" s="262">
        <f t="shared" si="8"/>
        <v>1740272.78</v>
      </c>
      <c r="H21" s="262">
        <f t="shared" si="8"/>
        <v>1401754.32</v>
      </c>
      <c r="I21" s="262">
        <f t="shared" si="8"/>
        <v>27624053.609999999</v>
      </c>
      <c r="J21" s="262">
        <f t="shared" si="8"/>
        <v>11900893.980000002</v>
      </c>
      <c r="K21" s="263" t="e">
        <f t="shared" ref="K21" si="9">SUM(K17:K20)</f>
        <v>#REF!</v>
      </c>
      <c r="L21" s="325" t="e">
        <f>C21-(E21+K21)</f>
        <v>#REF!</v>
      </c>
      <c r="M21" s="183"/>
      <c r="N21" s="184"/>
      <c r="O21" s="183"/>
      <c r="P21" s="183"/>
    </row>
    <row r="22" spans="1:16" ht="18.600000000000001" thickBot="1">
      <c r="B22" s="333" t="s">
        <v>229</v>
      </c>
      <c r="C22" s="331">
        <f>C5+C10+C16+C21</f>
        <v>2831861942.9499998</v>
      </c>
      <c r="D22" s="332">
        <f>D5+D10+D16+D21</f>
        <v>47997660.049999997</v>
      </c>
      <c r="E22" s="329">
        <f t="shared" ref="E22:J22" si="10">E21+E16+E10+E5</f>
        <v>499420781.5</v>
      </c>
      <c r="F22" s="329">
        <f t="shared" si="10"/>
        <v>137093003.72</v>
      </c>
      <c r="G22" s="329">
        <f t="shared" si="10"/>
        <v>2359941.85</v>
      </c>
      <c r="H22" s="329">
        <f t="shared" si="10"/>
        <v>5848990.5700000003</v>
      </c>
      <c r="I22" s="329">
        <f t="shared" si="10"/>
        <v>140582052.44</v>
      </c>
      <c r="J22" s="329">
        <f t="shared" si="10"/>
        <v>358838729.06</v>
      </c>
      <c r="K22" s="329" t="e">
        <f t="shared" ref="K22" si="11">K21+K16+K10+K5</f>
        <v>#REF!</v>
      </c>
      <c r="L22" s="328" t="e">
        <f>L21+L16+L10+L5</f>
        <v>#REF!</v>
      </c>
      <c r="M22" s="183"/>
      <c r="N22" s="184"/>
      <c r="O22" s="183"/>
      <c r="P22" s="183"/>
    </row>
    <row r="23" spans="1:16" ht="15" thickBot="1">
      <c r="D23" s="368"/>
      <c r="E23" s="369">
        <f>+E22-E8-E11-E12</f>
        <v>155081667.5</v>
      </c>
      <c r="F23" s="369"/>
      <c r="G23" s="369"/>
      <c r="H23" s="369"/>
      <c r="I23" s="369"/>
      <c r="J23" s="320">
        <f>J17</f>
        <v>9835363.1500000004</v>
      </c>
      <c r="K23" s="368"/>
    </row>
    <row r="24" spans="1:16" ht="15" thickBot="1">
      <c r="E24" s="368">
        <v>12132268.5</v>
      </c>
      <c r="F24" s="368"/>
      <c r="G24" s="434" t="s">
        <v>653</v>
      </c>
      <c r="H24" s="435">
        <f>+'BCE 08.24'!C37</f>
        <v>159695773.63999999</v>
      </c>
      <c r="I24" s="368">
        <v>160000000</v>
      </c>
      <c r="J24" s="142"/>
      <c r="K24" t="s">
        <v>230</v>
      </c>
      <c r="L24" s="368"/>
      <c r="N24" s="186" t="s">
        <v>189</v>
      </c>
      <c r="O24" s="190">
        <v>2831861942.3920002</v>
      </c>
    </row>
    <row r="25" spans="1:16" ht="15" thickBot="1">
      <c r="D25" s="320"/>
      <c r="E25" s="474">
        <f>+E17-E24</f>
        <v>6607731.5</v>
      </c>
      <c r="G25" s="436" t="s">
        <v>654</v>
      </c>
      <c r="H25" s="437">
        <f>-'BCE 08.24'!C11</f>
        <v>-20050821.109999999</v>
      </c>
      <c r="I25" s="108">
        <f>I24-I22</f>
        <v>19417947.560000002</v>
      </c>
      <c r="J25" s="320">
        <f>E18-I18</f>
        <v>2065530.8300000019</v>
      </c>
      <c r="K25" t="s">
        <v>231</v>
      </c>
      <c r="N25" s="188" t="s">
        <v>190</v>
      </c>
      <c r="O25" s="189">
        <f>C22</f>
        <v>2831861942.9499998</v>
      </c>
    </row>
    <row r="26" spans="1:16" ht="15" thickBot="1">
      <c r="E26" s="474">
        <f>+E22-E25</f>
        <v>492813050</v>
      </c>
      <c r="G26" s="441" t="s">
        <v>655</v>
      </c>
      <c r="H26" s="442">
        <f>+'BCE 08.24'!C27+'BCE 08.24'!C28+'BCE 08.24'!C29+'BCE 08.24'!C30</f>
        <v>594069.04</v>
      </c>
      <c r="I26" s="370">
        <f>+J13+J14+J17+J18+J6</f>
        <v>15552973.560000001</v>
      </c>
      <c r="J26" s="320">
        <f>E14-I14</f>
        <v>3159133.87</v>
      </c>
      <c r="K26" t="s">
        <v>232</v>
      </c>
      <c r="N26" s="187" t="s">
        <v>191</v>
      </c>
      <c r="O26" s="191">
        <f>O24-O25</f>
        <v>-0.55799961090087891</v>
      </c>
    </row>
    <row r="27" spans="1:16" ht="15" thickBot="1">
      <c r="E27" t="s">
        <v>233</v>
      </c>
      <c r="G27" s="438" t="s">
        <v>656</v>
      </c>
      <c r="H27" s="439">
        <f>SUM(H24:H26)</f>
        <v>140239021.56999996</v>
      </c>
      <c r="I27" s="445">
        <f>I25-I26</f>
        <v>3864974.0000000019</v>
      </c>
    </row>
    <row r="28" spans="1:16">
      <c r="G28" s="440" t="s">
        <v>657</v>
      </c>
      <c r="H28" s="370">
        <f>+I22</f>
        <v>140582052.44</v>
      </c>
    </row>
    <row r="29" spans="1:16">
      <c r="G29" s="443" t="s">
        <v>658</v>
      </c>
      <c r="H29" s="443">
        <f>+H27-H28</f>
        <v>-343030.87000003457</v>
      </c>
      <c r="I29" s="444">
        <f>+'BCE 08.24'!C38+'PRESENTACIÓN Al 31082024'!H29</f>
        <v>-340630.00000003458</v>
      </c>
    </row>
    <row r="30" spans="1:16">
      <c r="A30" s="192"/>
      <c r="B30" s="192"/>
      <c r="C30" s="192"/>
      <c r="D30" s="192"/>
      <c r="E30" s="192"/>
      <c r="F30" s="192"/>
      <c r="G30" s="192"/>
      <c r="H30" s="192"/>
      <c r="I30" s="192"/>
      <c r="J30" s="192"/>
      <c r="K30" s="192"/>
      <c r="L30" s="192"/>
      <c r="M30" s="192"/>
      <c r="N30" s="192"/>
      <c r="O30" s="192"/>
      <c r="P30" s="192"/>
    </row>
    <row r="32" spans="1:16">
      <c r="B32" s="254" t="s">
        <v>47</v>
      </c>
    </row>
    <row r="33" spans="2:4">
      <c r="B33" s="112" t="s">
        <v>48</v>
      </c>
    </row>
    <row r="34" spans="2:4">
      <c r="B34" s="115" t="s">
        <v>49</v>
      </c>
    </row>
    <row r="35" spans="2:4">
      <c r="B35" s="112" t="s">
        <v>50</v>
      </c>
    </row>
    <row r="36" spans="2:4">
      <c r="B36" s="115" t="s">
        <v>51</v>
      </c>
    </row>
    <row r="37" spans="2:4">
      <c r="B37" s="254" t="s">
        <v>52</v>
      </c>
    </row>
    <row r="38" spans="2:4" ht="18.600000000000001" thickBot="1">
      <c r="B38" s="333" t="s">
        <v>229</v>
      </c>
    </row>
    <row r="40" spans="2:4" ht="15" thickBot="1"/>
    <row r="41" spans="2:4">
      <c r="B41" s="335" t="s">
        <v>234</v>
      </c>
      <c r="C41" s="336">
        <v>160000000</v>
      </c>
      <c r="D41" s="337"/>
    </row>
    <row r="42" spans="2:4">
      <c r="B42" s="112" t="s">
        <v>153</v>
      </c>
      <c r="C42" s="403">
        <f>I22+I26</f>
        <v>156135026</v>
      </c>
      <c r="D42" s="338">
        <f>C42/C41</f>
        <v>0.97584391250000002</v>
      </c>
    </row>
    <row r="43" spans="2:4" ht="15" thickBot="1">
      <c r="B43" s="339" t="s">
        <v>154</v>
      </c>
      <c r="C43" s="340">
        <f>C41-C42</f>
        <v>3864974</v>
      </c>
      <c r="D43" s="341">
        <f>C43/C41</f>
        <v>2.4156087499999999E-2</v>
      </c>
    </row>
  </sheetData>
  <mergeCells count="9">
    <mergeCell ref="M1:P2"/>
    <mergeCell ref="E3:E4"/>
    <mergeCell ref="F3:F4"/>
    <mergeCell ref="G3:G4"/>
    <mergeCell ref="H3:H4"/>
    <mergeCell ref="I3:I4"/>
    <mergeCell ref="J3:J4"/>
    <mergeCell ref="K3:K4"/>
    <mergeCell ref="L3:L4"/>
  </mergeCells>
  <conditionalFormatting sqref="M6:M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M9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M12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M14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M18">
    <cfRule type="iconSet" priority="2">
      <iconSet iconSet="3Arrows">
        <cfvo type="percent" val="0"/>
        <cfvo type="percent" val="45"/>
        <cfvo type="percent" val="80"/>
      </iconSet>
    </cfRule>
  </conditionalFormatting>
  <conditionalFormatting sqref="M20">
    <cfRule type="iconSet" priority="1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1C352-2242-4A04-86E4-25A7618C98A0}">
  <dimension ref="B2:K43"/>
  <sheetViews>
    <sheetView showGridLines="0" topLeftCell="A15" zoomScaleNormal="100" workbookViewId="0">
      <selection activeCell="B17" sqref="A17:XFD17"/>
    </sheetView>
  </sheetViews>
  <sheetFormatPr baseColWidth="10" defaultColWidth="11.44140625" defaultRowHeight="14.4"/>
  <cols>
    <col min="1" max="1" width="18.6640625" customWidth="1"/>
    <col min="2" max="2" width="29.5546875" bestFit="1" customWidth="1"/>
    <col min="3" max="3" width="18.44140625" bestFit="1" customWidth="1"/>
    <col min="4" max="4" width="18" bestFit="1" customWidth="1"/>
    <col min="5" max="6" width="16.88671875" bestFit="1" customWidth="1"/>
    <col min="7" max="11" width="17" bestFit="1" customWidth="1"/>
  </cols>
  <sheetData>
    <row r="2" spans="2:11">
      <c r="D2">
        <v>59.9</v>
      </c>
    </row>
    <row r="3" spans="2:11">
      <c r="B3" s="142">
        <v>160000000</v>
      </c>
      <c r="C3" s="162">
        <f>B3-C4</f>
        <v>65967960.159999996</v>
      </c>
      <c r="D3" s="162">
        <f>C3-(SUM(D5:D8))</f>
        <v>41084982.207438283</v>
      </c>
    </row>
    <row r="4" spans="2:11" ht="15" thickBot="1">
      <c r="B4" s="284" t="s">
        <v>259</v>
      </c>
      <c r="C4" s="142">
        <v>94032039.840000004</v>
      </c>
      <c r="D4" s="142"/>
    </row>
    <row r="5" spans="2:11" ht="15.6" thickTop="1" thickBot="1">
      <c r="B5" s="284" t="s">
        <v>260</v>
      </c>
      <c r="C5" s="142"/>
      <c r="D5" s="162">
        <f>D10*$D$2</f>
        <v>9215810.2113617156</v>
      </c>
    </row>
    <row r="6" spans="2:11" ht="15.6" thickTop="1" thickBot="1">
      <c r="B6" s="285" t="s">
        <v>261</v>
      </c>
      <c r="C6" s="142"/>
      <c r="D6" s="162">
        <f t="shared" ref="D6:D8" si="0">D11*$D$2</f>
        <v>781278.0959999999</v>
      </c>
    </row>
    <row r="7" spans="2:11" ht="15.6" thickTop="1" thickBot="1">
      <c r="B7" s="285" t="s">
        <v>149</v>
      </c>
      <c r="C7" s="142"/>
      <c r="D7" s="162">
        <f t="shared" si="0"/>
        <v>11511123.645199999</v>
      </c>
    </row>
    <row r="8" spans="2:11" ht="15.6" thickTop="1" thickBot="1">
      <c r="B8" s="285" t="s">
        <v>262</v>
      </c>
      <c r="C8" s="142"/>
      <c r="D8" s="162">
        <f t="shared" si="0"/>
        <v>3374766</v>
      </c>
    </row>
    <row r="9" spans="2:11" ht="15" thickTop="1"/>
    <row r="10" spans="2:11">
      <c r="D10" s="142">
        <v>153853.25895428573</v>
      </c>
    </row>
    <row r="11" spans="2:11">
      <c r="D11" s="142">
        <v>13043.039999999999</v>
      </c>
    </row>
    <row r="12" spans="2:11">
      <c r="D12" s="142">
        <v>192172.348</v>
      </c>
    </row>
    <row r="13" spans="2:11">
      <c r="D13" s="142">
        <v>56340</v>
      </c>
    </row>
    <row r="16" spans="2:11" ht="31.2">
      <c r="B16" s="342"/>
      <c r="C16" s="343" t="s">
        <v>263</v>
      </c>
      <c r="D16" s="344" t="s">
        <v>741</v>
      </c>
      <c r="E16" s="343">
        <v>45536</v>
      </c>
      <c r="F16" s="343">
        <v>45566</v>
      </c>
      <c r="G16" s="343">
        <v>45597</v>
      </c>
      <c r="H16" s="343">
        <v>45627</v>
      </c>
      <c r="I16" s="343">
        <v>45658</v>
      </c>
      <c r="J16" s="343">
        <v>45689</v>
      </c>
      <c r="K16" s="343">
        <v>45717</v>
      </c>
    </row>
    <row r="17" spans="2:11" ht="15.6">
      <c r="B17" s="345" t="s">
        <v>265</v>
      </c>
      <c r="C17" s="346">
        <v>160000000</v>
      </c>
      <c r="D17" s="347"/>
      <c r="E17" s="347"/>
      <c r="F17" s="347"/>
      <c r="G17" s="347"/>
      <c r="H17" s="347"/>
      <c r="I17" s="347"/>
      <c r="J17" s="347"/>
      <c r="K17" s="347"/>
    </row>
    <row r="18" spans="2:11" ht="15.6">
      <c r="B18" s="345" t="s">
        <v>266</v>
      </c>
      <c r="C18" s="152"/>
      <c r="D18" s="348">
        <f>C17-D19</f>
        <v>19417947.560000002</v>
      </c>
      <c r="E18" s="348">
        <f>D18-E19</f>
        <v>13916161.062500004</v>
      </c>
      <c r="F18" s="348">
        <f>E18-F19</f>
        <v>3441789.4450000022</v>
      </c>
      <c r="G18" s="348">
        <f t="shared" ref="G18:K18" si="1">F18-G19</f>
        <v>-1367051.3424999975</v>
      </c>
      <c r="H18" s="348">
        <f t="shared" si="1"/>
        <v>-5775892.1299999971</v>
      </c>
      <c r="I18" s="348">
        <f t="shared" si="1"/>
        <v>-7725892.1299999971</v>
      </c>
      <c r="J18" s="348">
        <f t="shared" si="1"/>
        <v>-9675892.1299999971</v>
      </c>
      <c r="K18" s="348">
        <f t="shared" si="1"/>
        <v>-11625892.129999997</v>
      </c>
    </row>
    <row r="19" spans="2:11" ht="15.6">
      <c r="B19" s="345" t="s">
        <v>267</v>
      </c>
      <c r="C19" s="349"/>
      <c r="D19" s="346">
        <f>SUM(D21:D31)</f>
        <v>140582052.44</v>
      </c>
      <c r="E19" s="346">
        <f>SUM(E21:E31)</f>
        <v>5501786.4974999987</v>
      </c>
      <c r="F19" s="346">
        <f t="shared" ref="F19:K19" si="2">SUM(F21:F31)</f>
        <v>10474371.617500002</v>
      </c>
      <c r="G19" s="346">
        <f t="shared" si="2"/>
        <v>4808840.7874999996</v>
      </c>
      <c r="H19" s="346">
        <f t="shared" si="2"/>
        <v>4408840.7874999996</v>
      </c>
      <c r="I19" s="346">
        <f t="shared" si="2"/>
        <v>1950000</v>
      </c>
      <c r="J19" s="346">
        <f t="shared" si="2"/>
        <v>1950000</v>
      </c>
      <c r="K19" s="346">
        <f t="shared" si="2"/>
        <v>1950000</v>
      </c>
    </row>
    <row r="20" spans="2:11" ht="2.4" customHeight="1">
      <c r="B20" s="350"/>
      <c r="C20" s="351"/>
      <c r="D20" s="352"/>
      <c r="E20" s="352"/>
      <c r="F20" s="352"/>
      <c r="G20" s="352"/>
      <c r="H20" s="352"/>
      <c r="I20" s="352"/>
      <c r="J20" s="352"/>
      <c r="K20" s="352"/>
    </row>
    <row r="21" spans="2:11" ht="15.6">
      <c r="B21" s="353" t="s">
        <v>259</v>
      </c>
      <c r="C21" s="354"/>
      <c r="D21" s="355">
        <f>+'PRESENTACIÓN Al 31082024'!I5</f>
        <v>94172341.829999998</v>
      </c>
      <c r="E21" s="355"/>
      <c r="F21" s="355"/>
      <c r="G21" s="355"/>
      <c r="H21" s="355"/>
      <c r="I21" s="355"/>
      <c r="J21" s="355"/>
      <c r="K21" s="355"/>
    </row>
    <row r="22" spans="2:11" ht="15.6">
      <c r="B22" s="356" t="s">
        <v>260</v>
      </c>
      <c r="C22" s="349"/>
      <c r="D22" s="346">
        <f>+'PRESENTACIÓN Al 31082024'!I18</f>
        <v>18719416.759999998</v>
      </c>
      <c r="E22" s="346">
        <v>1000000</v>
      </c>
      <c r="F22" s="346">
        <f>+'PRESENTACIÓN Al 31082024'!J18-'FLUJO Y DISPONIBLE 08.24'!E22</f>
        <v>1065530.8300000019</v>
      </c>
      <c r="G22" s="346"/>
      <c r="H22" s="346"/>
      <c r="I22" s="346"/>
      <c r="J22" s="346"/>
      <c r="K22" s="346"/>
    </row>
    <row r="23" spans="2:11" ht="15.6">
      <c r="B23" s="356" t="s">
        <v>261</v>
      </c>
      <c r="C23" s="354"/>
      <c r="D23" s="355">
        <f>+'PRESENTACIÓN Al 31082024'!I17+'PRESENTACIÓN Al 31082024'!I13</f>
        <v>9142490.75</v>
      </c>
      <c r="E23" s="355">
        <v>2458840.7875000001</v>
      </c>
      <c r="F23" s="355">
        <v>2458840.7875000001</v>
      </c>
      <c r="G23" s="355">
        <v>2458840.7875000001</v>
      </c>
      <c r="H23" s="355">
        <v>2458840.7875000001</v>
      </c>
      <c r="I23" s="355"/>
      <c r="J23" s="355"/>
      <c r="K23" s="355"/>
    </row>
    <row r="24" spans="2:11" ht="15.6">
      <c r="B24" s="356" t="s">
        <v>271</v>
      </c>
      <c r="C24" s="349"/>
      <c r="D24" s="357">
        <f>+'PRESENTACIÓN Al 31082024'!I6</f>
        <v>11063869.470000001</v>
      </c>
      <c r="E24" s="346">
        <f>+'PRESENTACIÓN Al 31082024'!J6</f>
        <v>492945.70999999903</v>
      </c>
      <c r="F24" s="346"/>
      <c r="G24" s="346"/>
      <c r="H24" s="346"/>
      <c r="I24" s="346"/>
      <c r="J24" s="346"/>
      <c r="K24" s="346"/>
    </row>
    <row r="25" spans="2:11" ht="15.6">
      <c r="B25" s="356" t="s">
        <v>449</v>
      </c>
      <c r="C25" s="354"/>
      <c r="D25" s="355">
        <f>+'PRESENTACIÓN Al 31082024'!I14</f>
        <v>6430575.1299999999</v>
      </c>
      <c r="E25" s="355">
        <v>800000</v>
      </c>
      <c r="F25" s="355">
        <v>3200000</v>
      </c>
      <c r="G25" s="355">
        <v>1600000</v>
      </c>
      <c r="H25" s="355">
        <v>1200000</v>
      </c>
      <c r="I25" s="355">
        <v>1200000</v>
      </c>
      <c r="J25" s="355">
        <v>1200000</v>
      </c>
      <c r="K25" s="355">
        <v>1200000</v>
      </c>
    </row>
    <row r="26" spans="2:11" ht="15.6">
      <c r="B26" s="358"/>
      <c r="C26" s="349"/>
      <c r="D26" s="346"/>
      <c r="E26" s="346"/>
      <c r="F26" s="346"/>
      <c r="G26" s="346"/>
      <c r="H26" s="346"/>
      <c r="I26" s="346"/>
      <c r="J26" s="346"/>
      <c r="K26" s="346"/>
    </row>
    <row r="27" spans="2:11" ht="3.6" customHeight="1">
      <c r="B27" s="359"/>
      <c r="C27" s="360"/>
      <c r="D27" s="361"/>
      <c r="E27" s="361"/>
      <c r="F27" s="361"/>
      <c r="G27" s="361"/>
      <c r="H27" s="361"/>
      <c r="I27" s="361"/>
      <c r="J27" s="361"/>
      <c r="K27" s="361"/>
    </row>
    <row r="28" spans="2:11" ht="15.6">
      <c r="B28" s="362" t="s">
        <v>450</v>
      </c>
      <c r="C28" s="363"/>
      <c r="D28" s="364">
        <f>+'PRESENTACIÓN Al 31082024'!I8+'PRESENTACIÓN Al 31082024'!I11</f>
        <v>1053358.5</v>
      </c>
      <c r="E28" s="364">
        <v>750000</v>
      </c>
      <c r="F28" s="364">
        <v>750000</v>
      </c>
      <c r="G28" s="364">
        <v>750000</v>
      </c>
      <c r="H28" s="364">
        <v>750000</v>
      </c>
      <c r="I28" s="364">
        <v>750000</v>
      </c>
      <c r="J28" s="364">
        <v>750000</v>
      </c>
      <c r="K28" s="364">
        <v>750000</v>
      </c>
    </row>
    <row r="29" spans="2:11" ht="15.6">
      <c r="B29" s="362" t="s">
        <v>273</v>
      </c>
      <c r="C29" s="349"/>
      <c r="D29" s="346"/>
      <c r="E29" s="346"/>
      <c r="F29" s="346"/>
      <c r="G29" s="346"/>
      <c r="H29" s="346"/>
      <c r="I29" s="346"/>
      <c r="J29" s="346"/>
      <c r="K29" s="346"/>
    </row>
    <row r="30" spans="2:11" ht="15.6">
      <c r="B30" s="362" t="s">
        <v>274</v>
      </c>
      <c r="C30" s="365"/>
      <c r="D30" s="355"/>
      <c r="E30" s="355"/>
      <c r="F30" s="355">
        <v>3000000</v>
      </c>
      <c r="G30" s="355"/>
      <c r="H30" s="355"/>
      <c r="I30" s="355"/>
      <c r="J30" s="355"/>
      <c r="K30" s="355"/>
    </row>
    <row r="33" spans="2:5">
      <c r="E33" s="162">
        <f>SUM(E28:E32)</f>
        <v>750000</v>
      </c>
    </row>
    <row r="39" spans="2:5">
      <c r="B39" s="142">
        <v>4837716.2100000009</v>
      </c>
    </row>
    <row r="40" spans="2:5">
      <c r="B40" s="142">
        <v>6800000</v>
      </c>
      <c r="C40" t="s">
        <v>230</v>
      </c>
    </row>
    <row r="41" spans="2:5">
      <c r="B41" s="142">
        <v>8480849.7899999991</v>
      </c>
      <c r="C41" t="s">
        <v>231</v>
      </c>
    </row>
    <row r="42" spans="2:5">
      <c r="B42" s="142">
        <v>2390947.54</v>
      </c>
      <c r="C42" t="s">
        <v>232</v>
      </c>
    </row>
    <row r="43" spans="2:5">
      <c r="B43" s="162">
        <f>SUM(B39:B42)</f>
        <v>22509513.539999999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579C2-29F8-47AB-B835-3745F164B62D}">
  <dimension ref="A1:B23"/>
  <sheetViews>
    <sheetView showGridLines="0" zoomScaleNormal="100" workbookViewId="0">
      <selection activeCell="B17" sqref="A17:XFD17"/>
    </sheetView>
  </sheetViews>
  <sheetFormatPr baseColWidth="10" defaultColWidth="8" defaultRowHeight="11.4"/>
  <cols>
    <col min="1" max="1" width="86.6640625" style="408" customWidth="1"/>
    <col min="2" max="2" width="10.5546875" style="408" bestFit="1" customWidth="1"/>
    <col min="3" max="3" width="12.33203125" style="408" bestFit="1" customWidth="1"/>
    <col min="4" max="16384" width="8" style="408"/>
  </cols>
  <sheetData>
    <row r="1" spans="1:2" s="405" customFormat="1" ht="16.649999999999999" customHeight="1">
      <c r="A1" s="404" t="s">
        <v>723</v>
      </c>
      <c r="B1" s="404"/>
    </row>
    <row r="2" spans="1:2" s="407" customFormat="1" ht="14.4" customHeight="1">
      <c r="A2" s="406" t="s">
        <v>236</v>
      </c>
      <c r="B2" s="406"/>
    </row>
    <row r="3" spans="1:2" s="407" customFormat="1" ht="14.4" customHeight="1">
      <c r="A3" s="406" t="s">
        <v>742</v>
      </c>
      <c r="B3" s="406"/>
    </row>
    <row r="4" spans="1:2" s="407" customFormat="1" ht="14.4" customHeight="1">
      <c r="A4" s="406" t="s">
        <v>724</v>
      </c>
      <c r="B4" s="406"/>
    </row>
    <row r="5" spans="1:2" ht="13.35" customHeight="1"/>
    <row r="6" spans="1:2" s="412" customFormat="1" ht="12.15" customHeight="1">
      <c r="A6" s="410" t="s">
        <v>690</v>
      </c>
      <c r="B6" s="411" t="s">
        <v>164</v>
      </c>
    </row>
    <row r="7" spans="1:2" ht="13.35" customHeight="1"/>
    <row r="8" spans="1:2" s="412" customFormat="1" ht="12.15" customHeight="1">
      <c r="A8" s="409" t="s">
        <v>743</v>
      </c>
      <c r="B8" s="409"/>
    </row>
    <row r="9" spans="1:2" ht="10.95" customHeight="1">
      <c r="A9" s="421" t="s">
        <v>715</v>
      </c>
      <c r="B9" s="422">
        <v>307672.8</v>
      </c>
    </row>
    <row r="10" spans="1:2" ht="10.95" customHeight="1">
      <c r="A10" s="416" t="s">
        <v>744</v>
      </c>
      <c r="B10" s="417">
        <f>B9</f>
        <v>307672.8</v>
      </c>
    </row>
    <row r="11" spans="1:2" ht="13.35" customHeight="1"/>
    <row r="12" spans="1:2" s="412" customFormat="1" ht="12.15" customHeight="1">
      <c r="A12" s="409" t="s">
        <v>727</v>
      </c>
      <c r="B12" s="409"/>
    </row>
    <row r="13" spans="1:2" ht="10.95" customHeight="1">
      <c r="A13" s="421" t="s">
        <v>373</v>
      </c>
      <c r="B13" s="422">
        <v>60314.2</v>
      </c>
    </row>
    <row r="14" spans="1:2" ht="10.95" customHeight="1">
      <c r="A14" s="414" t="s">
        <v>365</v>
      </c>
      <c r="B14" s="415">
        <v>373780.56</v>
      </c>
    </row>
    <row r="15" spans="1:2" ht="10.95" customHeight="1">
      <c r="A15" s="416" t="s">
        <v>729</v>
      </c>
      <c r="B15" s="417">
        <f>SUM(B13:B14)</f>
        <v>434094.76</v>
      </c>
    </row>
    <row r="17" spans="1:2" s="412" customFormat="1" ht="12.15" customHeight="1">
      <c r="A17" s="409" t="s">
        <v>745</v>
      </c>
      <c r="B17" s="409"/>
    </row>
    <row r="18" spans="1:2" ht="10.95" customHeight="1">
      <c r="A18" s="421" t="s">
        <v>746</v>
      </c>
      <c r="B18" s="422">
        <v>4374</v>
      </c>
    </row>
    <row r="19" spans="1:2" ht="10.95" customHeight="1">
      <c r="A19" s="416" t="s">
        <v>747</v>
      </c>
      <c r="B19" s="417">
        <f>B18</f>
        <v>4374</v>
      </c>
    </row>
    <row r="20" spans="1:2" ht="13.35" customHeight="1"/>
    <row r="21" spans="1:2" ht="10.95" customHeight="1">
      <c r="A21" s="419" t="s">
        <v>164</v>
      </c>
      <c r="B21" s="420">
        <f>SUM(B10,B15,B19)</f>
        <v>746141.56</v>
      </c>
    </row>
    <row r="22" spans="1:2" ht="13.35" customHeight="1"/>
    <row r="23" spans="1:2" ht="10.95" customHeight="1">
      <c r="A23" s="419" t="s">
        <v>732</v>
      </c>
      <c r="B23" s="475">
        <f>(SUM(B10,B15,B19) / SUM(B10,B15,B19))</f>
        <v>1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589E4-2600-4DEE-9794-662E3854E1A8}">
  <dimension ref="A1:E16"/>
  <sheetViews>
    <sheetView workbookViewId="0">
      <selection activeCell="D4" sqref="D4"/>
    </sheetView>
  </sheetViews>
  <sheetFormatPr baseColWidth="10" defaultColWidth="11.5546875" defaultRowHeight="14.4"/>
  <cols>
    <col min="1" max="1" width="34.33203125" style="370" customWidth="1"/>
    <col min="2" max="2" width="29.6640625" style="370" customWidth="1"/>
    <col min="3" max="3" width="21.5546875" style="370" customWidth="1"/>
    <col min="4" max="4" width="30" style="370" bestFit="1" customWidth="1"/>
    <col min="5" max="5" width="24.6640625" style="370" customWidth="1"/>
    <col min="6" max="16384" width="11.5546875" style="370"/>
  </cols>
  <sheetData>
    <row r="1" spans="1:5" s="446" customFormat="1" ht="28.8">
      <c r="A1" s="446" t="s">
        <v>279</v>
      </c>
      <c r="B1" s="446" t="s">
        <v>678</v>
      </c>
      <c r="C1" s="446" t="s">
        <v>290</v>
      </c>
      <c r="D1" s="446" t="s">
        <v>285</v>
      </c>
      <c r="E1" s="446" t="s">
        <v>679</v>
      </c>
    </row>
    <row r="2" spans="1:5">
      <c r="A2" s="370" t="s">
        <v>259</v>
      </c>
      <c r="B2" s="370">
        <v>103385169</v>
      </c>
      <c r="C2" s="370">
        <v>94172341.829999998</v>
      </c>
      <c r="D2" s="370">
        <v>94172341.829999998</v>
      </c>
      <c r="E2" s="370">
        <f t="shared" ref="E2:E15" si="0">+C2-D2</f>
        <v>0</v>
      </c>
    </row>
    <row r="3" spans="1:5">
      <c r="A3" s="370" t="s">
        <v>298</v>
      </c>
      <c r="B3" s="370">
        <v>20790000</v>
      </c>
      <c r="C3" s="370">
        <v>20360289.559999999</v>
      </c>
      <c r="D3" s="370">
        <v>19304681.760000002</v>
      </c>
      <c r="E3" s="370">
        <f>+C3-D3</f>
        <v>1055607.799999997</v>
      </c>
    </row>
    <row r="4" spans="1:5">
      <c r="A4" s="370" t="s">
        <v>271</v>
      </c>
      <c r="B4" s="370">
        <v>451759000</v>
      </c>
      <c r="C4" s="370">
        <v>10652617.449999999</v>
      </c>
      <c r="D4" s="370">
        <v>9997047.3900000006</v>
      </c>
      <c r="E4" s="370">
        <f t="shared" si="0"/>
        <v>655570.05999999866</v>
      </c>
    </row>
    <row r="5" spans="1:5">
      <c r="A5" s="370" t="s">
        <v>681</v>
      </c>
      <c r="B5" s="370">
        <v>1265953920</v>
      </c>
      <c r="E5" s="370">
        <f t="shared" si="0"/>
        <v>0</v>
      </c>
    </row>
    <row r="6" spans="1:5">
      <c r="A6" s="370" t="s">
        <v>379</v>
      </c>
      <c r="B6" s="370">
        <v>171771292</v>
      </c>
      <c r="C6" s="370">
        <v>1525635.12</v>
      </c>
      <c r="D6" s="370">
        <v>1406537.98</v>
      </c>
      <c r="E6" s="370">
        <f t="shared" si="0"/>
        <v>119097.14000000013</v>
      </c>
    </row>
    <row r="7" spans="1:5">
      <c r="A7" s="370" t="s">
        <v>682</v>
      </c>
      <c r="B7" s="370">
        <v>34354258</v>
      </c>
      <c r="E7" s="370">
        <f t="shared" si="0"/>
        <v>0</v>
      </c>
    </row>
    <row r="8" spans="1:5">
      <c r="A8" s="370" t="s">
        <v>384</v>
      </c>
      <c r="B8" s="370">
        <v>137417034</v>
      </c>
      <c r="C8" s="370">
        <v>161175.97</v>
      </c>
      <c r="D8" s="370">
        <v>161175.97</v>
      </c>
      <c r="E8" s="370">
        <f t="shared" si="0"/>
        <v>0</v>
      </c>
    </row>
    <row r="9" spans="1:5">
      <c r="A9" s="370" t="s">
        <v>387</v>
      </c>
      <c r="B9" s="370">
        <v>281704919</v>
      </c>
      <c r="C9" s="370">
        <v>0</v>
      </c>
      <c r="D9" s="370">
        <v>0</v>
      </c>
      <c r="E9" s="370">
        <f t="shared" si="0"/>
        <v>0</v>
      </c>
    </row>
    <row r="10" spans="1:5">
      <c r="A10" s="370" t="s">
        <v>291</v>
      </c>
      <c r="B10" s="370">
        <v>67334346</v>
      </c>
      <c r="C10" s="370">
        <v>237853.9</v>
      </c>
      <c r="D10" s="370">
        <v>237853.9</v>
      </c>
      <c r="E10" s="370">
        <f t="shared" si="0"/>
        <v>0</v>
      </c>
    </row>
    <row r="11" spans="1:5">
      <c r="A11" s="370" t="s">
        <v>416</v>
      </c>
      <c r="B11" s="370">
        <v>51531387.950000003</v>
      </c>
      <c r="C11" s="370">
        <v>10757675.4</v>
      </c>
      <c r="D11" s="370">
        <v>6276981.1200000001</v>
      </c>
      <c r="E11" s="370">
        <f t="shared" si="0"/>
        <v>4480694.28</v>
      </c>
    </row>
    <row r="12" spans="1:5">
      <c r="A12" s="370" t="s">
        <v>683</v>
      </c>
      <c r="B12" s="370">
        <v>19238385</v>
      </c>
      <c r="E12" s="370">
        <f t="shared" si="0"/>
        <v>0</v>
      </c>
    </row>
    <row r="13" spans="1:5">
      <c r="A13" s="370" t="s">
        <v>390</v>
      </c>
      <c r="B13" s="370">
        <v>15000000</v>
      </c>
      <c r="C13" s="370">
        <v>15920578.65</v>
      </c>
      <c r="D13" s="370">
        <v>9725292.8499999996</v>
      </c>
      <c r="E13" s="370">
        <f t="shared" si="0"/>
        <v>6195285.8000000007</v>
      </c>
    </row>
    <row r="14" spans="1:5">
      <c r="A14" s="370" t="s">
        <v>684</v>
      </c>
      <c r="B14" s="370">
        <v>19238385</v>
      </c>
      <c r="E14" s="370">
        <f t="shared" si="0"/>
        <v>0</v>
      </c>
    </row>
    <row r="15" spans="1:5">
      <c r="A15" s="370" t="s">
        <v>685</v>
      </c>
      <c r="B15" s="370">
        <v>192383847</v>
      </c>
      <c r="E15" s="370">
        <f t="shared" si="0"/>
        <v>0</v>
      </c>
    </row>
    <row r="16" spans="1:5" s="432" customFormat="1">
      <c r="B16" s="432">
        <f>SUM(B2:B15)</f>
        <v>2831861942.9499998</v>
      </c>
      <c r="C16" s="432">
        <f>SUM(C2:C15)</f>
        <v>153788167.88000003</v>
      </c>
      <c r="D16" s="432">
        <f>SUM(D2:D15)</f>
        <v>141281912.80000001</v>
      </c>
      <c r="E16" s="432">
        <f>SUM(E2:E15)</f>
        <v>12506255.079999996</v>
      </c>
    </row>
  </sheetData>
  <autoFilter ref="A1:E16" xr:uid="{6D885037-1228-41D4-93D0-90E5368E773A}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B20EA-AB00-44FC-800E-B3A4FADFFC01}">
  <dimension ref="A1:G21"/>
  <sheetViews>
    <sheetView showGridLines="0" zoomScaleNormal="100" workbookViewId="0">
      <selection activeCell="D4" sqref="D4"/>
    </sheetView>
  </sheetViews>
  <sheetFormatPr baseColWidth="10" defaultColWidth="8" defaultRowHeight="11.4"/>
  <cols>
    <col min="1" max="1" width="36.109375" style="408" customWidth="1"/>
    <col min="2" max="2" width="31.5546875" style="408" customWidth="1"/>
    <col min="3" max="3" width="19" style="408" customWidth="1"/>
    <col min="4" max="4" width="12.6640625" style="408" customWidth="1"/>
    <col min="5" max="5" width="24.44140625" style="408" customWidth="1"/>
    <col min="6" max="6" width="16.88671875" style="408" customWidth="1"/>
    <col min="7" max="7" width="54.109375" style="408" customWidth="1"/>
    <col min="8" max="16384" width="8" style="408"/>
  </cols>
  <sheetData>
    <row r="1" spans="1:7" s="405" customFormat="1" ht="16.649999999999999" customHeight="1">
      <c r="A1" s="404" t="s">
        <v>748</v>
      </c>
      <c r="B1" s="404"/>
      <c r="C1" s="404"/>
      <c r="D1" s="404"/>
      <c r="E1" s="404"/>
      <c r="F1" s="404"/>
      <c r="G1" s="404"/>
    </row>
    <row r="2" spans="1:7" s="407" customFormat="1" ht="14.4" customHeight="1">
      <c r="A2" s="406" t="s">
        <v>236</v>
      </c>
      <c r="B2" s="406"/>
      <c r="C2" s="406"/>
      <c r="D2" s="406"/>
      <c r="E2" s="406"/>
      <c r="F2" s="406"/>
      <c r="G2" s="406"/>
    </row>
    <row r="3" spans="1:7" s="407" customFormat="1" ht="14.4" customHeight="1">
      <c r="A3" s="406" t="s">
        <v>749</v>
      </c>
      <c r="B3" s="406"/>
      <c r="C3" s="406"/>
      <c r="D3" s="406"/>
      <c r="E3" s="406"/>
      <c r="F3" s="406"/>
      <c r="G3" s="406"/>
    </row>
    <row r="4" spans="1:7" ht="13.35" customHeight="1"/>
    <row r="5" spans="1:7" ht="10.95" customHeight="1">
      <c r="A5" s="423" t="s">
        <v>750</v>
      </c>
    </row>
    <row r="6" spans="1:7" ht="10.95" customHeight="1">
      <c r="A6" s="423" t="s">
        <v>751</v>
      </c>
    </row>
    <row r="7" spans="1:7" ht="13.35" customHeight="1"/>
    <row r="8" spans="1:7" s="412" customFormat="1" ht="12.15" customHeight="1">
      <c r="A8" s="410" t="s">
        <v>690</v>
      </c>
      <c r="B8" s="410" t="s">
        <v>691</v>
      </c>
      <c r="C8" s="410" t="s">
        <v>752</v>
      </c>
      <c r="D8" s="411" t="s">
        <v>753</v>
      </c>
      <c r="E8" s="411" t="s">
        <v>693</v>
      </c>
      <c r="F8" s="411" t="s">
        <v>754</v>
      </c>
      <c r="G8" s="410" t="s">
        <v>695</v>
      </c>
    </row>
    <row r="9" spans="1:7" ht="10.95" customHeight="1">
      <c r="A9" s="421" t="s">
        <v>369</v>
      </c>
      <c r="B9" s="421" t="s">
        <v>713</v>
      </c>
      <c r="C9" s="429">
        <v>45266</v>
      </c>
      <c r="D9" s="422">
        <v>-273000</v>
      </c>
      <c r="E9" s="422">
        <v>0</v>
      </c>
      <c r="F9" s="422">
        <v>-273000</v>
      </c>
      <c r="G9" s="421" t="s">
        <v>49</v>
      </c>
    </row>
    <row r="10" spans="1:7" ht="10.95" customHeight="1">
      <c r="A10" s="414" t="s">
        <v>737</v>
      </c>
      <c r="B10" s="414" t="s">
        <v>738</v>
      </c>
      <c r="C10" s="430">
        <v>45429</v>
      </c>
      <c r="D10" s="415">
        <v>-40000</v>
      </c>
      <c r="E10" s="415">
        <v>0</v>
      </c>
      <c r="F10" s="415">
        <v>-40000</v>
      </c>
      <c r="G10" s="414" t="s">
        <v>49</v>
      </c>
    </row>
    <row r="11" spans="1:7" ht="10.95" customHeight="1">
      <c r="A11" s="414" t="s">
        <v>735</v>
      </c>
      <c r="B11" s="414" t="s">
        <v>736</v>
      </c>
      <c r="C11" s="430">
        <v>45469</v>
      </c>
      <c r="D11" s="415">
        <v>-38250</v>
      </c>
      <c r="E11" s="415">
        <v>0</v>
      </c>
      <c r="F11" s="415">
        <v>-38250</v>
      </c>
      <c r="G11" s="414" t="s">
        <v>49</v>
      </c>
    </row>
    <row r="12" spans="1:7" ht="10.95" customHeight="1">
      <c r="A12" s="414" t="s">
        <v>301</v>
      </c>
      <c r="B12" s="414" t="s">
        <v>755</v>
      </c>
      <c r="C12" s="430">
        <v>45552</v>
      </c>
      <c r="D12" s="415">
        <v>-650700</v>
      </c>
      <c r="E12" s="415">
        <v>0</v>
      </c>
      <c r="F12" s="415"/>
      <c r="G12" s="414" t="s">
        <v>49</v>
      </c>
    </row>
    <row r="13" spans="1:7" ht="10.95" customHeight="1">
      <c r="A13" s="414"/>
      <c r="B13" s="414"/>
      <c r="C13" s="476"/>
      <c r="D13" s="417">
        <f>SUM(D9:D12)</f>
        <v>-1001950</v>
      </c>
      <c r="E13" s="417">
        <f>SUM(E9:E12)</f>
        <v>0</v>
      </c>
      <c r="F13" s="417">
        <f>SUM(F9:F12)</f>
        <v>-351250</v>
      </c>
      <c r="G13" s="414"/>
    </row>
    <row r="14" spans="1:7" ht="10.95" customHeight="1">
      <c r="A14" s="414"/>
      <c r="B14" s="414"/>
      <c r="C14" s="430"/>
      <c r="D14" s="415"/>
      <c r="E14" s="415"/>
      <c r="F14" s="415"/>
      <c r="G14" s="414"/>
    </row>
    <row r="15" spans="1:7" ht="10.95" customHeight="1">
      <c r="A15" s="414" t="s">
        <v>756</v>
      </c>
      <c r="B15" s="414" t="s">
        <v>757</v>
      </c>
      <c r="C15" s="430">
        <v>45565</v>
      </c>
      <c r="D15" s="415">
        <v>-144800</v>
      </c>
      <c r="E15" s="415">
        <v>0</v>
      </c>
      <c r="F15" s="415">
        <f>+D15-E15</f>
        <v>-144800</v>
      </c>
      <c r="G15" s="414" t="s">
        <v>758</v>
      </c>
    </row>
    <row r="16" spans="1:7" ht="10.95" customHeight="1">
      <c r="A16" s="414" t="s">
        <v>715</v>
      </c>
      <c r="B16" s="414" t="s">
        <v>716</v>
      </c>
      <c r="C16" s="430">
        <v>45565</v>
      </c>
      <c r="D16" s="415">
        <v>-1617766.33</v>
      </c>
      <c r="E16" s="415">
        <v>-1181495.2649147101</v>
      </c>
      <c r="F16" s="415">
        <f t="shared" ref="F16:F18" si="0">+D16-E16</f>
        <v>-436271.06508529</v>
      </c>
      <c r="G16" s="414" t="s">
        <v>739</v>
      </c>
    </row>
    <row r="17" spans="1:7" ht="10.95" customHeight="1">
      <c r="A17" s="414" t="s">
        <v>715</v>
      </c>
      <c r="B17" s="414" t="s">
        <v>716</v>
      </c>
      <c r="C17" s="430">
        <v>45565</v>
      </c>
      <c r="D17" s="415">
        <v>-2082233.67</v>
      </c>
      <c r="E17" s="415">
        <v>-1520707.3950852901</v>
      </c>
      <c r="F17" s="415">
        <f t="shared" si="0"/>
        <v>-561526.27491470985</v>
      </c>
      <c r="G17" s="414" t="s">
        <v>673</v>
      </c>
    </row>
    <row r="18" spans="1:7" ht="10.95" customHeight="1">
      <c r="A18" s="414" t="s">
        <v>740</v>
      </c>
      <c r="B18" s="414"/>
      <c r="C18" s="430">
        <v>45512</v>
      </c>
      <c r="D18" s="415">
        <v>-747236.25</v>
      </c>
      <c r="E18" s="415">
        <v>0</v>
      </c>
      <c r="F18" s="415">
        <f t="shared" si="0"/>
        <v>-747236.25</v>
      </c>
      <c r="G18" s="414" t="s">
        <v>673</v>
      </c>
    </row>
    <row r="19" spans="1:7" ht="10.95" customHeight="1">
      <c r="A19" s="414"/>
      <c r="B19" s="414"/>
      <c r="C19" s="430"/>
      <c r="D19" s="417">
        <f>SUM(D15:D18)</f>
        <v>-4592036.25</v>
      </c>
      <c r="E19" s="417">
        <f>SUM(E15:E18)</f>
        <v>-2702202.66</v>
      </c>
      <c r="F19" s="417">
        <f>SUM(F15:F18)</f>
        <v>-1889833.5899999999</v>
      </c>
      <c r="G19" s="414"/>
    </row>
    <row r="20" spans="1:7" ht="10.95" customHeight="1">
      <c r="A20" s="414"/>
      <c r="B20" s="414"/>
      <c r="C20" s="430"/>
      <c r="D20" s="415"/>
      <c r="E20" s="415"/>
      <c r="F20" s="415"/>
      <c r="G20" s="414"/>
    </row>
    <row r="21" spans="1:7" ht="10.95" customHeight="1">
      <c r="A21" s="416" t="s">
        <v>164</v>
      </c>
      <c r="B21" s="416"/>
      <c r="C21" s="416"/>
      <c r="D21" s="417">
        <f>+D13+D19</f>
        <v>-5593986.25</v>
      </c>
      <c r="E21" s="417">
        <f>+E13+E19</f>
        <v>-2702202.66</v>
      </c>
      <c r="F21" s="417">
        <f>+F13+F19</f>
        <v>-2241083.59</v>
      </c>
      <c r="G21" s="477"/>
    </row>
  </sheetData>
  <autoFilter ref="A8:G8" xr:uid="{BEDB20EA-AB00-44FC-800E-B3A4FADFFC01}">
    <sortState xmlns:xlrd2="http://schemas.microsoft.com/office/spreadsheetml/2017/richdata2" ref="A9:G16">
      <sortCondition ref="G8"/>
    </sortState>
  </autoFilter>
  <pageMargins left="0.7" right="0.7" top="0.75" bottom="0.75" header="0.3" footer="0.3"/>
  <pageSetup paperSize="9" fitToWidth="0" fitToHeight="0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E38E5-43B8-492F-9E29-D8B6BAE47A3C}">
  <dimension ref="A1:D44"/>
  <sheetViews>
    <sheetView showGridLines="0" topLeftCell="A4" zoomScaleNormal="100" workbookViewId="0">
      <selection activeCell="D4" sqref="D4"/>
    </sheetView>
  </sheetViews>
  <sheetFormatPr baseColWidth="10" defaultColWidth="8" defaultRowHeight="11.4"/>
  <cols>
    <col min="1" max="1" width="1.33203125" style="408" customWidth="1"/>
    <col min="2" max="2" width="38.5546875" style="408" customWidth="1"/>
    <col min="3" max="3" width="13.33203125" style="408" customWidth="1"/>
    <col min="4" max="4" width="4.88671875" style="408" customWidth="1"/>
    <col min="5" max="16384" width="8" style="408"/>
  </cols>
  <sheetData>
    <row r="1" spans="1:4" s="405" customFormat="1" ht="16.649999999999999" customHeight="1">
      <c r="A1" s="404" t="s">
        <v>235</v>
      </c>
      <c r="B1" s="404"/>
      <c r="C1" s="404"/>
      <c r="D1" s="404"/>
    </row>
    <row r="2" spans="1:4" s="407" customFormat="1" ht="14.4" customHeight="1">
      <c r="A2" s="406" t="s">
        <v>236</v>
      </c>
      <c r="B2" s="406"/>
      <c r="C2" s="406"/>
      <c r="D2" s="406"/>
    </row>
    <row r="3" spans="1:4" s="407" customFormat="1" ht="14.4" customHeight="1">
      <c r="A3" s="406" t="s">
        <v>742</v>
      </c>
      <c r="B3" s="406"/>
      <c r="C3" s="406"/>
      <c r="D3" s="406"/>
    </row>
    <row r="4" spans="1:4" ht="13.35" customHeight="1"/>
    <row r="5" spans="1:4" s="412" customFormat="1" ht="12.15" customHeight="1">
      <c r="A5" s="409"/>
      <c r="B5" s="410" t="s">
        <v>238</v>
      </c>
      <c r="C5" s="411" t="s">
        <v>759</v>
      </c>
      <c r="D5" s="411"/>
    </row>
    <row r="6" spans="1:4" ht="13.35" customHeight="1"/>
    <row r="7" spans="1:4" s="412" customFormat="1" ht="12.15" customHeight="1">
      <c r="A7" s="409" t="s">
        <v>239</v>
      </c>
      <c r="B7" s="409"/>
      <c r="C7" s="409"/>
      <c r="D7" s="409"/>
    </row>
    <row r="8" spans="1:4" ht="10.95" customHeight="1">
      <c r="A8" s="413"/>
      <c r="B8" s="413" t="s">
        <v>638</v>
      </c>
      <c r="C8" s="413"/>
      <c r="D8" s="413"/>
    </row>
    <row r="9" spans="1:4" ht="10.95" customHeight="1">
      <c r="B9" s="414" t="s">
        <v>639</v>
      </c>
      <c r="C9" s="415">
        <v>16674524.369999999</v>
      </c>
      <c r="D9" s="414"/>
    </row>
    <row r="10" spans="1:4" ht="10.95" customHeight="1">
      <c r="B10" s="414" t="s">
        <v>640</v>
      </c>
      <c r="C10" s="415">
        <v>172810.98</v>
      </c>
      <c r="D10" s="414" t="s">
        <v>641</v>
      </c>
    </row>
    <row r="11" spans="1:4" ht="10.95" customHeight="1">
      <c r="B11" s="416" t="s">
        <v>642</v>
      </c>
      <c r="C11" s="417">
        <f>SUM(C9:C10)</f>
        <v>16847335.349999998</v>
      </c>
      <c r="D11" s="416"/>
    </row>
    <row r="12" spans="1:4" ht="10.95" customHeight="1">
      <c r="A12" s="413"/>
      <c r="B12" s="413" t="s">
        <v>240</v>
      </c>
      <c r="C12" s="413"/>
      <c r="D12" s="413"/>
    </row>
    <row r="13" spans="1:4" ht="10.95" customHeight="1">
      <c r="B13" s="414" t="s">
        <v>241</v>
      </c>
      <c r="C13" s="415">
        <v>2892183.59</v>
      </c>
      <c r="D13" s="414"/>
    </row>
    <row r="14" spans="1:4" ht="10.95" customHeight="1">
      <c r="B14" s="416" t="s">
        <v>242</v>
      </c>
      <c r="C14" s="417">
        <f>C13</f>
        <v>2892183.59</v>
      </c>
      <c r="D14" s="416"/>
    </row>
    <row r="15" spans="1:4" ht="10.95" customHeight="1">
      <c r="A15" s="413"/>
      <c r="B15" s="413" t="s">
        <v>243</v>
      </c>
      <c r="C15" s="413"/>
      <c r="D15" s="413"/>
    </row>
    <row r="16" spans="1:4" ht="10.95" customHeight="1">
      <c r="B16" s="414" t="s">
        <v>244</v>
      </c>
      <c r="C16" s="415">
        <v>31528923.129999999</v>
      </c>
      <c r="D16" s="414"/>
    </row>
    <row r="17" spans="1:4" ht="10.95" customHeight="1">
      <c r="B17" s="414" t="s">
        <v>245</v>
      </c>
      <c r="C17" s="415">
        <v>6676010.9900000002</v>
      </c>
      <c r="D17" s="414"/>
    </row>
    <row r="18" spans="1:4" ht="10.95" customHeight="1">
      <c r="B18" s="414" t="s">
        <v>246</v>
      </c>
      <c r="C18" s="415">
        <v>8904636.8499999996</v>
      </c>
      <c r="D18" s="414"/>
    </row>
    <row r="19" spans="1:4" ht="10.95" customHeight="1">
      <c r="B19" s="414" t="s">
        <v>33</v>
      </c>
      <c r="C19" s="415">
        <v>94172341.829999998</v>
      </c>
      <c r="D19" s="414"/>
    </row>
    <row r="20" spans="1:4" ht="10.95" customHeight="1">
      <c r="B20" s="416" t="s">
        <v>247</v>
      </c>
      <c r="C20" s="417">
        <f>SUM(C16:C19)</f>
        <v>141281912.80000001</v>
      </c>
      <c r="D20" s="416"/>
    </row>
    <row r="21" spans="1:4" ht="10.95" customHeight="1">
      <c r="A21" s="416" t="s">
        <v>248</v>
      </c>
      <c r="C21" s="417">
        <f>(0 + ((C11 + C14) + C20))</f>
        <v>161021431.74000001</v>
      </c>
      <c r="D21" s="416"/>
    </row>
    <row r="22" spans="1:4" ht="13.35" customHeight="1"/>
    <row r="23" spans="1:4" s="412" customFormat="1" ht="12.15" customHeight="1">
      <c r="A23" s="409" t="s">
        <v>249</v>
      </c>
      <c r="B23" s="409"/>
      <c r="C23" s="409"/>
      <c r="D23" s="409"/>
    </row>
    <row r="24" spans="1:4" ht="10.95" customHeight="1">
      <c r="A24" s="413"/>
      <c r="B24" s="413" t="s">
        <v>250</v>
      </c>
      <c r="C24" s="413"/>
      <c r="D24" s="413"/>
    </row>
    <row r="25" spans="1:4" ht="10.95" customHeight="1">
      <c r="B25" s="414" t="s">
        <v>251</v>
      </c>
      <c r="C25" s="415">
        <v>746141.56</v>
      </c>
      <c r="D25" s="414"/>
    </row>
    <row r="26" spans="1:4" ht="10.95" customHeight="1">
      <c r="B26" s="414" t="s">
        <v>252</v>
      </c>
      <c r="C26" s="415">
        <v>131350</v>
      </c>
      <c r="D26" s="414"/>
    </row>
    <row r="27" spans="1:4" ht="10.95" customHeight="1">
      <c r="B27" s="414" t="s">
        <v>643</v>
      </c>
      <c r="C27" s="415">
        <v>36360</v>
      </c>
      <c r="D27" s="414"/>
    </row>
    <row r="28" spans="1:4" ht="10.95" customHeight="1">
      <c r="B28" s="414" t="s">
        <v>644</v>
      </c>
      <c r="C28" s="415">
        <v>34167.35</v>
      </c>
      <c r="D28" s="414"/>
    </row>
    <row r="29" spans="1:4" ht="10.95" customHeight="1">
      <c r="B29" s="414" t="s">
        <v>645</v>
      </c>
      <c r="C29" s="415">
        <v>260416.02</v>
      </c>
      <c r="D29" s="414"/>
    </row>
    <row r="30" spans="1:4" ht="10.95" customHeight="1">
      <c r="B30" s="414" t="s">
        <v>646</v>
      </c>
      <c r="C30" s="415">
        <v>20200</v>
      </c>
      <c r="D30" s="414"/>
    </row>
    <row r="31" spans="1:4" ht="10.95" customHeight="1">
      <c r="B31" s="416" t="s">
        <v>253</v>
      </c>
      <c r="C31" s="417">
        <f>SUM(C25:C30)</f>
        <v>1228634.93</v>
      </c>
      <c r="D31" s="416"/>
    </row>
    <row r="32" spans="1:4" ht="10.95" customHeight="1">
      <c r="A32" s="416" t="s">
        <v>254</v>
      </c>
      <c r="C32" s="417">
        <f>(0 + C31)</f>
        <v>1228634.93</v>
      </c>
      <c r="D32" s="416"/>
    </row>
    <row r="34" spans="1:3" ht="10.95" customHeight="1">
      <c r="B34" s="419" t="s">
        <v>255</v>
      </c>
      <c r="C34" s="420">
        <f>(C21 - C32)</f>
        <v>159792796.81</v>
      </c>
    </row>
    <row r="35" spans="1:3" ht="13.35" customHeight="1"/>
    <row r="36" spans="1:3" s="412" customFormat="1" ht="12.15" customHeight="1">
      <c r="A36" s="409" t="s">
        <v>256</v>
      </c>
      <c r="B36" s="409"/>
      <c r="C36" s="409"/>
    </row>
    <row r="37" spans="1:3" ht="10.95" customHeight="1">
      <c r="B37" s="421" t="s">
        <v>257</v>
      </c>
      <c r="C37" s="422">
        <v>159695773.63999999</v>
      </c>
    </row>
    <row r="38" spans="1:3" ht="10.95" customHeight="1">
      <c r="B38" s="414" t="s">
        <v>647</v>
      </c>
      <c r="C38" s="415">
        <v>97023.17</v>
      </c>
    </row>
    <row r="39" spans="1:3" ht="10.95" customHeight="1">
      <c r="A39" s="416" t="s">
        <v>258</v>
      </c>
      <c r="C39" s="417">
        <f>SUM(C37:C38)</f>
        <v>159792796.80999997</v>
      </c>
    </row>
    <row r="40" spans="1:3" ht="13.35" customHeight="1"/>
    <row r="41" spans="1:3" ht="13.35" customHeight="1"/>
    <row r="42" spans="1:3" ht="10.95" customHeight="1">
      <c r="A42" s="423" t="s">
        <v>648</v>
      </c>
    </row>
    <row r="43" spans="1:3" ht="10.95" customHeight="1">
      <c r="A43" s="424" t="s">
        <v>759</v>
      </c>
    </row>
    <row r="44" spans="1:3" ht="10.95" customHeight="1">
      <c r="A44" s="423" t="s">
        <v>760</v>
      </c>
    </row>
  </sheetData>
  <pageMargins left="0.7" right="0.7" top="0.75" bottom="0.75" header="0.3" footer="0.3"/>
  <pageSetup paperSize="9" fitToWidth="0" fitToHeight="0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D7C52-EB83-4B14-A7A9-7D6B8D85C05F}">
  <sheetPr>
    <tabColor theme="5" tint="0.79998168889431442"/>
  </sheetPr>
  <dimension ref="A1:P44"/>
  <sheetViews>
    <sheetView showGridLines="0" topLeftCell="F1" zoomScale="90" zoomScaleNormal="90" workbookViewId="0">
      <selection activeCell="D18" sqref="D18"/>
    </sheetView>
  </sheetViews>
  <sheetFormatPr baseColWidth="10" defaultColWidth="11.44140625" defaultRowHeight="14.4"/>
  <cols>
    <col min="1" max="1" width="10.109375" customWidth="1"/>
    <col min="2" max="2" width="23.6640625" customWidth="1"/>
    <col min="3" max="4" width="17.44140625" bestFit="1" customWidth="1"/>
    <col min="5" max="5" width="14.33203125" bestFit="1" customWidth="1"/>
    <col min="6" max="7" width="16.5546875" bestFit="1" customWidth="1"/>
    <col min="8" max="8" width="16.33203125" customWidth="1"/>
    <col min="9" max="9" width="18.109375" customWidth="1"/>
    <col min="10" max="10" width="16.5546875" bestFit="1" customWidth="1"/>
    <col min="11" max="11" width="18.6640625" customWidth="1"/>
    <col min="12" max="12" width="19.88671875" customWidth="1"/>
    <col min="13" max="13" width="16.109375" customWidth="1"/>
    <col min="14" max="14" width="18.5546875" customWidth="1"/>
    <col min="15" max="15" width="17" customWidth="1"/>
    <col min="16" max="18" width="15.44140625" bestFit="1" customWidth="1"/>
    <col min="19" max="19" width="14.44140625" bestFit="1" customWidth="1"/>
  </cols>
  <sheetData>
    <row r="1" spans="1:16" ht="21.6" customHeight="1">
      <c r="M1" s="2109" t="s">
        <v>185</v>
      </c>
      <c r="N1" s="2109"/>
      <c r="O1" s="2109"/>
      <c r="P1" s="2109"/>
    </row>
    <row r="2" spans="1:16" ht="15" thickBot="1">
      <c r="F2" s="181" t="s">
        <v>197</v>
      </c>
      <c r="G2" s="181"/>
      <c r="H2" s="181"/>
      <c r="I2" s="181"/>
      <c r="J2" s="181"/>
      <c r="K2" s="181" t="s">
        <v>199</v>
      </c>
      <c r="L2" s="181" t="s">
        <v>225</v>
      </c>
      <c r="M2" s="2109"/>
      <c r="N2" s="2109"/>
      <c r="O2" s="2109"/>
      <c r="P2" s="2109"/>
    </row>
    <row r="3" spans="1:16" ht="15.6" customHeight="1">
      <c r="B3" s="160" t="s">
        <v>761</v>
      </c>
      <c r="C3" s="62"/>
      <c r="D3" s="478"/>
      <c r="E3" s="483">
        <v>59</v>
      </c>
      <c r="F3" s="2122" t="s">
        <v>145</v>
      </c>
      <c r="G3" s="2135" t="s">
        <v>650</v>
      </c>
      <c r="H3" s="2135" t="s">
        <v>651</v>
      </c>
      <c r="I3" s="2135" t="s">
        <v>652</v>
      </c>
      <c r="J3" s="2122" t="s">
        <v>227</v>
      </c>
      <c r="K3" s="2124" t="s">
        <v>228</v>
      </c>
      <c r="L3" s="2124" t="s">
        <v>146</v>
      </c>
      <c r="M3" s="183"/>
      <c r="N3" s="183"/>
      <c r="O3" s="183"/>
      <c r="P3" s="183"/>
    </row>
    <row r="4" spans="1:16" ht="25.95" customHeight="1" thickBot="1">
      <c r="A4" s="152"/>
      <c r="B4" s="25" t="s">
        <v>29</v>
      </c>
      <c r="C4" s="25" t="s">
        <v>762</v>
      </c>
      <c r="D4" s="479" t="s">
        <v>763</v>
      </c>
      <c r="E4" s="479" t="s">
        <v>31</v>
      </c>
      <c r="F4" s="2123"/>
      <c r="G4" s="2136"/>
      <c r="H4" s="2136"/>
      <c r="I4" s="2136"/>
      <c r="J4" s="2123"/>
      <c r="K4" s="2125"/>
      <c r="L4" s="2125"/>
      <c r="M4" s="183"/>
      <c r="N4" s="183"/>
      <c r="O4" s="183"/>
      <c r="P4" s="183"/>
    </row>
    <row r="5" spans="1:16">
      <c r="A5">
        <v>1</v>
      </c>
      <c r="B5" s="254" t="s">
        <v>33</v>
      </c>
      <c r="C5" s="256">
        <f>SUM('budget (11)'!D2:D3)</f>
        <v>103385169</v>
      </c>
      <c r="D5" s="480">
        <v>103385169</v>
      </c>
      <c r="E5" s="480">
        <f>D5/E3</f>
        <v>1752291</v>
      </c>
      <c r="F5" s="258">
        <f>+'Finanzas 09.24'!C2</f>
        <v>94172341.829999998</v>
      </c>
      <c r="G5" s="258">
        <f>+'Finanzas 09.24'!D2</f>
        <v>94172341.829999998</v>
      </c>
      <c r="H5" s="258">
        <v>0</v>
      </c>
      <c r="I5" s="258"/>
      <c r="J5" s="258">
        <f>+G5-H5+I5</f>
        <v>94172341.829999998</v>
      </c>
      <c r="K5" s="259">
        <f>F5-J5</f>
        <v>0</v>
      </c>
      <c r="L5" s="259">
        <f>+D5-F5</f>
        <v>9212827.1700000018</v>
      </c>
      <c r="M5" s="183"/>
      <c r="N5" s="183"/>
      <c r="O5" s="183"/>
      <c r="P5" s="183"/>
    </row>
    <row r="6" spans="1:16">
      <c r="B6" s="115" t="s">
        <v>35</v>
      </c>
      <c r="C6" s="116">
        <f>SUM('budget (11)'!D11:D24)</f>
        <v>451758999.99999994</v>
      </c>
      <c r="D6" s="481">
        <v>451758999.99999994</v>
      </c>
      <c r="E6" s="481">
        <f>D6/$E$3</f>
        <v>7656932.20338983</v>
      </c>
      <c r="F6" s="132">
        <f>+'Finanzas 09.24'!C4</f>
        <v>10652617.449999999</v>
      </c>
      <c r="G6" s="132">
        <f>+'Finanzas 09.24'!D4</f>
        <v>9997047.3900000006</v>
      </c>
      <c r="H6" s="132"/>
      <c r="I6" s="132">
        <f>-'ANTICIPO 09.24'!F16</f>
        <v>436271.06508529</v>
      </c>
      <c r="J6" s="132">
        <f>+G6-H6+I6</f>
        <v>10433318.455085291</v>
      </c>
      <c r="K6" s="125">
        <f>F6-J6</f>
        <v>219298.99491470866</v>
      </c>
      <c r="L6" s="125">
        <f>+D6-F6</f>
        <v>441106382.54999995</v>
      </c>
      <c r="M6" s="183"/>
      <c r="N6" s="184"/>
      <c r="O6" s="183"/>
      <c r="P6" s="183"/>
    </row>
    <row r="7" spans="1:16" ht="13.95" customHeight="1">
      <c r="B7" s="112" t="s">
        <v>38</v>
      </c>
      <c r="C7" s="113">
        <f>SUM('budget (11)'!D25:D39)</f>
        <v>1265953920</v>
      </c>
      <c r="D7" s="170">
        <f>1447934796</f>
        <v>1447934796</v>
      </c>
      <c r="E7" s="170">
        <f>D7/$E$3</f>
        <v>24541267.728813559</v>
      </c>
      <c r="F7" s="133">
        <f>SUM('budget (11)'!E25:E39)</f>
        <v>0</v>
      </c>
      <c r="G7" s="133"/>
      <c r="H7" s="133"/>
      <c r="I7" s="133"/>
      <c r="J7" s="133">
        <f t="shared" ref="J7:J10" si="0">+G7-H7+I7</f>
        <v>0</v>
      </c>
      <c r="K7" s="127">
        <f t="shared" ref="K7:K21" si="1">F7-J7</f>
        <v>0</v>
      </c>
      <c r="L7" s="127">
        <f>+D7-F7</f>
        <v>1447934796</v>
      </c>
      <c r="M7" s="183"/>
      <c r="N7" s="184"/>
      <c r="O7" s="183"/>
      <c r="P7" s="183"/>
    </row>
    <row r="8" spans="1:16">
      <c r="B8" s="115" t="s">
        <v>764</v>
      </c>
      <c r="C8" s="118">
        <v>0</v>
      </c>
      <c r="D8" s="171">
        <v>37993876</v>
      </c>
      <c r="E8" s="171">
        <f>D8/$E$3</f>
        <v>643964</v>
      </c>
      <c r="F8" s="134"/>
      <c r="G8" s="134"/>
      <c r="H8" s="134"/>
      <c r="I8" s="134"/>
      <c r="J8" s="134"/>
      <c r="K8" s="129"/>
      <c r="L8" s="129"/>
      <c r="M8" s="183"/>
      <c r="N8" s="184"/>
      <c r="O8" s="183"/>
      <c r="P8" s="183"/>
    </row>
    <row r="9" spans="1:16" ht="13.95" customHeight="1">
      <c r="B9" s="112" t="s">
        <v>148</v>
      </c>
      <c r="C9" s="113">
        <f>SUM('budget (11)'!D40:D41)</f>
        <v>171771292</v>
      </c>
      <c r="D9" s="170">
        <v>189969380</v>
      </c>
      <c r="E9" s="170">
        <f>D9/$E$3</f>
        <v>3219820</v>
      </c>
      <c r="F9" s="133">
        <f>+'Finanzas 09.24'!C6</f>
        <v>1525635.12</v>
      </c>
      <c r="G9" s="133">
        <f>+'Finanzas 09.24'!D6</f>
        <v>1406537.98</v>
      </c>
      <c r="H9" s="133">
        <f>+'CXP 09.24'!B10</f>
        <v>307672.8</v>
      </c>
      <c r="I9" s="133"/>
      <c r="J9" s="133">
        <f>+G9-H9+I9</f>
        <v>1098865.18</v>
      </c>
      <c r="K9" s="127">
        <f>F9-J9</f>
        <v>426769.94000000018</v>
      </c>
      <c r="L9" s="127">
        <f>+D9-F9</f>
        <v>188443744.88</v>
      </c>
      <c r="M9" s="183"/>
      <c r="N9" s="184"/>
      <c r="O9" s="183"/>
      <c r="P9" s="183"/>
    </row>
    <row r="10" spans="1:16">
      <c r="B10" s="115" t="s">
        <v>40</v>
      </c>
      <c r="C10" s="118">
        <f>SUM('budget (11)'!D42)</f>
        <v>34354258</v>
      </c>
      <c r="D10" s="171">
        <v>37993876</v>
      </c>
      <c r="E10" s="171">
        <f>D10/$E$3</f>
        <v>643964</v>
      </c>
      <c r="F10" s="134">
        <f>SUM('budget (11)'!E42)</f>
        <v>0</v>
      </c>
      <c r="G10" s="134"/>
      <c r="H10" s="134"/>
      <c r="I10" s="134"/>
      <c r="J10" s="134">
        <f t="shared" si="0"/>
        <v>0</v>
      </c>
      <c r="K10" s="129">
        <f t="shared" si="1"/>
        <v>0</v>
      </c>
      <c r="L10" s="129">
        <f>+D10-F10</f>
        <v>37993876</v>
      </c>
      <c r="M10" s="183"/>
      <c r="N10" s="184"/>
      <c r="O10" s="183"/>
      <c r="P10" s="183"/>
    </row>
    <row r="11" spans="1:16">
      <c r="B11" s="254" t="s">
        <v>41</v>
      </c>
      <c r="C11" s="261">
        <f t="shared" ref="C11:I11" si="2">SUM(C6:C10)</f>
        <v>1923838470</v>
      </c>
      <c r="D11" s="261">
        <f>SUM(D6:D10)</f>
        <v>2165650928</v>
      </c>
      <c r="E11" s="261">
        <f>SUM(E6:E10)</f>
        <v>36705947.93220339</v>
      </c>
      <c r="F11" s="262">
        <f t="shared" si="2"/>
        <v>12178252.57</v>
      </c>
      <c r="G11" s="262">
        <f t="shared" si="2"/>
        <v>11403585.370000001</v>
      </c>
      <c r="H11" s="262">
        <f t="shared" si="2"/>
        <v>307672.8</v>
      </c>
      <c r="I11" s="262">
        <f t="shared" si="2"/>
        <v>436271.06508529</v>
      </c>
      <c r="J11" s="262">
        <f>SUM(J6:J10)</f>
        <v>11532183.63508529</v>
      </c>
      <c r="K11" s="262">
        <f>SUM(K6:K10)</f>
        <v>646068.93491470884</v>
      </c>
      <c r="L11" s="262">
        <f>SUM(L6:L10)</f>
        <v>2115478799.4299998</v>
      </c>
      <c r="M11" s="183"/>
      <c r="N11" s="184"/>
      <c r="O11" s="183"/>
      <c r="P11" s="183"/>
    </row>
    <row r="12" spans="1:16">
      <c r="B12" s="112" t="s">
        <v>42</v>
      </c>
      <c r="C12" s="163">
        <f>SUM('budget (11)'!D43)</f>
        <v>137417034</v>
      </c>
      <c r="D12" s="175">
        <v>151975504</v>
      </c>
      <c r="E12" s="175">
        <f>D12/$E$3</f>
        <v>2575856</v>
      </c>
      <c r="F12" s="179">
        <f>+'Finanzas 09.24'!C8</f>
        <v>161175.97</v>
      </c>
      <c r="G12" s="179">
        <f>+'Finanzas 09.24'!D8</f>
        <v>161175.97</v>
      </c>
      <c r="H12" s="179"/>
      <c r="I12" s="179"/>
      <c r="J12" s="179">
        <f>+G12-H12+I12</f>
        <v>161175.97</v>
      </c>
      <c r="K12" s="179">
        <f t="shared" si="1"/>
        <v>0</v>
      </c>
      <c r="L12" s="179">
        <f>+D12-F12</f>
        <v>151814328.03</v>
      </c>
      <c r="M12" s="183"/>
      <c r="N12" s="184"/>
      <c r="O12" s="183"/>
      <c r="P12" s="183"/>
    </row>
    <row r="13" spans="1:16">
      <c r="B13" s="115" t="s">
        <v>43</v>
      </c>
      <c r="C13" s="165">
        <f>SUM('budget (11)'!D45:D46)</f>
        <v>281704919</v>
      </c>
      <c r="D13" s="176">
        <v>308130334</v>
      </c>
      <c r="E13" s="176">
        <f>D13/$E$3</f>
        <v>5222548.0338983051</v>
      </c>
      <c r="F13" s="178">
        <f>+'Finanzas 09.24'!C9</f>
        <v>0</v>
      </c>
      <c r="G13" s="178"/>
      <c r="H13" s="178"/>
      <c r="I13" s="178"/>
      <c r="J13" s="178">
        <f t="shared" ref="J13:J16" si="3">+G13-H13+I13</f>
        <v>0</v>
      </c>
      <c r="K13" s="178">
        <f t="shared" si="1"/>
        <v>0</v>
      </c>
      <c r="L13" s="178">
        <f>+D13-F13</f>
        <v>308130334</v>
      </c>
      <c r="M13" s="183"/>
      <c r="N13" s="184"/>
      <c r="O13" s="183"/>
      <c r="P13" s="183"/>
    </row>
    <row r="14" spans="1:16">
      <c r="B14" s="112" t="s">
        <v>44</v>
      </c>
      <c r="C14" s="163">
        <f>SUM('budget (11)'!D47)</f>
        <v>67334346</v>
      </c>
      <c r="D14" s="175">
        <v>75797782</v>
      </c>
      <c r="E14" s="175">
        <f>D14/$E$3</f>
        <v>1284708.1694915255</v>
      </c>
      <c r="F14" s="179">
        <f>+'Finanzas 09.24'!C10</f>
        <v>237853.9</v>
      </c>
      <c r="G14" s="179">
        <f>+'Finanzas 09.24'!D10</f>
        <v>237853.9</v>
      </c>
      <c r="H14" s="179"/>
      <c r="I14" s="179"/>
      <c r="J14" s="179">
        <f t="shared" si="3"/>
        <v>237853.9</v>
      </c>
      <c r="K14" s="179">
        <f t="shared" si="1"/>
        <v>0</v>
      </c>
      <c r="L14" s="179">
        <f>+D14-F14</f>
        <v>75559928.099999994</v>
      </c>
      <c r="M14" s="183"/>
      <c r="N14" s="184"/>
      <c r="O14" s="183"/>
      <c r="P14" s="183"/>
    </row>
    <row r="15" spans="1:16">
      <c r="A15">
        <v>1</v>
      </c>
      <c r="B15" s="115" t="s">
        <v>45</v>
      </c>
      <c r="C15" s="165">
        <f>SUM('budget (11)'!D48:D49)</f>
        <v>51531387.949999996</v>
      </c>
      <c r="D15" s="176">
        <v>56990814</v>
      </c>
      <c r="E15" s="176">
        <f>D15/$E$3</f>
        <v>965946</v>
      </c>
      <c r="F15" s="178">
        <f>+'Finanzas 09.24'!C11</f>
        <v>10757675.4</v>
      </c>
      <c r="G15" s="178">
        <f>+'Finanzas 09.24'!D11</f>
        <v>6276981.1200000001</v>
      </c>
      <c r="H15" s="178">
        <f>+'CXP 09.24'!B19</f>
        <v>4374</v>
      </c>
      <c r="I15" s="178">
        <f>-'ANTICIPO 09.24'!F15-'ANTICIPO 09.24'!F17-'ANTICIPO 09.24'!F18</f>
        <v>1453562.5249147099</v>
      </c>
      <c r="J15" s="178">
        <f>+G15-H15+I15</f>
        <v>7726169.64491471</v>
      </c>
      <c r="K15" s="178">
        <f>F15-J15</f>
        <v>3031505.7550852904</v>
      </c>
      <c r="L15" s="178">
        <f>+D15-F15</f>
        <v>46233138.600000001</v>
      </c>
      <c r="M15" s="183"/>
      <c r="N15" s="184"/>
      <c r="O15" s="183"/>
      <c r="P15" s="183"/>
    </row>
    <row r="16" spans="1:16">
      <c r="B16" s="112" t="s">
        <v>46</v>
      </c>
      <c r="C16" s="163">
        <f>SUM('budget (11)'!D50)</f>
        <v>19238385</v>
      </c>
      <c r="D16" s="175">
        <v>21656506</v>
      </c>
      <c r="E16" s="175">
        <f>D16/$E$3</f>
        <v>367059.42372881353</v>
      </c>
      <c r="F16" s="179">
        <f>SUM('budget (11)'!E50)</f>
        <v>0</v>
      </c>
      <c r="G16" s="179"/>
      <c r="H16" s="179"/>
      <c r="I16" s="179"/>
      <c r="J16" s="179">
        <f t="shared" si="3"/>
        <v>0</v>
      </c>
      <c r="K16" s="179">
        <f t="shared" si="1"/>
        <v>0</v>
      </c>
      <c r="L16" s="179">
        <f>+D16-F16</f>
        <v>21656506</v>
      </c>
      <c r="M16" s="183"/>
      <c r="N16" s="184"/>
      <c r="O16" s="183"/>
      <c r="P16" s="183"/>
    </row>
    <row r="17" spans="2:16">
      <c r="B17" s="254" t="s">
        <v>47</v>
      </c>
      <c r="C17" s="261">
        <f t="shared" ref="C17:K17" si="4">SUM(C12:C16)</f>
        <v>557226071.95000005</v>
      </c>
      <c r="D17" s="261">
        <f t="shared" si="4"/>
        <v>614550940</v>
      </c>
      <c r="E17" s="261">
        <f>SUM(E12:E16)</f>
        <v>10416117.627118645</v>
      </c>
      <c r="F17" s="262">
        <f t="shared" si="4"/>
        <v>11156705.27</v>
      </c>
      <c r="G17" s="262">
        <f t="shared" si="4"/>
        <v>6676010.9900000002</v>
      </c>
      <c r="H17" s="262">
        <f t="shared" si="4"/>
        <v>4374</v>
      </c>
      <c r="I17" s="262">
        <f t="shared" si="4"/>
        <v>1453562.5249147099</v>
      </c>
      <c r="J17" s="262">
        <f t="shared" si="4"/>
        <v>8125199.5149147101</v>
      </c>
      <c r="K17" s="262">
        <f t="shared" si="4"/>
        <v>3031505.7550852904</v>
      </c>
      <c r="L17" s="262">
        <f t="shared" ref="L17" si="5">SUM(L12:L16)</f>
        <v>603394234.73000002</v>
      </c>
      <c r="M17" s="183"/>
      <c r="N17" s="184"/>
      <c r="O17" s="183"/>
      <c r="P17" s="183"/>
    </row>
    <row r="18" spans="2:16">
      <c r="B18" s="112" t="s">
        <v>48</v>
      </c>
      <c r="C18" s="401">
        <f>SUM('budget (11)'!D51:D52)</f>
        <v>15000000</v>
      </c>
      <c r="D18" s="482">
        <v>30500000</v>
      </c>
      <c r="E18" s="482">
        <f>D18/$E$3</f>
        <v>516949.15254237287</v>
      </c>
      <c r="F18" s="402">
        <f>+'Finanzas 09.24'!C13</f>
        <v>15920578.65</v>
      </c>
      <c r="G18" s="402">
        <f>+'Finanzas 09.24'!D13</f>
        <v>9725292.8499999996</v>
      </c>
      <c r="H18" s="402"/>
      <c r="I18" s="402"/>
      <c r="J18" s="402">
        <f>+G18-H18+I18</f>
        <v>9725292.8499999996</v>
      </c>
      <c r="K18" s="179">
        <f>F18-J18</f>
        <v>6195285.8000000007</v>
      </c>
      <c r="L18" s="179">
        <f>+D18-F18</f>
        <v>14579421.35</v>
      </c>
      <c r="M18" s="183"/>
      <c r="N18" s="184"/>
      <c r="O18" s="183"/>
      <c r="P18" s="185"/>
    </row>
    <row r="19" spans="2:16">
      <c r="B19" s="115" t="s">
        <v>49</v>
      </c>
      <c r="C19" s="165">
        <f>SUM('budget (11)'!D4:D10)</f>
        <v>20789999.999999996</v>
      </c>
      <c r="D19" s="176">
        <v>20789999.999999996</v>
      </c>
      <c r="E19" s="176">
        <f>D19/$E$3</f>
        <v>352372.88135593216</v>
      </c>
      <c r="F19" s="178">
        <f>+'Finanzas 09.24'!C3</f>
        <v>20360289.559999999</v>
      </c>
      <c r="G19" s="178">
        <f>+'Finanzas 09.24'!D3</f>
        <v>19304681.760000002</v>
      </c>
      <c r="H19" s="178">
        <f>+'CXP 09.24'!B15</f>
        <v>434094.76</v>
      </c>
      <c r="I19" s="178">
        <f>-'ANTICIPO 09.24'!F13</f>
        <v>351250</v>
      </c>
      <c r="J19" s="178">
        <f>+G19-H19+I19</f>
        <v>19221837</v>
      </c>
      <c r="K19" s="178">
        <f>F19-J19</f>
        <v>1138452.5599999987</v>
      </c>
      <c r="L19" s="178">
        <f>+D19-F19</f>
        <v>429710.43999999762</v>
      </c>
      <c r="M19" s="183"/>
      <c r="N19" s="184"/>
      <c r="O19" s="183"/>
      <c r="P19" s="183"/>
    </row>
    <row r="20" spans="2:16">
      <c r="B20" s="112" t="s">
        <v>50</v>
      </c>
      <c r="C20" s="163">
        <f>SUM('budget (11)'!D54)</f>
        <v>192383847</v>
      </c>
      <c r="D20" s="175">
        <v>216565093</v>
      </c>
      <c r="E20" s="175">
        <f>D20/$E$3</f>
        <v>3670594.7966101696</v>
      </c>
      <c r="F20" s="179">
        <f>SUM('budget (11)'!E54)</f>
        <v>0</v>
      </c>
      <c r="G20" s="179"/>
      <c r="H20" s="179"/>
      <c r="I20" s="179"/>
      <c r="J20" s="179">
        <f t="shared" ref="J20:J21" si="6">+G20-H20+I20</f>
        <v>0</v>
      </c>
      <c r="K20" s="179">
        <f t="shared" si="1"/>
        <v>0</v>
      </c>
      <c r="L20" s="179">
        <f>+D20-F20</f>
        <v>216565093</v>
      </c>
      <c r="M20" s="183"/>
      <c r="N20" s="184"/>
      <c r="O20" s="183"/>
      <c r="P20" s="183"/>
    </row>
    <row r="21" spans="2:16">
      <c r="B21" s="115" t="s">
        <v>51</v>
      </c>
      <c r="C21" s="165">
        <f>SUM('budget (11)'!D53)</f>
        <v>19238385</v>
      </c>
      <c r="D21" s="176">
        <v>21656509</v>
      </c>
      <c r="E21" s="176">
        <f>D21/$E$3</f>
        <v>367059.4745762712</v>
      </c>
      <c r="F21" s="178">
        <f>SUM('budget (11)'!E53)</f>
        <v>0</v>
      </c>
      <c r="G21" s="178"/>
      <c r="H21" s="178"/>
      <c r="I21" s="178"/>
      <c r="J21" s="178">
        <f t="shared" si="6"/>
        <v>0</v>
      </c>
      <c r="K21" s="178">
        <f t="shared" si="1"/>
        <v>0</v>
      </c>
      <c r="L21" s="178">
        <f>+D21-F21</f>
        <v>21656509</v>
      </c>
      <c r="M21" s="183"/>
      <c r="N21" s="184"/>
      <c r="O21" s="183"/>
      <c r="P21" s="183"/>
    </row>
    <row r="22" spans="2:16">
      <c r="B22" s="254" t="s">
        <v>52</v>
      </c>
      <c r="C22" s="261">
        <f t="shared" ref="C22:L22" si="7">SUM(C18:C21)</f>
        <v>247412232</v>
      </c>
      <c r="D22" s="261">
        <f t="shared" si="7"/>
        <v>289511602</v>
      </c>
      <c r="E22" s="261">
        <f t="shared" si="7"/>
        <v>4906976.3050847454</v>
      </c>
      <c r="F22" s="262">
        <f t="shared" si="7"/>
        <v>36280868.210000001</v>
      </c>
      <c r="G22" s="262">
        <f t="shared" si="7"/>
        <v>29029974.609999999</v>
      </c>
      <c r="H22" s="262">
        <f t="shared" si="7"/>
        <v>434094.76</v>
      </c>
      <c r="I22" s="262">
        <f t="shared" si="7"/>
        <v>351250</v>
      </c>
      <c r="J22" s="262">
        <f t="shared" si="7"/>
        <v>28947129.850000001</v>
      </c>
      <c r="K22" s="262">
        <f t="shared" si="7"/>
        <v>7333738.3599999994</v>
      </c>
      <c r="L22" s="262">
        <f t="shared" si="7"/>
        <v>253230733.78999999</v>
      </c>
      <c r="M22" s="183"/>
      <c r="N22" s="184"/>
      <c r="O22" s="183"/>
      <c r="P22" s="183"/>
    </row>
    <row r="23" spans="2:16" ht="18.600000000000001" thickBot="1">
      <c r="B23" s="333" t="s">
        <v>229</v>
      </c>
      <c r="C23" s="331">
        <f>C5+C11+C17+C22</f>
        <v>2831861942.9499998</v>
      </c>
      <c r="D23" s="331">
        <f>D5+D11+D17+D22</f>
        <v>3173098639</v>
      </c>
      <c r="E23" s="331">
        <f>E5+E11+E17+E22</f>
        <v>53781332.864406779</v>
      </c>
      <c r="F23" s="329">
        <f t="shared" ref="F23:L23" si="8">F22+F17+F11+F5</f>
        <v>153788167.88</v>
      </c>
      <c r="G23" s="329">
        <f t="shared" si="8"/>
        <v>141281912.80000001</v>
      </c>
      <c r="H23" s="329">
        <f t="shared" si="8"/>
        <v>746141.56</v>
      </c>
      <c r="I23" s="329">
        <f t="shared" si="8"/>
        <v>2241083.59</v>
      </c>
      <c r="J23" s="329">
        <f>J22+J17+J11+J5</f>
        <v>142776854.83000001</v>
      </c>
      <c r="K23" s="329">
        <f>K22+K17+K11+K5</f>
        <v>11011313.049999997</v>
      </c>
      <c r="L23" s="329">
        <f t="shared" si="8"/>
        <v>2981316595.1199999</v>
      </c>
      <c r="M23" s="183"/>
      <c r="N23" s="184"/>
      <c r="O23" s="183"/>
      <c r="P23" s="183"/>
    </row>
    <row r="24" spans="2:16" ht="15" thickBot="1">
      <c r="F24" s="369">
        <f>+F23-F9-F12-F13</f>
        <v>152101356.78999999</v>
      </c>
      <c r="G24" s="369"/>
      <c r="H24" s="369"/>
      <c r="I24" s="369"/>
      <c r="J24" s="369"/>
      <c r="K24" s="320"/>
      <c r="L24" s="368"/>
    </row>
    <row r="25" spans="2:16" ht="15" thickBot="1">
      <c r="D25" s="320"/>
      <c r="F25" s="368">
        <v>15099922.65</v>
      </c>
      <c r="G25" s="368"/>
      <c r="H25" s="434" t="s">
        <v>653</v>
      </c>
      <c r="I25" s="435">
        <f>+'BCE 09.24'!C37</f>
        <v>159695773.63999999</v>
      </c>
      <c r="J25" s="368">
        <v>160000000</v>
      </c>
      <c r="K25" s="142"/>
      <c r="L25" s="108"/>
      <c r="N25" s="186" t="s">
        <v>189</v>
      </c>
      <c r="O25" s="190">
        <v>2831861942.3920002</v>
      </c>
    </row>
    <row r="26" spans="2:16" ht="15" thickBot="1">
      <c r="D26" s="370"/>
      <c r="E26" s="320"/>
      <c r="F26" s="474">
        <f>+F18-F25</f>
        <v>820656</v>
      </c>
      <c r="H26" s="436" t="s">
        <v>654</v>
      </c>
      <c r="I26" s="437">
        <f>-'BCE 09.24'!C11-650700</f>
        <v>-17498035.349999998</v>
      </c>
      <c r="J26" s="108">
        <f>J25-J23</f>
        <v>17223145.169999987</v>
      </c>
      <c r="K26" s="320"/>
      <c r="N26" s="188" t="s">
        <v>190</v>
      </c>
      <c r="O26" s="189">
        <f>C23</f>
        <v>2831861942.9499998</v>
      </c>
    </row>
    <row r="27" spans="2:16" ht="15" thickBot="1">
      <c r="C27" s="489"/>
      <c r="D27" s="370"/>
      <c r="F27" s="474">
        <f>+F23-F26</f>
        <v>152967511.88</v>
      </c>
      <c r="H27" s="441" t="s">
        <v>655</v>
      </c>
      <c r="I27" s="442">
        <f>+'BCE 09.24'!C26+'BCE 09.24'!C27+'BCE 09.24'!C28+'BCE 09.24'!C29+'BCE 09.24'!C30</f>
        <v>482493.37</v>
      </c>
      <c r="J27" s="445">
        <f>+K23</f>
        <v>11011313.049999997</v>
      </c>
      <c r="K27" s="320"/>
      <c r="N27" s="187" t="s">
        <v>191</v>
      </c>
      <c r="O27" s="191">
        <f>O25-O26</f>
        <v>-0.55799961090087891</v>
      </c>
    </row>
    <row r="28" spans="2:16" ht="15" thickBot="1">
      <c r="C28" s="369"/>
      <c r="D28" s="370"/>
      <c r="F28" t="s">
        <v>233</v>
      </c>
      <c r="H28" s="438" t="s">
        <v>656</v>
      </c>
      <c r="I28" s="439">
        <f>SUM(I25:I27)</f>
        <v>142680231.66</v>
      </c>
      <c r="J28" s="445">
        <f>J26-J27</f>
        <v>6211832.1199999899</v>
      </c>
    </row>
    <row r="29" spans="2:16">
      <c r="C29" s="161"/>
      <c r="D29" s="370"/>
      <c r="H29" s="440" t="s">
        <v>657</v>
      </c>
      <c r="I29" s="445">
        <f>+J23</f>
        <v>142776854.83000001</v>
      </c>
    </row>
    <row r="30" spans="2:16">
      <c r="H30" s="443" t="s">
        <v>658</v>
      </c>
      <c r="I30" s="443">
        <f>+I28-I29</f>
        <v>-96623.170000016689</v>
      </c>
      <c r="J30" s="444">
        <f>+'BCE 09.24'!C38</f>
        <v>97023.17</v>
      </c>
      <c r="K30" s="444">
        <f>+I30+J30</f>
        <v>399.99999998330895</v>
      </c>
    </row>
    <row r="33" spans="2:5">
      <c r="B33" s="254" t="s">
        <v>47</v>
      </c>
    </row>
    <row r="34" spans="2:5">
      <c r="B34" s="112" t="s">
        <v>48</v>
      </c>
    </row>
    <row r="35" spans="2:5">
      <c r="B35" s="115" t="s">
        <v>49</v>
      </c>
    </row>
    <row r="36" spans="2:5">
      <c r="B36" s="112" t="s">
        <v>50</v>
      </c>
    </row>
    <row r="37" spans="2:5">
      <c r="B37" s="115" t="s">
        <v>51</v>
      </c>
    </row>
    <row r="38" spans="2:5">
      <c r="B38" s="254" t="s">
        <v>52</v>
      </c>
    </row>
    <row r="39" spans="2:5" ht="18.600000000000001" thickBot="1">
      <c r="B39" s="333" t="s">
        <v>229</v>
      </c>
    </row>
    <row r="41" spans="2:5" ht="15" thickBot="1"/>
    <row r="42" spans="2:5">
      <c r="B42" s="335" t="s">
        <v>234</v>
      </c>
      <c r="C42" s="336">
        <v>160000000</v>
      </c>
      <c r="D42" s="336"/>
      <c r="E42" s="336"/>
    </row>
    <row r="43" spans="2:5">
      <c r="B43" s="112" t="s">
        <v>153</v>
      </c>
      <c r="C43" s="403">
        <f>J23+J27</f>
        <v>153788167.88</v>
      </c>
      <c r="D43" s="403"/>
      <c r="E43" s="403">
        <f>C43/C42</f>
        <v>0.96117604925</v>
      </c>
    </row>
    <row r="44" spans="2:5" ht="15" thickBot="1">
      <c r="B44" s="339" t="s">
        <v>154</v>
      </c>
      <c r="C44" s="340">
        <f>C42-C43</f>
        <v>6211832.1200000048</v>
      </c>
      <c r="D44" s="340"/>
      <c r="E44" s="340">
        <f>C44/C42</f>
        <v>3.882395075000003E-2</v>
      </c>
    </row>
  </sheetData>
  <mergeCells count="8">
    <mergeCell ref="M1:P2"/>
    <mergeCell ref="F3:F4"/>
    <mergeCell ref="G3:G4"/>
    <mergeCell ref="H3:H4"/>
    <mergeCell ref="I3:I4"/>
    <mergeCell ref="J3:J4"/>
    <mergeCell ref="K3:K4"/>
    <mergeCell ref="L3:L4"/>
  </mergeCells>
  <conditionalFormatting sqref="M6:M7">
    <cfRule type="iconSet" priority="7">
      <iconSet iconSet="3Arrows">
        <cfvo type="percent" val="0"/>
        <cfvo type="percent" val="45"/>
        <cfvo type="percent" val="80"/>
      </iconSet>
    </cfRule>
  </conditionalFormatting>
  <conditionalFormatting sqref="M9">
    <cfRule type="iconSet" priority="1">
      <iconSet iconSet="3Arrows">
        <cfvo type="percent" val="0"/>
        <cfvo type="percent" val="45"/>
        <cfvo type="percent" val="80"/>
      </iconSet>
    </cfRule>
  </conditionalFormatting>
  <conditionalFormatting sqref="M13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M15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M19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M21">
    <cfRule type="iconSet" priority="2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7608-4759-4321-A5B1-097185DB3A5D}">
  <dimension ref="B2:J45"/>
  <sheetViews>
    <sheetView showGridLines="0" topLeftCell="B1" zoomScale="90" zoomScaleNormal="90" workbookViewId="0">
      <selection activeCell="D4" sqref="D4"/>
    </sheetView>
  </sheetViews>
  <sheetFormatPr baseColWidth="10" defaultColWidth="11.44140625" defaultRowHeight="14.4"/>
  <cols>
    <col min="1" max="1" width="18.6640625" customWidth="1"/>
    <col min="2" max="2" width="39.88671875" bestFit="1" customWidth="1"/>
    <col min="3" max="3" width="18.44140625" bestFit="1" customWidth="1"/>
    <col min="4" max="4" width="18" bestFit="1" customWidth="1"/>
    <col min="5" max="6" width="16.88671875" bestFit="1" customWidth="1"/>
    <col min="7" max="7" width="17" bestFit="1" customWidth="1"/>
    <col min="8" max="10" width="17.5546875" bestFit="1" customWidth="1"/>
  </cols>
  <sheetData>
    <row r="2" spans="2:10">
      <c r="D2">
        <v>59.9</v>
      </c>
    </row>
    <row r="3" spans="2:10">
      <c r="B3" s="142">
        <v>160000000</v>
      </c>
      <c r="C3" s="162">
        <f>B3-C4</f>
        <v>65967960.159999996</v>
      </c>
      <c r="D3" s="162">
        <f>C3-(SUM(D5:D8))</f>
        <v>41084982.207438283</v>
      </c>
    </row>
    <row r="4" spans="2:10" ht="15" thickBot="1">
      <c r="B4" s="284" t="s">
        <v>259</v>
      </c>
      <c r="C4" s="142">
        <v>94032039.840000004</v>
      </c>
      <c r="D4" s="142"/>
    </row>
    <row r="5" spans="2:10" ht="15.6" thickTop="1" thickBot="1">
      <c r="B5" s="284" t="s">
        <v>260</v>
      </c>
      <c r="C5" s="142"/>
      <c r="D5" s="162">
        <f>D10*$D$2</f>
        <v>9215810.2113617156</v>
      </c>
    </row>
    <row r="6" spans="2:10" ht="15.6" thickTop="1" thickBot="1">
      <c r="B6" s="285" t="s">
        <v>261</v>
      </c>
      <c r="C6" s="142"/>
      <c r="D6" s="162">
        <f t="shared" ref="D6:D8" si="0">D11*$D$2</f>
        <v>781278.0959999999</v>
      </c>
    </row>
    <row r="7" spans="2:10" ht="15.6" thickTop="1" thickBot="1">
      <c r="B7" s="285" t="s">
        <v>149</v>
      </c>
      <c r="C7" s="142"/>
      <c r="D7" s="162">
        <f t="shared" si="0"/>
        <v>11511123.645199999</v>
      </c>
    </row>
    <row r="8" spans="2:10" ht="15.6" thickTop="1" thickBot="1">
      <c r="B8" s="285" t="s">
        <v>262</v>
      </c>
      <c r="C8" s="142"/>
      <c r="D8" s="162">
        <f t="shared" si="0"/>
        <v>3374766</v>
      </c>
    </row>
    <row r="9" spans="2:10" ht="15" thickTop="1"/>
    <row r="10" spans="2:10">
      <c r="D10" s="142">
        <v>153853.25895428573</v>
      </c>
    </row>
    <row r="11" spans="2:10">
      <c r="D11" s="142">
        <v>13043.039999999999</v>
      </c>
    </row>
    <row r="12" spans="2:10">
      <c r="D12" s="142">
        <v>192172.348</v>
      </c>
    </row>
    <row r="13" spans="2:10">
      <c r="D13" s="142">
        <v>56340</v>
      </c>
    </row>
    <row r="16" spans="2:10" ht="31.2">
      <c r="B16" s="342"/>
      <c r="C16" s="343" t="s">
        <v>263</v>
      </c>
      <c r="D16" s="344" t="s">
        <v>765</v>
      </c>
      <c r="E16" s="343">
        <v>45566</v>
      </c>
      <c r="F16" s="343">
        <v>45597</v>
      </c>
      <c r="G16" s="343">
        <v>45627</v>
      </c>
      <c r="H16" s="343">
        <v>45658</v>
      </c>
      <c r="I16" s="343">
        <v>45689</v>
      </c>
      <c r="J16" s="343">
        <v>45717</v>
      </c>
    </row>
    <row r="17" spans="2:10" ht="15.6">
      <c r="B17" s="345" t="s">
        <v>265</v>
      </c>
      <c r="C17" s="346">
        <v>160000000</v>
      </c>
      <c r="D17" s="347"/>
      <c r="E17" s="347"/>
      <c r="F17" s="347"/>
      <c r="G17" s="347"/>
      <c r="H17" s="347"/>
      <c r="I17" s="347"/>
      <c r="J17" s="347"/>
    </row>
    <row r="18" spans="2:10" ht="15.6">
      <c r="B18" s="345" t="s">
        <v>266</v>
      </c>
      <c r="C18" s="152"/>
      <c r="D18" s="348">
        <f>C17-D19</f>
        <v>17223145.169999987</v>
      </c>
      <c r="E18" s="348">
        <f>D18-E19</f>
        <v>11406552.82758528</v>
      </c>
      <c r="F18" s="348">
        <f>E18-F19</f>
        <v>197712.04008528031</v>
      </c>
      <c r="G18" s="348">
        <f t="shared" ref="G18:J18" si="1">F18-G19</f>
        <v>-5561128.7474147193</v>
      </c>
      <c r="H18" s="348">
        <f t="shared" si="1"/>
        <v>-11011128.747414719</v>
      </c>
      <c r="I18" s="348">
        <f t="shared" si="1"/>
        <v>-15061128.747414719</v>
      </c>
      <c r="J18" s="348">
        <f t="shared" si="1"/>
        <v>-19111128.747414719</v>
      </c>
    </row>
    <row r="19" spans="2:10" ht="15.6">
      <c r="B19" s="345" t="s">
        <v>267</v>
      </c>
      <c r="C19" s="349"/>
      <c r="D19" s="346">
        <f t="shared" ref="D19:J19" si="2">SUM(D21:D33)</f>
        <v>142776854.83000001</v>
      </c>
      <c r="E19" s="346">
        <f t="shared" si="2"/>
        <v>5816592.3424147069</v>
      </c>
      <c r="F19" s="346">
        <f t="shared" si="2"/>
        <v>11208840.7875</v>
      </c>
      <c r="G19" s="346">
        <f t="shared" si="2"/>
        <v>5758840.7874999996</v>
      </c>
      <c r="H19" s="346">
        <f t="shared" si="2"/>
        <v>5450000</v>
      </c>
      <c r="I19" s="346">
        <f t="shared" si="2"/>
        <v>4050000</v>
      </c>
      <c r="J19" s="346">
        <f t="shared" si="2"/>
        <v>4050000</v>
      </c>
    </row>
    <row r="20" spans="2:10" ht="2.4" customHeight="1">
      <c r="B20" s="350"/>
      <c r="C20" s="351"/>
      <c r="D20" s="352"/>
      <c r="E20" s="352"/>
      <c r="F20" s="352"/>
      <c r="G20" s="352"/>
      <c r="H20" s="352"/>
      <c r="I20" s="352"/>
      <c r="J20" s="352"/>
    </row>
    <row r="21" spans="2:10" ht="15.6">
      <c r="B21" s="353" t="s">
        <v>259</v>
      </c>
      <c r="C21" s="354"/>
      <c r="D21" s="355">
        <f>+'PRESENTACIÓN Al 30092024'!J5</f>
        <v>94172341.829999998</v>
      </c>
      <c r="E21" s="355"/>
      <c r="F21" s="355"/>
      <c r="G21" s="355"/>
      <c r="H21" s="355"/>
      <c r="I21" s="355"/>
      <c r="J21" s="355"/>
    </row>
    <row r="22" spans="2:10" ht="15.6">
      <c r="B22" s="356" t="s">
        <v>260</v>
      </c>
      <c r="C22" s="349"/>
      <c r="D22" s="346">
        <f>+'PRESENTACIÓN Al 30092024'!J19</f>
        <v>19221837</v>
      </c>
      <c r="E22" s="346">
        <f>+'PRESENTACIÓN Al 30092024'!K19</f>
        <v>1138452.5599999987</v>
      </c>
      <c r="F22" s="346"/>
      <c r="G22" s="346"/>
      <c r="H22" s="346"/>
      <c r="I22" s="346"/>
      <c r="J22" s="346"/>
    </row>
    <row r="23" spans="2:10" ht="15.6">
      <c r="B23" s="356" t="s">
        <v>766</v>
      </c>
      <c r="C23" s="354"/>
      <c r="D23" s="355">
        <f>+'PRESENTACIÓN Al 30092024'!J14+'PRESENTACIÓN Al 30092024'!J18</f>
        <v>9963146.75</v>
      </c>
      <c r="E23" s="355">
        <v>2458840.7875000001</v>
      </c>
      <c r="F23" s="355">
        <v>2458840.7875000001</v>
      </c>
      <c r="G23" s="355">
        <v>2458840.7875000001</v>
      </c>
      <c r="H23" s="355">
        <v>1400000</v>
      </c>
      <c r="I23" s="355"/>
      <c r="J23" s="355"/>
    </row>
    <row r="24" spans="2:10" ht="15.6">
      <c r="B24" s="356" t="s">
        <v>271</v>
      </c>
      <c r="C24" s="349"/>
      <c r="D24" s="357">
        <f>+'PRESENTACIÓN Al 30092024'!J6</f>
        <v>10433318.455085291</v>
      </c>
      <c r="E24" s="346">
        <f>+'PRESENTACIÓN Al 30092024'!K6</f>
        <v>219298.99491470866</v>
      </c>
      <c r="F24" s="346"/>
      <c r="G24" s="346"/>
      <c r="H24" s="346"/>
      <c r="I24" s="346"/>
      <c r="J24" s="346"/>
    </row>
    <row r="25" spans="2:10" ht="15.6">
      <c r="B25" s="356" t="s">
        <v>449</v>
      </c>
      <c r="C25" s="354"/>
      <c r="D25" s="355">
        <f>+'PRESENTACIÓN Al 30092024'!J15</f>
        <v>7726169.64491471</v>
      </c>
      <c r="E25" s="355">
        <v>1000000</v>
      </c>
      <c r="F25" s="355">
        <v>3600000</v>
      </c>
      <c r="G25" s="355">
        <v>1650000</v>
      </c>
      <c r="H25" s="355">
        <v>1650000</v>
      </c>
      <c r="I25" s="355">
        <v>1650000</v>
      </c>
      <c r="J25" s="355">
        <v>1650000</v>
      </c>
    </row>
    <row r="26" spans="2:10" ht="15.6">
      <c r="B26" s="358"/>
      <c r="C26" s="349"/>
      <c r="D26" s="346"/>
      <c r="E26" s="346"/>
      <c r="F26" s="346"/>
      <c r="G26" s="346"/>
      <c r="H26" s="346"/>
      <c r="I26" s="346"/>
      <c r="J26" s="346"/>
    </row>
    <row r="27" spans="2:10" ht="3.6" customHeight="1">
      <c r="B27" s="359"/>
      <c r="C27" s="360"/>
      <c r="D27" s="361"/>
      <c r="E27" s="361"/>
      <c r="F27" s="361"/>
      <c r="G27" s="361"/>
      <c r="H27" s="361"/>
      <c r="I27" s="361"/>
      <c r="J27" s="361"/>
    </row>
    <row r="28" spans="2:10" ht="15.6">
      <c r="B28" s="362" t="s">
        <v>767</v>
      </c>
      <c r="C28" s="484"/>
      <c r="D28" s="485">
        <f>+'PRESENTACIÓN Al 30092024'!J9+'PRESENTACIÓN Al 30092024'!J12</f>
        <v>1260041.1499999999</v>
      </c>
      <c r="E28" s="485">
        <v>500000</v>
      </c>
      <c r="F28" s="485">
        <v>500000</v>
      </c>
      <c r="G28" s="485">
        <v>500000</v>
      </c>
      <c r="H28" s="485">
        <v>1000000</v>
      </c>
      <c r="I28" s="485">
        <v>1000000</v>
      </c>
      <c r="J28" s="485">
        <v>1000000</v>
      </c>
    </row>
    <row r="29" spans="2:10" ht="15.6">
      <c r="B29" s="362" t="s">
        <v>768</v>
      </c>
      <c r="C29" s="484"/>
      <c r="D29" s="485"/>
      <c r="E29" s="485">
        <v>500000</v>
      </c>
      <c r="F29" s="485">
        <v>500000</v>
      </c>
      <c r="G29" s="485">
        <v>500000</v>
      </c>
      <c r="H29" s="485">
        <v>750000</v>
      </c>
      <c r="I29" s="485">
        <v>750000</v>
      </c>
      <c r="J29" s="485">
        <v>750000</v>
      </c>
    </row>
    <row r="30" spans="2:10" ht="15.6">
      <c r="B30" s="486" t="s">
        <v>769</v>
      </c>
      <c r="C30" s="487"/>
      <c r="D30" s="488"/>
      <c r="E30" s="488"/>
      <c r="F30" s="488">
        <v>650000</v>
      </c>
      <c r="G30" s="488">
        <v>650000</v>
      </c>
      <c r="H30" s="488">
        <v>650000</v>
      </c>
      <c r="I30" s="488">
        <v>650000</v>
      </c>
      <c r="J30" s="488">
        <v>650000</v>
      </c>
    </row>
    <row r="31" spans="2:10" ht="15.6">
      <c r="B31" s="362" t="s">
        <v>770</v>
      </c>
      <c r="C31" s="484"/>
      <c r="D31" s="485"/>
      <c r="E31" s="485"/>
      <c r="F31" s="485">
        <v>500000</v>
      </c>
      <c r="G31" s="485"/>
      <c r="H31" s="485"/>
      <c r="I31" s="485"/>
      <c r="J31" s="485"/>
    </row>
    <row r="32" spans="2:10" ht="15.6">
      <c r="B32" s="362" t="s">
        <v>273</v>
      </c>
      <c r="C32" s="349"/>
      <c r="D32" s="346"/>
      <c r="E32" s="346"/>
      <c r="F32" s="346"/>
      <c r="G32" s="346"/>
      <c r="H32" s="346"/>
      <c r="I32" s="346"/>
      <c r="J32" s="346"/>
    </row>
    <row r="33" spans="2:6" ht="15.6">
      <c r="B33" s="362" t="s">
        <v>274</v>
      </c>
      <c r="C33" s="365"/>
      <c r="D33" s="355"/>
      <c r="E33" s="355"/>
      <c r="F33" s="355">
        <v>3000000</v>
      </c>
    </row>
    <row r="34" spans="2:6">
      <c r="C34" s="298"/>
      <c r="D34" s="299"/>
    </row>
    <row r="35" spans="2:6">
      <c r="E35" s="162"/>
    </row>
    <row r="41" spans="2:6">
      <c r="B41" s="142">
        <v>4837716.2100000009</v>
      </c>
    </row>
    <row r="42" spans="2:6">
      <c r="B42" s="142">
        <v>6800000</v>
      </c>
      <c r="C42" t="s">
        <v>230</v>
      </c>
    </row>
    <row r="43" spans="2:6">
      <c r="B43" s="142">
        <v>8480849.7899999991</v>
      </c>
      <c r="C43" t="s">
        <v>231</v>
      </c>
    </row>
    <row r="44" spans="2:6">
      <c r="B44" s="142">
        <v>2390947.54</v>
      </c>
      <c r="C44" t="s">
        <v>232</v>
      </c>
    </row>
    <row r="45" spans="2:6">
      <c r="B45" s="162">
        <f>SUM(B41:B44)</f>
        <v>22509513.539999999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342C0-A910-414C-A912-78CAABB7F42D}">
  <dimension ref="A1:D30"/>
  <sheetViews>
    <sheetView showGridLines="0" zoomScaleNormal="100" workbookViewId="0">
      <selection activeCell="D4" sqref="D4"/>
    </sheetView>
  </sheetViews>
  <sheetFormatPr baseColWidth="10" defaultColWidth="8" defaultRowHeight="11.4"/>
  <cols>
    <col min="1" max="1" width="51.33203125" style="490" customWidth="1"/>
    <col min="2" max="2" width="12.6640625" style="490" customWidth="1"/>
    <col min="3" max="3" width="17.6640625" style="490" customWidth="1"/>
    <col min="4" max="4" width="9.88671875" style="490" customWidth="1"/>
    <col min="5" max="16384" width="8" style="490"/>
  </cols>
  <sheetData>
    <row r="1" spans="1:4" s="497" customFormat="1" ht="16.649999999999999" customHeight="1">
      <c r="A1" s="1909" t="s">
        <v>771</v>
      </c>
      <c r="B1" s="1909"/>
      <c r="C1" s="1909"/>
      <c r="D1" s="1909"/>
    </row>
    <row r="2" spans="1:4" s="496" customFormat="1" ht="14.4" customHeight="1">
      <c r="A2" s="1910" t="s">
        <v>236</v>
      </c>
      <c r="B2" s="1910"/>
      <c r="C2" s="1910"/>
      <c r="D2" s="1910"/>
    </row>
    <row r="3" spans="1:4" s="496" customFormat="1" ht="14.4" customHeight="1">
      <c r="A3" s="1910" t="s">
        <v>772</v>
      </c>
      <c r="B3" s="1910"/>
      <c r="C3" s="1910"/>
      <c r="D3" s="1910"/>
    </row>
    <row r="4" spans="1:4" s="496" customFormat="1" ht="14.4" customHeight="1">
      <c r="A4" s="1910" t="s">
        <v>724</v>
      </c>
      <c r="B4" s="1910"/>
      <c r="C4" s="1910"/>
      <c r="D4" s="1910"/>
    </row>
    <row r="5" spans="1:4" ht="13.35" customHeight="1"/>
    <row r="6" spans="1:4" s="495" customFormat="1" ht="12.15" customHeight="1">
      <c r="A6" s="1911" t="s">
        <v>690</v>
      </c>
      <c r="B6" s="1911" t="s">
        <v>689</v>
      </c>
      <c r="C6" s="1911" t="s">
        <v>773</v>
      </c>
      <c r="D6" s="1912" t="s">
        <v>164</v>
      </c>
    </row>
    <row r="7" spans="1:4" ht="13.35" customHeight="1"/>
    <row r="8" spans="1:4" s="495" customFormat="1" ht="12.15" customHeight="1">
      <c r="A8" s="1913" t="s">
        <v>272</v>
      </c>
      <c r="B8" s="1913"/>
      <c r="C8" s="1913"/>
      <c r="D8" s="1913"/>
    </row>
    <row r="9" spans="1:4" ht="10.95" customHeight="1">
      <c r="A9" s="494" t="s">
        <v>715</v>
      </c>
      <c r="B9" s="499">
        <v>45626</v>
      </c>
      <c r="C9" s="494" t="s">
        <v>774</v>
      </c>
      <c r="D9" s="493">
        <v>19672.22</v>
      </c>
    </row>
    <row r="10" spans="1:4" ht="10.95" customHeight="1">
      <c r="A10" s="1914" t="s">
        <v>775</v>
      </c>
      <c r="B10" s="1914"/>
      <c r="C10" s="1914"/>
      <c r="D10" s="1915">
        <f>D9</f>
        <v>19672.22</v>
      </c>
    </row>
    <row r="11" spans="1:4" ht="13.35" customHeight="1"/>
    <row r="12" spans="1:4" s="495" customFormat="1" ht="12.15" customHeight="1">
      <c r="A12" s="1913" t="s">
        <v>727</v>
      </c>
      <c r="B12" s="1913"/>
      <c r="C12" s="1913"/>
      <c r="D12" s="1913"/>
    </row>
    <row r="13" spans="1:4" ht="10.95" customHeight="1">
      <c r="A13" s="494" t="s">
        <v>373</v>
      </c>
      <c r="B13" s="499">
        <v>45453</v>
      </c>
      <c r="C13" s="494" t="s">
        <v>696</v>
      </c>
      <c r="D13" s="493">
        <v>60314.2</v>
      </c>
    </row>
    <row r="14" spans="1:4" ht="10.95" customHeight="1">
      <c r="A14" s="492" t="s">
        <v>323</v>
      </c>
      <c r="B14" s="498">
        <v>45623</v>
      </c>
      <c r="C14" s="492" t="s">
        <v>776</v>
      </c>
      <c r="D14" s="491">
        <v>123801.1</v>
      </c>
    </row>
    <row r="15" spans="1:4" ht="10.95" customHeight="1">
      <c r="A15" s="1914" t="s">
        <v>729</v>
      </c>
      <c r="B15" s="1914"/>
      <c r="C15" s="1914"/>
      <c r="D15" s="1915">
        <f>SUM(D13:D14)</f>
        <v>184115.3</v>
      </c>
    </row>
    <row r="17" spans="1:4" s="495" customFormat="1" ht="12.15" customHeight="1">
      <c r="A17" s="1913" t="s">
        <v>777</v>
      </c>
      <c r="B17" s="1913"/>
      <c r="C17" s="1913"/>
      <c r="D17" s="1913"/>
    </row>
    <row r="18" spans="1:4" ht="10.95" customHeight="1">
      <c r="A18" s="494" t="s">
        <v>778</v>
      </c>
      <c r="B18" s="499">
        <v>45626</v>
      </c>
      <c r="C18" s="494" t="s">
        <v>779</v>
      </c>
      <c r="D18" s="493">
        <v>279677.77</v>
      </c>
    </row>
    <row r="19" spans="1:4" ht="10.95" customHeight="1">
      <c r="A19" s="1914" t="s">
        <v>780</v>
      </c>
      <c r="B19" s="1914"/>
      <c r="C19" s="1914"/>
      <c r="D19" s="1915">
        <f>D18</f>
        <v>279677.77</v>
      </c>
    </row>
    <row r="20" spans="1:4" ht="13.35" customHeight="1"/>
    <row r="21" spans="1:4" s="495" customFormat="1" ht="12.15" customHeight="1">
      <c r="A21" s="1913" t="s">
        <v>730</v>
      </c>
      <c r="B21" s="1913"/>
      <c r="C21" s="1913"/>
      <c r="D21" s="1913"/>
    </row>
    <row r="22" spans="1:4" ht="10.95" customHeight="1">
      <c r="A22" s="494" t="s">
        <v>781</v>
      </c>
      <c r="B22" s="499">
        <v>45614</v>
      </c>
      <c r="C22" s="494" t="s">
        <v>782</v>
      </c>
      <c r="D22" s="493">
        <v>74800</v>
      </c>
    </row>
    <row r="23" spans="1:4" ht="10.95" customHeight="1">
      <c r="A23" s="492" t="s">
        <v>781</v>
      </c>
      <c r="B23" s="498">
        <v>45616</v>
      </c>
      <c r="C23" s="492" t="s">
        <v>783</v>
      </c>
      <c r="D23" s="491">
        <v>18802</v>
      </c>
    </row>
    <row r="24" spans="1:4" ht="10.95" customHeight="1">
      <c r="A24" s="492" t="s">
        <v>756</v>
      </c>
      <c r="B24" s="498">
        <v>45624</v>
      </c>
      <c r="C24" s="492" t="s">
        <v>784</v>
      </c>
      <c r="D24" s="491">
        <v>88264</v>
      </c>
    </row>
    <row r="25" spans="1:4" ht="10.95" customHeight="1">
      <c r="A25" s="492" t="s">
        <v>715</v>
      </c>
      <c r="B25" s="498">
        <v>45624</v>
      </c>
      <c r="C25" s="492" t="s">
        <v>785</v>
      </c>
      <c r="D25" s="491">
        <v>282126</v>
      </c>
    </row>
    <row r="26" spans="1:4" ht="10.95" customHeight="1">
      <c r="A26" s="1914" t="s">
        <v>731</v>
      </c>
      <c r="B26" s="1914"/>
      <c r="C26" s="1914"/>
      <c r="D26" s="1915">
        <f>SUM(D22:D25)</f>
        <v>463992</v>
      </c>
    </row>
    <row r="27" spans="1:4" ht="13.35" customHeight="1"/>
    <row r="28" spans="1:4" ht="10.95" customHeight="1">
      <c r="A28" s="1916" t="s">
        <v>164</v>
      </c>
      <c r="B28" s="1916"/>
      <c r="C28" s="1916"/>
      <c r="D28" s="1917">
        <f>SUM(D10,D15,D19,D26)</f>
        <v>947457.29</v>
      </c>
    </row>
    <row r="29" spans="1:4" ht="13.35" customHeight="1"/>
    <row r="30" spans="1:4" ht="10.95" customHeight="1">
      <c r="A30" s="1916" t="s">
        <v>732</v>
      </c>
      <c r="B30" s="1916"/>
      <c r="C30" s="1916"/>
      <c r="D30" s="1918">
        <f>(SUM(D10,D15,D19,D26) / SUM(D10,D15,D19,D26))</f>
        <v>1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B6111-571B-4DE1-BAF8-C80F46BB101E}">
  <dimension ref="A1:G17"/>
  <sheetViews>
    <sheetView workbookViewId="0">
      <selection activeCell="D4" sqref="D4"/>
    </sheetView>
  </sheetViews>
  <sheetFormatPr baseColWidth="10" defaultColWidth="8.88671875" defaultRowHeight="13.8"/>
  <cols>
    <col min="1" max="1" width="5.88671875" style="1" bestFit="1" customWidth="1"/>
    <col min="2" max="2" width="29.44140625" style="1" bestFit="1" customWidth="1"/>
    <col min="3" max="3" width="28.33203125" style="500" bestFit="1" customWidth="1"/>
    <col min="4" max="4" width="22" style="500" bestFit="1" customWidth="1"/>
    <col min="5" max="5" width="25.33203125" style="500" bestFit="1" customWidth="1"/>
    <col min="6" max="6" width="24" style="500" customWidth="1"/>
    <col min="7" max="7" width="17.6640625" style="500" bestFit="1" customWidth="1"/>
    <col min="8" max="16384" width="8.88671875" style="1"/>
  </cols>
  <sheetData>
    <row r="1" spans="1:7">
      <c r="A1" s="503" t="s">
        <v>786</v>
      </c>
      <c r="B1" s="503" t="s">
        <v>787</v>
      </c>
      <c r="C1" s="503" t="s">
        <v>788</v>
      </c>
      <c r="D1" s="503" t="s">
        <v>789</v>
      </c>
      <c r="E1" s="503" t="s">
        <v>790</v>
      </c>
      <c r="F1" s="503" t="s">
        <v>791</v>
      </c>
      <c r="G1" s="503" t="s">
        <v>792</v>
      </c>
    </row>
    <row r="2" spans="1:7" s="504" customFormat="1">
      <c r="A2" s="504">
        <v>1</v>
      </c>
      <c r="B2" s="504" t="s">
        <v>259</v>
      </c>
      <c r="C2" s="505">
        <v>103385169</v>
      </c>
      <c r="D2" s="505"/>
      <c r="E2" s="505">
        <v>103385169</v>
      </c>
      <c r="F2" s="505">
        <v>94172341.829999998</v>
      </c>
      <c r="G2" s="505">
        <v>94172341.829999998</v>
      </c>
    </row>
    <row r="3" spans="1:7" s="504" customFormat="1">
      <c r="A3" s="504">
        <v>2</v>
      </c>
      <c r="B3" s="504" t="s">
        <v>298</v>
      </c>
      <c r="C3" s="505">
        <v>20790000</v>
      </c>
      <c r="D3" s="505">
        <v>0</v>
      </c>
      <c r="E3" s="505">
        <v>20790000</v>
      </c>
      <c r="F3" s="505">
        <v>20953109.100000001</v>
      </c>
      <c r="G3" s="505">
        <v>20098509.600000001</v>
      </c>
    </row>
    <row r="4" spans="1:7" s="504" customFormat="1">
      <c r="A4" s="507">
        <v>3</v>
      </c>
      <c r="B4" s="507" t="s">
        <v>271</v>
      </c>
      <c r="C4" s="506">
        <v>451759000</v>
      </c>
      <c r="D4" s="506"/>
      <c r="E4" s="506">
        <v>451759000</v>
      </c>
      <c r="F4" s="505">
        <v>9219083.5899999999</v>
      </c>
      <c r="G4" s="505">
        <v>9219083.5899999999</v>
      </c>
    </row>
    <row r="5" spans="1:7" s="504" customFormat="1">
      <c r="A5" s="507">
        <v>4</v>
      </c>
      <c r="B5" s="507" t="s">
        <v>681</v>
      </c>
      <c r="C5" s="506">
        <v>1265953920</v>
      </c>
      <c r="D5" s="506"/>
      <c r="E5" s="506">
        <v>1265953920</v>
      </c>
      <c r="F5" s="506">
        <v>0</v>
      </c>
      <c r="G5" s="506"/>
    </row>
    <row r="6" spans="1:7" s="504" customFormat="1">
      <c r="A6" s="504">
        <v>5</v>
      </c>
      <c r="B6" s="504" t="s">
        <v>379</v>
      </c>
      <c r="C6" s="505">
        <v>171771292</v>
      </c>
      <c r="D6" s="505">
        <v>18198088</v>
      </c>
      <c r="E6" s="505">
        <v>189969380</v>
      </c>
      <c r="F6" s="505">
        <v>1644662.03</v>
      </c>
      <c r="G6" s="505">
        <v>1644662.03</v>
      </c>
    </row>
    <row r="7" spans="1:7" s="504" customFormat="1">
      <c r="A7" s="504">
        <v>6</v>
      </c>
      <c r="B7" s="504" t="s">
        <v>682</v>
      </c>
      <c r="C7" s="505">
        <v>34354258</v>
      </c>
      <c r="D7" s="505">
        <v>3639618</v>
      </c>
      <c r="E7" s="505">
        <v>37993876</v>
      </c>
      <c r="F7" s="505">
        <v>0</v>
      </c>
      <c r="G7" s="505"/>
    </row>
    <row r="8" spans="1:7" s="504" customFormat="1">
      <c r="A8" s="504">
        <v>7</v>
      </c>
      <c r="B8" s="504" t="s">
        <v>793</v>
      </c>
      <c r="C8" s="505">
        <v>0</v>
      </c>
      <c r="D8" s="505">
        <v>37993876</v>
      </c>
      <c r="E8" s="505">
        <v>37993876</v>
      </c>
      <c r="F8" s="505">
        <v>0</v>
      </c>
      <c r="G8" s="505"/>
    </row>
    <row r="9" spans="1:7" s="504" customFormat="1">
      <c r="A9" s="504">
        <v>8</v>
      </c>
      <c r="B9" s="504" t="s">
        <v>384</v>
      </c>
      <c r="C9" s="505">
        <v>137417034</v>
      </c>
      <c r="D9" s="505">
        <v>14558470</v>
      </c>
      <c r="E9" s="505">
        <v>151975504</v>
      </c>
      <c r="F9" s="505">
        <v>161175.97</v>
      </c>
      <c r="G9" s="505">
        <v>161175.97</v>
      </c>
    </row>
    <row r="10" spans="1:7" s="504" customFormat="1">
      <c r="A10" s="504">
        <v>9</v>
      </c>
      <c r="B10" s="504" t="s">
        <v>291</v>
      </c>
      <c r="C10" s="505">
        <v>67334346</v>
      </c>
      <c r="D10" s="505">
        <v>8463436</v>
      </c>
      <c r="E10" s="505">
        <v>75797782</v>
      </c>
      <c r="F10" s="505">
        <v>330277.40000000002</v>
      </c>
      <c r="G10" s="505">
        <v>330277.40000000002</v>
      </c>
    </row>
    <row r="11" spans="1:7" s="504" customFormat="1">
      <c r="A11" s="504">
        <v>10</v>
      </c>
      <c r="B11" s="504" t="s">
        <v>387</v>
      </c>
      <c r="C11" s="505">
        <v>281704919</v>
      </c>
      <c r="D11" s="505">
        <v>26425415</v>
      </c>
      <c r="E11" s="505">
        <v>308130334</v>
      </c>
      <c r="F11" s="505">
        <v>279677.77</v>
      </c>
      <c r="G11" s="505">
        <v>279677.77</v>
      </c>
    </row>
    <row r="12" spans="1:7" s="504" customFormat="1">
      <c r="A12" s="504">
        <v>11</v>
      </c>
      <c r="B12" s="504" t="s">
        <v>416</v>
      </c>
      <c r="C12" s="505">
        <v>51531387.950000003</v>
      </c>
      <c r="D12" s="505">
        <v>5459426.0499999998</v>
      </c>
      <c r="E12" s="505">
        <v>56990814</v>
      </c>
      <c r="F12" s="505">
        <v>14045810.15</v>
      </c>
      <c r="G12" s="505">
        <v>11180540.279999999</v>
      </c>
    </row>
    <row r="13" spans="1:7" s="504" customFormat="1">
      <c r="A13" s="504">
        <v>12</v>
      </c>
      <c r="B13" s="504" t="s">
        <v>683</v>
      </c>
      <c r="C13" s="505">
        <v>19238385</v>
      </c>
      <c r="D13" s="505">
        <v>2418121</v>
      </c>
      <c r="E13" s="505">
        <v>21656506</v>
      </c>
      <c r="F13" s="505">
        <v>0</v>
      </c>
      <c r="G13" s="505"/>
    </row>
    <row r="14" spans="1:7" s="504" customFormat="1">
      <c r="A14" s="504">
        <v>13</v>
      </c>
      <c r="B14" s="504" t="s">
        <v>684</v>
      </c>
      <c r="C14" s="505">
        <v>19238385</v>
      </c>
      <c r="D14" s="505">
        <v>2418124</v>
      </c>
      <c r="E14" s="505">
        <v>21656509</v>
      </c>
      <c r="F14" s="505">
        <v>0</v>
      </c>
      <c r="G14" s="505"/>
    </row>
    <row r="15" spans="1:7" s="504" customFormat="1">
      <c r="A15" s="504">
        <v>14</v>
      </c>
      <c r="B15" s="504" t="s">
        <v>685</v>
      </c>
      <c r="C15" s="505">
        <v>192383847</v>
      </c>
      <c r="D15" s="505">
        <v>24181246</v>
      </c>
      <c r="E15" s="505">
        <v>216565093</v>
      </c>
      <c r="F15" s="505">
        <v>0</v>
      </c>
      <c r="G15" s="505"/>
    </row>
    <row r="16" spans="1:7" s="504" customFormat="1">
      <c r="A16" s="504">
        <v>15</v>
      </c>
      <c r="B16" s="504" t="s">
        <v>390</v>
      </c>
      <c r="C16" s="505">
        <v>15000000</v>
      </c>
      <c r="D16" s="505">
        <v>15500000</v>
      </c>
      <c r="E16" s="505">
        <v>30500000</v>
      </c>
      <c r="F16" s="505">
        <v>16703974.48</v>
      </c>
      <c r="G16" s="505">
        <v>12591931.289999999</v>
      </c>
    </row>
    <row r="17" spans="1:7" s="501" customFormat="1">
      <c r="A17" s="503"/>
      <c r="B17" s="503" t="s">
        <v>447</v>
      </c>
      <c r="C17" s="502">
        <f t="shared" ref="C17:E17" si="0">SUM(C2:C16)</f>
        <v>2831861942.9499998</v>
      </c>
      <c r="D17" s="502">
        <f t="shared" si="0"/>
        <v>159255820.05000001</v>
      </c>
      <c r="E17" s="502">
        <f t="shared" si="0"/>
        <v>2991117763</v>
      </c>
      <c r="F17" s="502">
        <f>SUM(F2:F16)</f>
        <v>157510112.31999999</v>
      </c>
      <c r="G17" s="502">
        <f>SUM(G2:G16)</f>
        <v>149678199.75999999</v>
      </c>
    </row>
  </sheetData>
  <autoFilter ref="A1:G1" xr:uid="{00000000-0001-0000-0000-000000000000}"/>
  <pageMargins left="0.7" right="0.7" top="0.75" bottom="0.75" header="0.3" footer="0.3"/>
  <pageSetup orientation="portrait" horizontalDpi="4294967295" verticalDpi="4294967295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8B4D6-0F40-4801-ADB2-5E9B4F493528}">
  <dimension ref="A1:E20"/>
  <sheetViews>
    <sheetView showGridLines="0" zoomScaleNormal="100" workbookViewId="0">
      <selection activeCell="D4" sqref="D4"/>
    </sheetView>
  </sheetViews>
  <sheetFormatPr baseColWidth="10" defaultColWidth="8" defaultRowHeight="11.4"/>
  <cols>
    <col min="1" max="1" width="54" style="408" customWidth="1"/>
    <col min="2" max="3" width="19.6640625" style="408" bestFit="1" customWidth="1"/>
    <col min="4" max="4" width="11.33203125" style="408" bestFit="1" customWidth="1"/>
    <col min="5" max="5" width="32.6640625" style="408" bestFit="1" customWidth="1"/>
    <col min="6" max="16384" width="8" style="408"/>
  </cols>
  <sheetData>
    <row r="1" spans="1:5" s="405" customFormat="1" ht="16.649999999999999" customHeight="1">
      <c r="A1" s="404" t="s">
        <v>748</v>
      </c>
      <c r="B1" s="404"/>
      <c r="C1" s="404"/>
      <c r="D1" s="404"/>
      <c r="E1" s="404"/>
    </row>
    <row r="2" spans="1:5" s="407" customFormat="1" ht="14.4" customHeight="1">
      <c r="A2" s="406" t="s">
        <v>236</v>
      </c>
      <c r="B2" s="406"/>
      <c r="C2" s="406"/>
      <c r="D2" s="406"/>
      <c r="E2" s="406"/>
    </row>
    <row r="3" spans="1:5" s="407" customFormat="1" ht="14.4" customHeight="1">
      <c r="A3" s="406" t="s">
        <v>749</v>
      </c>
      <c r="B3" s="406"/>
      <c r="C3" s="406"/>
      <c r="D3" s="406"/>
      <c r="E3" s="406"/>
    </row>
    <row r="4" spans="1:5" ht="13.35" customHeight="1"/>
    <row r="5" spans="1:5" ht="10.95" customHeight="1">
      <c r="A5" s="423" t="s">
        <v>750</v>
      </c>
    </row>
    <row r="6" spans="1:5" ht="10.95" customHeight="1">
      <c r="A6" s="423" t="s">
        <v>751</v>
      </c>
    </row>
    <row r="7" spans="1:5" ht="13.35" customHeight="1"/>
    <row r="8" spans="1:5" s="412" customFormat="1" ht="12.15" customHeight="1">
      <c r="A8" s="410" t="s">
        <v>690</v>
      </c>
      <c r="B8" s="410" t="s">
        <v>691</v>
      </c>
      <c r="C8" s="410" t="s">
        <v>752</v>
      </c>
      <c r="D8" s="411" t="s">
        <v>753</v>
      </c>
      <c r="E8" s="410" t="s">
        <v>695</v>
      </c>
    </row>
    <row r="9" spans="1:5" ht="10.95" customHeight="1">
      <c r="A9" s="421" t="s">
        <v>369</v>
      </c>
      <c r="B9" s="421" t="s">
        <v>713</v>
      </c>
      <c r="C9" s="429">
        <v>45266</v>
      </c>
      <c r="D9" s="422">
        <v>-273000</v>
      </c>
      <c r="E9" s="421" t="s">
        <v>49</v>
      </c>
    </row>
    <row r="10" spans="1:5" ht="10.95" customHeight="1">
      <c r="A10" s="414" t="s">
        <v>737</v>
      </c>
      <c r="B10" s="414" t="s">
        <v>738</v>
      </c>
      <c r="C10" s="430">
        <v>45429</v>
      </c>
      <c r="D10" s="415">
        <v>-40000</v>
      </c>
      <c r="E10" s="414" t="s">
        <v>49</v>
      </c>
    </row>
    <row r="11" spans="1:5" ht="10.95" customHeight="1">
      <c r="A11" s="414" t="s">
        <v>735</v>
      </c>
      <c r="B11" s="414" t="s">
        <v>736</v>
      </c>
      <c r="C11" s="430">
        <v>45469</v>
      </c>
      <c r="D11" s="415">
        <v>-38250</v>
      </c>
      <c r="E11" s="414" t="s">
        <v>49</v>
      </c>
    </row>
    <row r="12" spans="1:5" ht="10.95" customHeight="1">
      <c r="A12" s="414" t="s">
        <v>365</v>
      </c>
      <c r="B12" s="414" t="s">
        <v>794</v>
      </c>
      <c r="C12" s="430">
        <v>45616</v>
      </c>
      <c r="D12" s="415">
        <v>-195834.93</v>
      </c>
      <c r="E12" s="414" t="s">
        <v>49</v>
      </c>
    </row>
    <row r="13" spans="1:5" ht="10.95" customHeight="1">
      <c r="A13" s="414"/>
      <c r="B13" s="414"/>
      <c r="C13" s="476"/>
      <c r="D13" s="417">
        <f>SUM(D9:D12)</f>
        <v>-547084.92999999993</v>
      </c>
      <c r="E13" s="414"/>
    </row>
    <row r="14" spans="1:5" ht="10.95" customHeight="1">
      <c r="A14" s="414"/>
      <c r="B14" s="414"/>
      <c r="C14" s="430"/>
      <c r="D14" s="415"/>
      <c r="E14" s="414"/>
    </row>
    <row r="15" spans="1:5" ht="10.95" customHeight="1">
      <c r="A15" s="414" t="s">
        <v>795</v>
      </c>
      <c r="B15" s="414" t="s">
        <v>796</v>
      </c>
      <c r="C15" s="430">
        <v>45622</v>
      </c>
      <c r="D15" s="415">
        <v>-352775.8</v>
      </c>
      <c r="E15" s="414" t="s">
        <v>676</v>
      </c>
    </row>
    <row r="16" spans="1:5" ht="10.95" customHeight="1">
      <c r="A16" s="414" t="s">
        <v>740</v>
      </c>
      <c r="B16" s="414" t="s">
        <v>797</v>
      </c>
      <c r="C16" s="430">
        <v>45616</v>
      </c>
      <c r="D16" s="415">
        <v>-376562.5</v>
      </c>
      <c r="E16" s="414" t="s">
        <v>673</v>
      </c>
    </row>
    <row r="17" spans="1:5" ht="10.95" customHeight="1">
      <c r="A17" s="414" t="s">
        <v>740</v>
      </c>
      <c r="B17" s="414"/>
      <c r="C17" s="430">
        <v>45512</v>
      </c>
      <c r="D17" s="415">
        <v>-747236.25</v>
      </c>
      <c r="E17" s="414" t="s">
        <v>673</v>
      </c>
    </row>
    <row r="18" spans="1:5" ht="10.95" customHeight="1">
      <c r="A18" s="414"/>
      <c r="B18" s="414"/>
      <c r="C18" s="430"/>
      <c r="D18" s="417">
        <f>SUM(D15:D17)</f>
        <v>-1476574.55</v>
      </c>
      <c r="E18" s="414"/>
    </row>
    <row r="19" spans="1:5" ht="10.95" customHeight="1">
      <c r="A19" s="414"/>
      <c r="B19" s="414"/>
      <c r="C19" s="430"/>
      <c r="D19" s="415"/>
      <c r="E19" s="414"/>
    </row>
    <row r="20" spans="1:5" ht="10.95" customHeight="1">
      <c r="A20" s="416" t="s">
        <v>164</v>
      </c>
      <c r="B20" s="416"/>
      <c r="C20" s="416"/>
      <c r="D20" s="417">
        <f>+D13+D18</f>
        <v>-2023659.48</v>
      </c>
      <c r="E20" s="477"/>
    </row>
  </sheetData>
  <autoFilter ref="A8:E8" xr:uid="{BEDB20EA-AB00-44FC-800E-B3A4FADFFC01}">
    <sortState xmlns:xlrd2="http://schemas.microsoft.com/office/spreadsheetml/2017/richdata2" ref="A9:E16">
      <sortCondition ref="E8"/>
    </sortState>
  </autoFilter>
  <pageMargins left="0.7" right="0.7" top="0.75" bottom="0.75" header="0.3" footer="0.3"/>
  <pageSetup paperSize="9" fitToWidth="0" fitToHeight="0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44E3-4245-49F4-A0A9-C22BF8EA882E}">
  <dimension ref="A1:D45"/>
  <sheetViews>
    <sheetView showGridLines="0" topLeftCell="A9" zoomScaleNormal="100" workbookViewId="0">
      <selection activeCell="C31" sqref="B28:C31"/>
    </sheetView>
  </sheetViews>
  <sheetFormatPr baseColWidth="10" defaultColWidth="8" defaultRowHeight="11.4"/>
  <cols>
    <col min="1" max="1" width="1.33203125" style="408" customWidth="1"/>
    <col min="2" max="2" width="39.5546875" style="408" customWidth="1"/>
    <col min="3" max="3" width="13.33203125" style="408" customWidth="1"/>
    <col min="4" max="4" width="4.88671875" style="408" customWidth="1"/>
    <col min="5" max="16384" width="8" style="408"/>
  </cols>
  <sheetData>
    <row r="1" spans="1:4" s="405" customFormat="1" ht="16.649999999999999" customHeight="1">
      <c r="A1" s="404" t="s">
        <v>235</v>
      </c>
      <c r="B1" s="404"/>
      <c r="C1" s="404"/>
      <c r="D1" s="404"/>
    </row>
    <row r="2" spans="1:4" s="407" customFormat="1" ht="14.4" customHeight="1">
      <c r="A2" s="406" t="s">
        <v>236</v>
      </c>
      <c r="B2" s="406"/>
      <c r="C2" s="406"/>
      <c r="D2" s="406"/>
    </row>
    <row r="3" spans="1:4" s="407" customFormat="1" ht="14.4" customHeight="1">
      <c r="A3" s="406" t="s">
        <v>772</v>
      </c>
      <c r="B3" s="406"/>
      <c r="C3" s="406"/>
      <c r="D3" s="406"/>
    </row>
    <row r="4" spans="1:4" ht="13.35" customHeight="1"/>
    <row r="5" spans="1:4" s="412" customFormat="1" ht="12.15" customHeight="1">
      <c r="A5" s="409"/>
      <c r="B5" s="410" t="s">
        <v>238</v>
      </c>
      <c r="C5" s="411" t="s">
        <v>798</v>
      </c>
      <c r="D5" s="411"/>
    </row>
    <row r="6" spans="1:4" ht="13.35" customHeight="1"/>
    <row r="7" spans="1:4" s="412" customFormat="1" ht="12.15" customHeight="1">
      <c r="A7" s="409" t="s">
        <v>239</v>
      </c>
      <c r="B7" s="409"/>
      <c r="C7" s="409"/>
      <c r="D7" s="409"/>
    </row>
    <row r="8" spans="1:4" ht="10.95" customHeight="1">
      <c r="A8" s="413"/>
      <c r="B8" s="413" t="s">
        <v>638</v>
      </c>
      <c r="C8" s="413"/>
      <c r="D8" s="413"/>
    </row>
    <row r="9" spans="1:4" ht="10.95" customHeight="1">
      <c r="B9" s="414" t="s">
        <v>639</v>
      </c>
      <c r="C9" s="415">
        <v>9171515.3000000007</v>
      </c>
      <c r="D9" s="414"/>
    </row>
    <row r="10" spans="1:4" ht="10.95" customHeight="1">
      <c r="B10" s="414" t="s">
        <v>640</v>
      </c>
      <c r="C10" s="415">
        <v>723710.92</v>
      </c>
      <c r="D10" s="414" t="s">
        <v>641</v>
      </c>
    </row>
    <row r="11" spans="1:4" ht="10.95" customHeight="1">
      <c r="B11" s="414" t="s">
        <v>799</v>
      </c>
      <c r="C11" s="415">
        <v>297767.05</v>
      </c>
      <c r="D11" s="414" t="s">
        <v>641</v>
      </c>
    </row>
    <row r="12" spans="1:4" ht="10.95" customHeight="1">
      <c r="B12" s="416" t="s">
        <v>642</v>
      </c>
      <c r="C12" s="417">
        <f>SUM(C9:C11)</f>
        <v>10192993.270000001</v>
      </c>
      <c r="D12" s="416"/>
    </row>
    <row r="13" spans="1:4" ht="10.95" customHeight="1">
      <c r="A13" s="413"/>
      <c r="B13" s="413" t="s">
        <v>240</v>
      </c>
      <c r="C13" s="413"/>
      <c r="D13" s="413"/>
    </row>
    <row r="14" spans="1:4" ht="10.95" customHeight="1">
      <c r="B14" s="414" t="s">
        <v>241</v>
      </c>
      <c r="C14" s="415">
        <v>2023659.48</v>
      </c>
      <c r="D14" s="414"/>
    </row>
    <row r="15" spans="1:4" ht="10.95" customHeight="1">
      <c r="B15" s="416" t="s">
        <v>242</v>
      </c>
      <c r="C15" s="417">
        <f>C14</f>
        <v>2023659.48</v>
      </c>
      <c r="D15" s="416"/>
    </row>
    <row r="16" spans="1:4" ht="10.95" customHeight="1">
      <c r="A16" s="413"/>
      <c r="B16" s="413" t="s">
        <v>243</v>
      </c>
      <c r="C16" s="413"/>
      <c r="D16" s="413"/>
    </row>
    <row r="17" spans="1:4" ht="10.95" customHeight="1">
      <c r="B17" s="414" t="s">
        <v>800</v>
      </c>
      <c r="C17" s="415">
        <v>33776104.880000003</v>
      </c>
      <c r="D17" s="414"/>
    </row>
    <row r="18" spans="1:4" ht="10.95" customHeight="1">
      <c r="B18" s="414" t="s">
        <v>245</v>
      </c>
      <c r="C18" s="415">
        <v>9945088.9299999997</v>
      </c>
      <c r="D18" s="414"/>
    </row>
    <row r="19" spans="1:4" ht="10.95" customHeight="1">
      <c r="B19" s="414" t="s">
        <v>801</v>
      </c>
      <c r="C19" s="415">
        <v>11784664.189999999</v>
      </c>
      <c r="D19" s="414"/>
    </row>
    <row r="20" spans="1:4" ht="10.95" customHeight="1">
      <c r="B20" s="414" t="s">
        <v>33</v>
      </c>
      <c r="C20" s="415">
        <v>94172341.829999998</v>
      </c>
      <c r="D20" s="414"/>
    </row>
    <row r="21" spans="1:4" ht="10.95" customHeight="1">
      <c r="B21" s="416" t="s">
        <v>247</v>
      </c>
      <c r="C21" s="417">
        <f>SUM(C17:C20)</f>
        <v>149678199.82999998</v>
      </c>
      <c r="D21" s="416"/>
    </row>
    <row r="22" spans="1:4" ht="10.95" customHeight="1">
      <c r="A22" s="416" t="s">
        <v>248</v>
      </c>
      <c r="C22" s="417">
        <f>(0 + ((C12 + C15) + C21))</f>
        <v>161894852.57999998</v>
      </c>
      <c r="D22" s="416"/>
    </row>
    <row r="23" spans="1:4" ht="13.35" customHeight="1"/>
    <row r="24" spans="1:4" s="412" customFormat="1" ht="12.15" customHeight="1">
      <c r="A24" s="409" t="s">
        <v>249</v>
      </c>
      <c r="B24" s="409"/>
      <c r="C24" s="409"/>
      <c r="D24" s="409"/>
    </row>
    <row r="25" spans="1:4" ht="10.95" customHeight="1">
      <c r="A25" s="413"/>
      <c r="B25" s="413" t="s">
        <v>250</v>
      </c>
      <c r="C25" s="413"/>
      <c r="D25" s="413"/>
    </row>
    <row r="26" spans="1:4" ht="10.95" customHeight="1">
      <c r="B26" s="414" t="s">
        <v>251</v>
      </c>
      <c r="C26" s="415">
        <v>947457.29</v>
      </c>
      <c r="D26" s="414"/>
    </row>
    <row r="27" spans="1:4" ht="10.95" customHeight="1">
      <c r="B27" s="414" t="s">
        <v>802</v>
      </c>
      <c r="C27" s="415">
        <v>298015.71000000002</v>
      </c>
      <c r="D27" s="414"/>
    </row>
    <row r="28" spans="1:4" ht="10.95" customHeight="1">
      <c r="B28" s="414" t="s">
        <v>252</v>
      </c>
      <c r="C28" s="415">
        <v>727875.8</v>
      </c>
      <c r="D28" s="414"/>
    </row>
    <row r="29" spans="1:4" ht="10.95" customHeight="1">
      <c r="B29" s="414" t="s">
        <v>803</v>
      </c>
      <c r="C29" s="415">
        <v>57506.01</v>
      </c>
      <c r="D29" s="414"/>
    </row>
    <row r="30" spans="1:4" ht="10.95" customHeight="1">
      <c r="B30" s="414" t="s">
        <v>804</v>
      </c>
      <c r="C30" s="415">
        <v>20544.830000000002</v>
      </c>
      <c r="D30" s="414"/>
    </row>
    <row r="31" spans="1:4" ht="10.95" customHeight="1">
      <c r="B31" s="414" t="s">
        <v>805</v>
      </c>
      <c r="C31" s="415">
        <v>31947.78</v>
      </c>
      <c r="D31" s="414"/>
    </row>
    <row r="32" spans="1:4" ht="10.95" customHeight="1">
      <c r="B32" s="416" t="s">
        <v>253</v>
      </c>
      <c r="C32" s="417">
        <f>SUM(C26:C31)</f>
        <v>2083347.4200000002</v>
      </c>
      <c r="D32" s="416"/>
    </row>
    <row r="33" spans="1:3" ht="10.95" customHeight="1">
      <c r="A33" s="416" t="s">
        <v>254</v>
      </c>
      <c r="C33" s="417">
        <f>(0 + C32)</f>
        <v>2083347.4200000002</v>
      </c>
    </row>
    <row r="34" spans="1:3" ht="13.35" customHeight="1"/>
    <row r="35" spans="1:3" ht="10.95" customHeight="1">
      <c r="B35" s="419" t="s">
        <v>255</v>
      </c>
      <c r="C35" s="420">
        <f>(C22 - C33)</f>
        <v>159811505.16</v>
      </c>
    </row>
    <row r="36" spans="1:3" ht="13.35" customHeight="1"/>
    <row r="37" spans="1:3" s="412" customFormat="1" ht="12.15" customHeight="1">
      <c r="A37" s="409" t="s">
        <v>256</v>
      </c>
      <c r="B37" s="409"/>
      <c r="C37" s="409"/>
    </row>
    <row r="38" spans="1:3" ht="10.95" customHeight="1">
      <c r="B38" s="421" t="s">
        <v>257</v>
      </c>
      <c r="C38" s="422">
        <v>159695773.63999999</v>
      </c>
    </row>
    <row r="39" spans="1:3" ht="10.95" customHeight="1">
      <c r="B39" s="414" t="s">
        <v>647</v>
      </c>
      <c r="C39" s="415">
        <v>115731.52</v>
      </c>
    </row>
    <row r="40" spans="1:3" ht="10.95" customHeight="1">
      <c r="A40" s="416" t="s">
        <v>258</v>
      </c>
      <c r="C40" s="417">
        <f>SUM(C38:C39)</f>
        <v>159811505.16</v>
      </c>
    </row>
    <row r="41" spans="1:3" ht="13.35" customHeight="1"/>
    <row r="42" spans="1:3" ht="13.35" customHeight="1"/>
    <row r="43" spans="1:3" ht="10.95" customHeight="1">
      <c r="A43" s="423" t="s">
        <v>648</v>
      </c>
    </row>
    <row r="44" spans="1:3" ht="10.95" customHeight="1">
      <c r="A44" s="424" t="s">
        <v>798</v>
      </c>
    </row>
    <row r="45" spans="1:3" ht="10.95" customHeight="1">
      <c r="A45" s="423" t="s">
        <v>806</v>
      </c>
    </row>
  </sheetData>
  <pageMargins left="0.7" right="0.7" top="0.75" bottom="0.75" header="0.3" footer="0.3"/>
  <pageSetup paperSize="9" fitToWidth="0" fitToHeight="0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35F2B-DE86-4B72-8F0B-35A408002D0D}">
  <sheetPr>
    <tabColor theme="5" tint="0.79998168889431442"/>
  </sheetPr>
  <dimension ref="A1:P45"/>
  <sheetViews>
    <sheetView showGridLines="0" topLeftCell="A4" zoomScale="90" zoomScaleNormal="90" workbookViewId="0">
      <selection activeCell="C31" sqref="B28:C31"/>
    </sheetView>
  </sheetViews>
  <sheetFormatPr baseColWidth="10" defaultColWidth="11.44140625" defaultRowHeight="14.4"/>
  <cols>
    <col min="1" max="1" width="10.109375" customWidth="1"/>
    <col min="2" max="2" width="25.6640625" bestFit="1" customWidth="1"/>
    <col min="3" max="4" width="17.44140625" bestFit="1" customWidth="1"/>
    <col min="5" max="5" width="14.33203125" bestFit="1" customWidth="1"/>
    <col min="6" max="6" width="16.5546875" bestFit="1" customWidth="1"/>
    <col min="7" max="7" width="16.33203125" bestFit="1" customWidth="1"/>
    <col min="8" max="8" width="20.88671875" bestFit="1" customWidth="1"/>
    <col min="9" max="9" width="18" bestFit="1" customWidth="1"/>
    <col min="10" max="10" width="16.5546875" bestFit="1" customWidth="1"/>
    <col min="11" max="11" width="18.6640625" customWidth="1"/>
    <col min="12" max="12" width="19.88671875" customWidth="1"/>
    <col min="13" max="13" width="16.109375" customWidth="1"/>
    <col min="14" max="14" width="18.5546875" customWidth="1"/>
    <col min="15" max="15" width="17" customWidth="1"/>
    <col min="16" max="18" width="15.44140625" bestFit="1" customWidth="1"/>
    <col min="19" max="19" width="14.44140625" bestFit="1" customWidth="1"/>
  </cols>
  <sheetData>
    <row r="1" spans="1:16" ht="21.6" customHeight="1">
      <c r="M1" s="2109" t="s">
        <v>185</v>
      </c>
      <c r="N1" s="2109"/>
      <c r="O1" s="2109"/>
      <c r="P1" s="2109"/>
    </row>
    <row r="2" spans="1:16" ht="15" thickBot="1">
      <c r="F2" s="181" t="s">
        <v>197</v>
      </c>
      <c r="G2" s="181"/>
      <c r="H2" s="181"/>
      <c r="I2" s="181"/>
      <c r="J2" s="181"/>
      <c r="K2" s="181" t="s">
        <v>199</v>
      </c>
      <c r="L2" s="181" t="s">
        <v>225</v>
      </c>
      <c r="M2" s="2109"/>
      <c r="N2" s="2109"/>
      <c r="O2" s="2109"/>
      <c r="P2" s="2109"/>
    </row>
    <row r="3" spans="1:16" ht="15.6" customHeight="1">
      <c r="B3" s="160" t="s">
        <v>761</v>
      </c>
      <c r="C3" s="62"/>
      <c r="D3" s="478"/>
      <c r="E3" s="483">
        <v>59</v>
      </c>
      <c r="F3" s="2122" t="s">
        <v>145</v>
      </c>
      <c r="G3" s="2137" t="s">
        <v>650</v>
      </c>
      <c r="H3" s="2137" t="s">
        <v>651</v>
      </c>
      <c r="I3" s="2137" t="s">
        <v>652</v>
      </c>
      <c r="J3" s="2122" t="s">
        <v>227</v>
      </c>
      <c r="K3" s="2124" t="s">
        <v>807</v>
      </c>
      <c r="L3" s="2124" t="s">
        <v>146</v>
      </c>
      <c r="M3" s="183"/>
      <c r="N3" s="183"/>
      <c r="O3" s="183"/>
      <c r="P3" s="183"/>
    </row>
    <row r="4" spans="1:16" ht="25.95" customHeight="1" thickBot="1">
      <c r="A4" s="152"/>
      <c r="B4" s="25" t="s">
        <v>29</v>
      </c>
      <c r="C4" s="25" t="s">
        <v>762</v>
      </c>
      <c r="D4" s="479" t="s">
        <v>763</v>
      </c>
      <c r="E4" s="479" t="s">
        <v>31</v>
      </c>
      <c r="F4" s="2123"/>
      <c r="G4" s="2138"/>
      <c r="H4" s="2138"/>
      <c r="I4" s="2138"/>
      <c r="J4" s="2123"/>
      <c r="K4" s="2125"/>
      <c r="L4" s="2125"/>
      <c r="M4" s="183"/>
      <c r="N4" s="183"/>
      <c r="O4" s="183"/>
      <c r="P4" s="183"/>
    </row>
    <row r="5" spans="1:16">
      <c r="A5">
        <v>1</v>
      </c>
      <c r="B5" s="254" t="s">
        <v>33</v>
      </c>
      <c r="C5" s="256">
        <f>SUM('budget (11)'!D2:D3)</f>
        <v>103385169</v>
      </c>
      <c r="D5" s="480">
        <v>103385169</v>
      </c>
      <c r="E5" s="480">
        <f>D5/E3</f>
        <v>1752291</v>
      </c>
      <c r="F5" s="258">
        <f>+'Finanzas 11.24'!F2</f>
        <v>94172341.829999998</v>
      </c>
      <c r="G5" s="258">
        <f>+'Finanzas 11.24'!G2</f>
        <v>94172341.829999998</v>
      </c>
      <c r="H5" s="258">
        <v>0</v>
      </c>
      <c r="I5" s="258"/>
      <c r="J5" s="258">
        <f>+G5-H5+I5</f>
        <v>94172341.829999998</v>
      </c>
      <c r="K5" s="259">
        <f>F5-J5</f>
        <v>0</v>
      </c>
      <c r="L5" s="259">
        <f>+D5-F5</f>
        <v>9212827.1700000018</v>
      </c>
      <c r="M5" s="183"/>
      <c r="N5" s="183"/>
      <c r="O5" s="183"/>
      <c r="P5" s="183"/>
    </row>
    <row r="6" spans="1:16">
      <c r="B6" s="115" t="s">
        <v>35</v>
      </c>
      <c r="C6" s="116">
        <f>SUM('budget (11)'!D11:D24)</f>
        <v>451758999.99999994</v>
      </c>
      <c r="D6" s="481">
        <v>451758999.99999994</v>
      </c>
      <c r="E6" s="481">
        <f>D6/$E$3</f>
        <v>7656932.20338983</v>
      </c>
      <c r="F6" s="132">
        <f>+'Finanzas 11.24'!F4</f>
        <v>9219083.5899999999</v>
      </c>
      <c r="G6" s="132">
        <f>+'Finanzas 11.24'!G4</f>
        <v>9219083.5899999999</v>
      </c>
      <c r="H6" s="132"/>
      <c r="I6" s="132"/>
      <c r="J6" s="132">
        <f>+G6-H6+I6</f>
        <v>9219083.5899999999</v>
      </c>
      <c r="K6" s="125">
        <f>F6-J6</f>
        <v>0</v>
      </c>
      <c r="L6" s="125">
        <f>+D6-F6</f>
        <v>442539916.40999997</v>
      </c>
      <c r="M6" s="183"/>
      <c r="N6" s="184"/>
      <c r="O6" s="183"/>
      <c r="P6" s="183"/>
    </row>
    <row r="7" spans="1:16" ht="13.95" customHeight="1">
      <c r="B7" s="112" t="s">
        <v>38</v>
      </c>
      <c r="C7" s="113">
        <f>SUM('budget (11)'!D25:D39)</f>
        <v>1265953920</v>
      </c>
      <c r="D7" s="170">
        <f>1447934796</f>
        <v>1447934796</v>
      </c>
      <c r="E7" s="170">
        <f>D7/$E$3</f>
        <v>24541267.728813559</v>
      </c>
      <c r="F7" s="133">
        <f>SUM('budget (11)'!E25:E39)</f>
        <v>0</v>
      </c>
      <c r="G7" s="133">
        <f>SUM('budget (11)'!F25:F39)</f>
        <v>0</v>
      </c>
      <c r="H7" s="133"/>
      <c r="I7" s="133"/>
      <c r="J7" s="133">
        <f t="shared" ref="J7:J10" si="0">+G7-H7+I7</f>
        <v>0</v>
      </c>
      <c r="K7" s="127">
        <f t="shared" ref="K7:K21" si="1">F7-J7</f>
        <v>0</v>
      </c>
      <c r="L7" s="127">
        <f>+D7-F7</f>
        <v>1447934796</v>
      </c>
      <c r="M7" s="183"/>
      <c r="N7" s="184"/>
      <c r="O7" s="183"/>
      <c r="P7" s="183"/>
    </row>
    <row r="8" spans="1:16">
      <c r="B8" s="115" t="s">
        <v>764</v>
      </c>
      <c r="C8" s="118">
        <v>0</v>
      </c>
      <c r="D8" s="171">
        <v>37993876</v>
      </c>
      <c r="E8" s="171">
        <f>D8/$E$3</f>
        <v>643964</v>
      </c>
      <c r="F8" s="134"/>
      <c r="G8" s="134"/>
      <c r="H8" s="134"/>
      <c r="I8" s="134"/>
      <c r="J8" s="134"/>
      <c r="K8" s="129"/>
      <c r="L8" s="129"/>
      <c r="M8" s="183"/>
      <c r="N8" s="184"/>
      <c r="O8" s="183"/>
      <c r="P8" s="183"/>
    </row>
    <row r="9" spans="1:16" ht="13.95" customHeight="1">
      <c r="B9" s="112" t="s">
        <v>148</v>
      </c>
      <c r="C9" s="113">
        <f>SUM('budget (11)'!D40:D41)</f>
        <v>171771292</v>
      </c>
      <c r="D9" s="170">
        <v>189969380</v>
      </c>
      <c r="E9" s="170">
        <f>D9/$E$3</f>
        <v>3219820</v>
      </c>
      <c r="F9" s="133">
        <f>+'Finanzas 11.24'!F6</f>
        <v>1644662.03</v>
      </c>
      <c r="G9" s="133">
        <f>+'Finanzas 11.24'!G6</f>
        <v>1644662.03</v>
      </c>
      <c r="H9" s="133">
        <f>+'CXP 11.24'!D10</f>
        <v>19672.22</v>
      </c>
      <c r="I9" s="133"/>
      <c r="J9" s="133">
        <f>+G9-H9+I9</f>
        <v>1624989.81</v>
      </c>
      <c r="K9" s="127">
        <f>F9-J9</f>
        <v>19672.219999999972</v>
      </c>
      <c r="L9" s="127">
        <f>+D9-F9</f>
        <v>188324717.97</v>
      </c>
      <c r="M9" s="183"/>
      <c r="N9" s="184"/>
      <c r="O9" s="183"/>
      <c r="P9" s="183"/>
    </row>
    <row r="10" spans="1:16">
      <c r="B10" s="115" t="s">
        <v>40</v>
      </c>
      <c r="C10" s="118">
        <f>SUM('budget (11)'!D42)</f>
        <v>34354258</v>
      </c>
      <c r="D10" s="171">
        <v>37993876</v>
      </c>
      <c r="E10" s="171">
        <f>D10/$E$3</f>
        <v>643964</v>
      </c>
      <c r="F10" s="134">
        <f>SUM('budget (11)'!E42)</f>
        <v>0</v>
      </c>
      <c r="G10" s="134">
        <f>SUM('budget (11)'!F42)</f>
        <v>0</v>
      </c>
      <c r="H10" s="134"/>
      <c r="I10" s="134"/>
      <c r="J10" s="134">
        <f t="shared" si="0"/>
        <v>0</v>
      </c>
      <c r="K10" s="129">
        <f t="shared" si="1"/>
        <v>0</v>
      </c>
      <c r="L10" s="129">
        <f>+D10-F10</f>
        <v>37993876</v>
      </c>
      <c r="M10" s="183"/>
      <c r="N10" s="184"/>
      <c r="O10" s="183"/>
      <c r="P10" s="183"/>
    </row>
    <row r="11" spans="1:16">
      <c r="B11" s="254" t="s">
        <v>41</v>
      </c>
      <c r="C11" s="261">
        <f t="shared" ref="C11:I11" si="2">SUM(C6:C10)</f>
        <v>1923838470</v>
      </c>
      <c r="D11" s="261">
        <f>SUM(D6:D10)</f>
        <v>2165650928</v>
      </c>
      <c r="E11" s="261">
        <f>SUM(E6:E10)</f>
        <v>36705947.93220339</v>
      </c>
      <c r="F11" s="262">
        <f t="shared" si="2"/>
        <v>10863745.619999999</v>
      </c>
      <c r="G11" s="262">
        <f t="shared" si="2"/>
        <v>10863745.619999999</v>
      </c>
      <c r="H11" s="262">
        <f t="shared" si="2"/>
        <v>19672.22</v>
      </c>
      <c r="I11" s="262">
        <f t="shared" si="2"/>
        <v>0</v>
      </c>
      <c r="J11" s="262">
        <f>SUM(J6:J10)</f>
        <v>10844073.4</v>
      </c>
      <c r="K11" s="262">
        <f>SUM(K6:K10)</f>
        <v>19672.219999999972</v>
      </c>
      <c r="L11" s="262">
        <f>SUM(L6:L10)</f>
        <v>2116793306.3799999</v>
      </c>
      <c r="M11" s="183"/>
      <c r="N11" s="184"/>
      <c r="O11" s="183"/>
      <c r="P11" s="183"/>
    </row>
    <row r="12" spans="1:16">
      <c r="B12" s="112" t="s">
        <v>42</v>
      </c>
      <c r="C12" s="163">
        <f>SUM('budget (11)'!D43)</f>
        <v>137417034</v>
      </c>
      <c r="D12" s="175">
        <v>151975504</v>
      </c>
      <c r="E12" s="175">
        <f>D12/$E$3</f>
        <v>2575856</v>
      </c>
      <c r="F12" s="179">
        <f>+'Finanzas 11.24'!F9</f>
        <v>161175.97</v>
      </c>
      <c r="G12" s="179">
        <f>+'Finanzas 11.24'!G9</f>
        <v>161175.97</v>
      </c>
      <c r="H12" s="179"/>
      <c r="I12" s="179"/>
      <c r="J12" s="179">
        <f>+G12-H12+I12</f>
        <v>161175.97</v>
      </c>
      <c r="K12" s="179">
        <f t="shared" si="1"/>
        <v>0</v>
      </c>
      <c r="L12" s="179">
        <f>+D12-F12</f>
        <v>151814328.03</v>
      </c>
      <c r="M12" s="183"/>
      <c r="N12" s="184"/>
      <c r="O12" s="183"/>
      <c r="P12" s="183"/>
    </row>
    <row r="13" spans="1:16">
      <c r="B13" s="115" t="s">
        <v>43</v>
      </c>
      <c r="C13" s="165">
        <f>SUM('budget (11)'!D45:D46)</f>
        <v>281704919</v>
      </c>
      <c r="D13" s="176">
        <v>308130334</v>
      </c>
      <c r="E13" s="176">
        <f>D13/$E$3</f>
        <v>5222548.0338983051</v>
      </c>
      <c r="F13" s="178">
        <f>+'Finanzas 11.24'!F11</f>
        <v>279677.77</v>
      </c>
      <c r="G13" s="178">
        <f>+'Finanzas 11.24'!G11</f>
        <v>279677.77</v>
      </c>
      <c r="H13" s="178">
        <f>+'CXP 11.24'!D19</f>
        <v>279677.77</v>
      </c>
      <c r="I13" s="178"/>
      <c r="J13" s="178">
        <f t="shared" ref="J13:J16" si="3">+G13-H13+I13</f>
        <v>0</v>
      </c>
      <c r="K13" s="178">
        <f t="shared" si="1"/>
        <v>279677.77</v>
      </c>
      <c r="L13" s="178">
        <f>+D13-F13</f>
        <v>307850656.23000002</v>
      </c>
      <c r="M13" s="183"/>
      <c r="N13" s="184"/>
      <c r="O13" s="183"/>
      <c r="P13" s="183"/>
    </row>
    <row r="14" spans="1:16">
      <c r="B14" s="112" t="s">
        <v>44</v>
      </c>
      <c r="C14" s="163">
        <f>SUM('budget (11)'!D47)</f>
        <v>67334346</v>
      </c>
      <c r="D14" s="175">
        <v>75797782</v>
      </c>
      <c r="E14" s="175">
        <f>D14/$E$3</f>
        <v>1284708.1694915255</v>
      </c>
      <c r="F14" s="179">
        <f>+'Finanzas 11.24'!F10</f>
        <v>330277.40000000002</v>
      </c>
      <c r="G14" s="179">
        <f>+'Finanzas 11.24'!G10</f>
        <v>330277.40000000002</v>
      </c>
      <c r="H14" s="179"/>
      <c r="I14" s="179"/>
      <c r="J14" s="179">
        <f t="shared" si="3"/>
        <v>330277.40000000002</v>
      </c>
      <c r="K14" s="179">
        <f t="shared" si="1"/>
        <v>0</v>
      </c>
      <c r="L14" s="179">
        <f>+D14-F14</f>
        <v>75467504.599999994</v>
      </c>
      <c r="M14" s="183"/>
      <c r="N14" s="184"/>
      <c r="O14" s="183"/>
      <c r="P14" s="183"/>
    </row>
    <row r="15" spans="1:16">
      <c r="A15">
        <v>1</v>
      </c>
      <c r="B15" s="115" t="s">
        <v>45</v>
      </c>
      <c r="C15" s="165">
        <f>SUM('budget (11)'!D48:D49)</f>
        <v>51531387.949999996</v>
      </c>
      <c r="D15" s="176">
        <v>56990814</v>
      </c>
      <c r="E15" s="176">
        <f>D15/$E$3</f>
        <v>965946</v>
      </c>
      <c r="F15" s="178">
        <f>+'Finanzas 11.24'!F12</f>
        <v>14045810.15</v>
      </c>
      <c r="G15" s="178">
        <f>+'Finanzas 11.24'!G12</f>
        <v>11180540.279999999</v>
      </c>
      <c r="H15" s="178">
        <f>+'CXP 11.24'!D26</f>
        <v>463992</v>
      </c>
      <c r="I15" s="178">
        <f>-'ANTICIPO 11.24'!D16-'ANTICIPO 11.24'!D17</f>
        <v>1123798.75</v>
      </c>
      <c r="J15" s="178">
        <f>+G15-H15+I15</f>
        <v>11840347.029999999</v>
      </c>
      <c r="K15" s="178">
        <f>F15-J15</f>
        <v>2205463.120000001</v>
      </c>
      <c r="L15" s="178">
        <f>+D15-F15</f>
        <v>42945003.850000001</v>
      </c>
      <c r="M15" s="183"/>
      <c r="N15" s="184"/>
      <c r="O15" s="183"/>
      <c r="P15" s="183"/>
    </row>
    <row r="16" spans="1:16">
      <c r="B16" s="112" t="s">
        <v>46</v>
      </c>
      <c r="C16" s="163">
        <f>SUM('budget (11)'!D50)</f>
        <v>19238385</v>
      </c>
      <c r="D16" s="175">
        <v>21656506</v>
      </c>
      <c r="E16" s="175">
        <f>D16/$E$3</f>
        <v>367059.42372881353</v>
      </c>
      <c r="F16" s="179">
        <f>SUM('budget (11)'!E50)</f>
        <v>0</v>
      </c>
      <c r="G16" s="179">
        <f>SUM('budget (11)'!F50)</f>
        <v>0</v>
      </c>
      <c r="H16" s="179"/>
      <c r="I16" s="179"/>
      <c r="J16" s="179">
        <f t="shared" si="3"/>
        <v>0</v>
      </c>
      <c r="K16" s="179">
        <f t="shared" si="1"/>
        <v>0</v>
      </c>
      <c r="L16" s="179">
        <f>+D16-F16</f>
        <v>21656506</v>
      </c>
      <c r="M16" s="183"/>
      <c r="N16" s="184"/>
      <c r="O16" s="183"/>
      <c r="P16" s="183"/>
    </row>
    <row r="17" spans="2:16">
      <c r="B17" s="254" t="s">
        <v>47</v>
      </c>
      <c r="C17" s="261">
        <f t="shared" ref="C17:K17" si="4">SUM(C12:C16)</f>
        <v>557226071.95000005</v>
      </c>
      <c r="D17" s="261">
        <f t="shared" si="4"/>
        <v>614550940</v>
      </c>
      <c r="E17" s="261">
        <f>SUM(E12:E16)</f>
        <v>10416117.627118645</v>
      </c>
      <c r="F17" s="262">
        <f>SUM(F12:F16)</f>
        <v>14816941.290000001</v>
      </c>
      <c r="G17" s="262">
        <f t="shared" si="4"/>
        <v>11951671.42</v>
      </c>
      <c r="H17" s="262">
        <f t="shared" si="4"/>
        <v>743669.77</v>
      </c>
      <c r="I17" s="262">
        <f t="shared" si="4"/>
        <v>1123798.75</v>
      </c>
      <c r="J17" s="262">
        <f t="shared" si="4"/>
        <v>12331800.399999999</v>
      </c>
      <c r="K17" s="262">
        <f t="shared" si="4"/>
        <v>2485140.8900000011</v>
      </c>
      <c r="L17" s="262">
        <f t="shared" ref="L17" si="5">SUM(L12:L16)</f>
        <v>599733998.71000004</v>
      </c>
      <c r="M17" s="183"/>
      <c r="N17" s="184"/>
      <c r="O17" s="183"/>
      <c r="P17" s="183"/>
    </row>
    <row r="18" spans="2:16">
      <c r="B18" s="112" t="s">
        <v>48</v>
      </c>
      <c r="C18" s="401">
        <f>SUM('budget (11)'!D51:D52)</f>
        <v>15000000</v>
      </c>
      <c r="D18" s="482">
        <v>30500000</v>
      </c>
      <c r="E18" s="482">
        <f>D18/$E$3</f>
        <v>516949.15254237287</v>
      </c>
      <c r="F18" s="402">
        <f>+'Finanzas 11.24'!F16</f>
        <v>16703974.48</v>
      </c>
      <c r="G18" s="402">
        <f>+'Finanzas 11.24'!G16</f>
        <v>12591931.289999999</v>
      </c>
      <c r="H18" s="402"/>
      <c r="I18" s="402">
        <f>-'ANTICIPO 11.24'!D15</f>
        <v>352775.8</v>
      </c>
      <c r="J18" s="402">
        <f>+G18-H18+I18</f>
        <v>12944707.09</v>
      </c>
      <c r="K18" s="179">
        <f>F18-J18</f>
        <v>3759267.3900000006</v>
      </c>
      <c r="L18" s="179">
        <f>+D18-F18</f>
        <v>13796025.52</v>
      </c>
      <c r="M18" s="183"/>
      <c r="N18" s="184"/>
      <c r="O18" s="183"/>
      <c r="P18" s="185"/>
    </row>
    <row r="19" spans="2:16">
      <c r="B19" s="115" t="s">
        <v>49</v>
      </c>
      <c r="C19" s="165">
        <f>SUM('budget (11)'!D4:D10)</f>
        <v>20789999.999999996</v>
      </c>
      <c r="D19" s="176">
        <v>20789999.999999996</v>
      </c>
      <c r="E19" s="176">
        <f>D19/$E$3</f>
        <v>352372.88135593216</v>
      </c>
      <c r="F19" s="178">
        <f>+'Finanzas 11.24'!F3</f>
        <v>20953109.100000001</v>
      </c>
      <c r="G19" s="178">
        <f>+'Finanzas 11.24'!G3</f>
        <v>20098509.600000001</v>
      </c>
      <c r="H19" s="178">
        <f>+'CXP 11.24'!D15</f>
        <v>184115.3</v>
      </c>
      <c r="I19" s="178">
        <f>-'ANTICIPO 11.24'!D13</f>
        <v>547084.92999999993</v>
      </c>
      <c r="J19" s="178">
        <f>+G19-H19+I19</f>
        <v>20461479.23</v>
      </c>
      <c r="K19" s="178">
        <f>F19-J19</f>
        <v>491629.87000000104</v>
      </c>
      <c r="L19" s="178">
        <f>+D19-F19</f>
        <v>-163109.10000000522</v>
      </c>
      <c r="M19" s="183"/>
      <c r="N19" s="184"/>
      <c r="O19" s="183"/>
      <c r="P19" s="183"/>
    </row>
    <row r="20" spans="2:16">
      <c r="B20" s="112" t="s">
        <v>50</v>
      </c>
      <c r="C20" s="163">
        <f>SUM('budget (11)'!D54)</f>
        <v>192383847</v>
      </c>
      <c r="D20" s="175">
        <v>216565093</v>
      </c>
      <c r="E20" s="175">
        <f>D20/$E$3</f>
        <v>3670594.7966101696</v>
      </c>
      <c r="F20" s="179">
        <f>SUM('budget (11)'!E54)</f>
        <v>0</v>
      </c>
      <c r="G20" s="179">
        <f>SUM('budget (11)'!F54)</f>
        <v>0</v>
      </c>
      <c r="H20" s="179"/>
      <c r="I20" s="179"/>
      <c r="J20" s="179">
        <f t="shared" ref="J20:J21" si="6">+G20-H20+I20</f>
        <v>0</v>
      </c>
      <c r="K20" s="179">
        <f t="shared" si="1"/>
        <v>0</v>
      </c>
      <c r="L20" s="179">
        <f>+D20-F20</f>
        <v>216565093</v>
      </c>
      <c r="M20" s="183"/>
      <c r="N20" s="184"/>
      <c r="O20" s="183"/>
      <c r="P20" s="183"/>
    </row>
    <row r="21" spans="2:16">
      <c r="B21" s="115" t="s">
        <v>51</v>
      </c>
      <c r="C21" s="165">
        <f>SUM('budget (11)'!D53)</f>
        <v>19238385</v>
      </c>
      <c r="D21" s="176">
        <v>21656509</v>
      </c>
      <c r="E21" s="176">
        <f>D21/$E$3</f>
        <v>367059.4745762712</v>
      </c>
      <c r="F21" s="178">
        <f>SUM('budget (11)'!E53)</f>
        <v>0</v>
      </c>
      <c r="G21" s="178">
        <f>SUM('budget (11)'!F53)</f>
        <v>0</v>
      </c>
      <c r="H21" s="178"/>
      <c r="I21" s="178"/>
      <c r="J21" s="178">
        <f t="shared" si="6"/>
        <v>0</v>
      </c>
      <c r="K21" s="178">
        <f t="shared" si="1"/>
        <v>0</v>
      </c>
      <c r="L21" s="178">
        <f>+D21-F21</f>
        <v>21656509</v>
      </c>
      <c r="M21" s="183"/>
      <c r="N21" s="184"/>
      <c r="O21" s="183"/>
      <c r="P21" s="183"/>
    </row>
    <row r="22" spans="2:16">
      <c r="B22" s="254" t="s">
        <v>52</v>
      </c>
      <c r="C22" s="261">
        <f t="shared" ref="C22:L22" si="7">SUM(C18:C21)</f>
        <v>247412232</v>
      </c>
      <c r="D22" s="261">
        <f t="shared" si="7"/>
        <v>289511602</v>
      </c>
      <c r="E22" s="261">
        <f t="shared" si="7"/>
        <v>4906976.3050847454</v>
      </c>
      <c r="F22" s="262">
        <f t="shared" si="7"/>
        <v>37657083.579999998</v>
      </c>
      <c r="G22" s="262">
        <f t="shared" si="7"/>
        <v>32690440.890000001</v>
      </c>
      <c r="H22" s="262">
        <f t="shared" si="7"/>
        <v>184115.3</v>
      </c>
      <c r="I22" s="262">
        <f t="shared" si="7"/>
        <v>899860.73</v>
      </c>
      <c r="J22" s="262">
        <f t="shared" si="7"/>
        <v>33406186.32</v>
      </c>
      <c r="K22" s="262">
        <f t="shared" si="7"/>
        <v>4250897.2600000016</v>
      </c>
      <c r="L22" s="262">
        <f t="shared" si="7"/>
        <v>251854518.41999999</v>
      </c>
      <c r="M22" s="183"/>
      <c r="N22" s="184"/>
      <c r="O22" s="183"/>
      <c r="P22" s="183"/>
    </row>
    <row r="23" spans="2:16" ht="18.600000000000001" thickBot="1">
      <c r="B23" s="333" t="s">
        <v>229</v>
      </c>
      <c r="C23" s="331">
        <f>C5+C11+C17+C22</f>
        <v>2831861942.9499998</v>
      </c>
      <c r="D23" s="331">
        <f>D5+D11+D17+D22</f>
        <v>3173098639</v>
      </c>
      <c r="E23" s="331">
        <f>E5+E11+E17+E22</f>
        <v>53781332.864406779</v>
      </c>
      <c r="F23" s="329">
        <f t="shared" ref="F23:L23" si="8">F22+F17+F11+F5</f>
        <v>157510112.31999999</v>
      </c>
      <c r="G23" s="329">
        <f t="shared" si="8"/>
        <v>149678199.75999999</v>
      </c>
      <c r="H23" s="329">
        <f t="shared" si="8"/>
        <v>947457.29</v>
      </c>
      <c r="I23" s="329">
        <f t="shared" si="8"/>
        <v>2023659.48</v>
      </c>
      <c r="J23" s="329">
        <f>J22+J17+J11+J5</f>
        <v>150754401.94999999</v>
      </c>
      <c r="K23" s="329">
        <f>K22+K17+K11+K5</f>
        <v>6755710.370000002</v>
      </c>
      <c r="L23" s="329">
        <f t="shared" si="8"/>
        <v>2977594650.6799998</v>
      </c>
      <c r="M23" s="183"/>
      <c r="N23" s="184"/>
      <c r="O23" s="183"/>
      <c r="P23" s="183"/>
    </row>
    <row r="24" spans="2:16" ht="15" thickBot="1">
      <c r="F24" s="369"/>
      <c r="G24" s="369"/>
      <c r="H24" s="369"/>
      <c r="I24" s="369"/>
      <c r="J24" s="369"/>
      <c r="K24" s="320"/>
      <c r="L24" s="368"/>
    </row>
    <row r="25" spans="2:16" ht="15" thickBot="1">
      <c r="D25" s="320"/>
      <c r="F25" s="368"/>
      <c r="G25" s="368"/>
      <c r="H25" s="434" t="s">
        <v>653</v>
      </c>
      <c r="I25" s="435">
        <f>+'BCE 11.24'!C38</f>
        <v>159695773.63999999</v>
      </c>
      <c r="J25" s="368">
        <v>160000000</v>
      </c>
      <c r="K25" s="142"/>
      <c r="L25" s="108"/>
      <c r="N25" s="186" t="s">
        <v>189</v>
      </c>
      <c r="O25" s="190">
        <v>2831861942.3920002</v>
      </c>
    </row>
    <row r="26" spans="2:16" ht="15" thickBot="1">
      <c r="D26" s="370"/>
      <c r="E26" s="320"/>
      <c r="F26" s="474"/>
      <c r="H26" s="436" t="s">
        <v>654</v>
      </c>
      <c r="I26" s="437">
        <f>-'BCE 11.24'!C9-'BCE 11.24'!C10</f>
        <v>-9895226.2200000007</v>
      </c>
      <c r="J26" s="108">
        <f>J25-J23</f>
        <v>9245598.0500000119</v>
      </c>
      <c r="K26" s="320"/>
      <c r="N26" s="188" t="s">
        <v>190</v>
      </c>
      <c r="O26" s="189">
        <f>C23</f>
        <v>2831861942.9499998</v>
      </c>
    </row>
    <row r="27" spans="2:16" ht="15" thickBot="1">
      <c r="C27" s="489"/>
      <c r="D27" s="370"/>
      <c r="F27" s="474"/>
      <c r="H27" s="441" t="s">
        <v>655</v>
      </c>
      <c r="I27" s="442">
        <f>+'BCE 11.24'!C29+'BCE 11.24'!C30+'BCE 11.24'!C31+'BCE 11.24'!C28</f>
        <v>837874.42</v>
      </c>
      <c r="J27" s="445">
        <f>+K23</f>
        <v>6755710.370000002</v>
      </c>
      <c r="K27" s="320"/>
      <c r="N27" s="187" t="s">
        <v>191</v>
      </c>
      <c r="O27" s="191">
        <f>O25-O26</f>
        <v>-0.55799961090087891</v>
      </c>
    </row>
    <row r="28" spans="2:16">
      <c r="C28" s="489"/>
      <c r="D28" s="370"/>
      <c r="F28" s="474"/>
      <c r="H28" s="441" t="s">
        <v>808</v>
      </c>
      <c r="I28" s="442">
        <f>+'BCE 11.24'!C27</f>
        <v>298015.71000000002</v>
      </c>
      <c r="J28" s="445"/>
      <c r="K28" s="320"/>
      <c r="N28" s="183"/>
      <c r="O28" s="508"/>
    </row>
    <row r="29" spans="2:16" ht="15" thickBot="1">
      <c r="C29" s="369"/>
      <c r="D29" s="370"/>
      <c r="H29" s="438" t="s">
        <v>656</v>
      </c>
      <c r="I29" s="439">
        <f>SUM(I25:I27)</f>
        <v>150638421.83999997</v>
      </c>
      <c r="J29" s="445">
        <f>J26-J27</f>
        <v>2489887.6800000099</v>
      </c>
    </row>
    <row r="30" spans="2:16">
      <c r="C30" s="161"/>
      <c r="D30" s="370"/>
      <c r="H30" s="440" t="s">
        <v>657</v>
      </c>
      <c r="I30" s="445">
        <f>+J23</f>
        <v>150754401.94999999</v>
      </c>
    </row>
    <row r="31" spans="2:16">
      <c r="H31" s="443" t="s">
        <v>658</v>
      </c>
      <c r="I31" s="443">
        <f>+I29-I30</f>
        <v>-115980.11000001431</v>
      </c>
      <c r="J31" s="444">
        <f>+'BCE 11.24'!C39</f>
        <v>115731.52</v>
      </c>
      <c r="K31" s="444">
        <f>+I31+J31</f>
        <v>-248.59000001430104</v>
      </c>
    </row>
    <row r="34" spans="2:5">
      <c r="B34" s="254" t="s">
        <v>47</v>
      </c>
    </row>
    <row r="35" spans="2:5">
      <c r="B35" s="112" t="s">
        <v>48</v>
      </c>
    </row>
    <row r="36" spans="2:5">
      <c r="B36" s="115" t="s">
        <v>49</v>
      </c>
    </row>
    <row r="37" spans="2:5">
      <c r="B37" s="112" t="s">
        <v>50</v>
      </c>
    </row>
    <row r="38" spans="2:5">
      <c r="B38" s="115" t="s">
        <v>51</v>
      </c>
    </row>
    <row r="39" spans="2:5">
      <c r="B39" s="254" t="s">
        <v>52</v>
      </c>
    </row>
    <row r="40" spans="2:5" ht="18.600000000000001" thickBot="1">
      <c r="B40" s="333" t="s">
        <v>229</v>
      </c>
    </row>
    <row r="42" spans="2:5" ht="15" thickBot="1"/>
    <row r="43" spans="2:5">
      <c r="B43" s="335" t="s">
        <v>234</v>
      </c>
      <c r="C43" s="336">
        <v>160000000</v>
      </c>
      <c r="D43" s="336"/>
      <c r="E43" s="336"/>
    </row>
    <row r="44" spans="2:5">
      <c r="B44" s="112" t="s">
        <v>153</v>
      </c>
      <c r="C44" s="403">
        <f>J23+J27</f>
        <v>157510112.31999999</v>
      </c>
      <c r="D44" s="403"/>
      <c r="E44" s="403">
        <f>C44/C43</f>
        <v>0.98443820199999998</v>
      </c>
    </row>
    <row r="45" spans="2:5" ht="15" thickBot="1">
      <c r="B45" s="339" t="s">
        <v>154</v>
      </c>
      <c r="C45" s="340">
        <f>C43-C44</f>
        <v>2489887.6800000072</v>
      </c>
      <c r="D45" s="340"/>
      <c r="E45" s="340">
        <f>C45/C43</f>
        <v>1.5561798000000045E-2</v>
      </c>
    </row>
  </sheetData>
  <mergeCells count="8">
    <mergeCell ref="M1:P2"/>
    <mergeCell ref="F3:F4"/>
    <mergeCell ref="G3:G4"/>
    <mergeCell ref="H3:H4"/>
    <mergeCell ref="I3:I4"/>
    <mergeCell ref="J3:J4"/>
    <mergeCell ref="K3:K4"/>
    <mergeCell ref="L3:L4"/>
  </mergeCells>
  <conditionalFormatting sqref="M6:M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M9">
    <cfRule type="iconSet" priority="1">
      <iconSet iconSet="3Arrows">
        <cfvo type="percent" val="0"/>
        <cfvo type="percent" val="45"/>
        <cfvo type="percent" val="80"/>
      </iconSet>
    </cfRule>
  </conditionalFormatting>
  <conditionalFormatting sqref="M13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M15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M19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M21">
    <cfRule type="iconSet" priority="2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3230B-6FFF-44C3-A98C-02AA71400F08}">
  <dimension ref="B2:H45"/>
  <sheetViews>
    <sheetView showGridLines="0" topLeftCell="B1" zoomScale="90" zoomScaleNormal="90" workbookViewId="0">
      <selection activeCell="C31" sqref="B28:C31"/>
    </sheetView>
  </sheetViews>
  <sheetFormatPr baseColWidth="10" defaultColWidth="11.44140625" defaultRowHeight="14.4"/>
  <cols>
    <col min="1" max="1" width="18.6640625" customWidth="1"/>
    <col min="2" max="2" width="39.88671875" bestFit="1" customWidth="1"/>
    <col min="3" max="3" width="18.44140625" bestFit="1" customWidth="1"/>
    <col min="4" max="4" width="18" bestFit="1" customWidth="1"/>
    <col min="5" max="5" width="16.88671875" bestFit="1" customWidth="1"/>
    <col min="6" max="6" width="18.6640625" customWidth="1"/>
    <col min="7" max="7" width="18.5546875" customWidth="1"/>
    <col min="8" max="8" width="17.5546875" bestFit="1" customWidth="1"/>
  </cols>
  <sheetData>
    <row r="2" spans="2:8">
      <c r="D2">
        <v>59.9</v>
      </c>
    </row>
    <row r="3" spans="2:8">
      <c r="B3" s="142">
        <v>160000000</v>
      </c>
      <c r="C3" s="162">
        <f>B3-C4</f>
        <v>65967960.159999996</v>
      </c>
      <c r="D3" s="162">
        <f>C3-(SUM(D5:D8))</f>
        <v>41084982.207438283</v>
      </c>
    </row>
    <row r="4" spans="2:8" ht="15" thickBot="1">
      <c r="B4" s="284" t="s">
        <v>259</v>
      </c>
      <c r="C4" s="142">
        <v>94032039.840000004</v>
      </c>
      <c r="D4" s="142"/>
    </row>
    <row r="5" spans="2:8" ht="15.6" thickTop="1" thickBot="1">
      <c r="B5" s="284" t="s">
        <v>260</v>
      </c>
      <c r="C5" s="142"/>
      <c r="D5" s="162">
        <f>D10*$D$2</f>
        <v>9215810.2113617156</v>
      </c>
    </row>
    <row r="6" spans="2:8" ht="15.6" thickTop="1" thickBot="1">
      <c r="B6" s="285" t="s">
        <v>261</v>
      </c>
      <c r="C6" s="142"/>
      <c r="D6" s="162">
        <f t="shared" ref="D6:D8" si="0">D11*$D$2</f>
        <v>781278.0959999999</v>
      </c>
    </row>
    <row r="7" spans="2:8" ht="15.6" thickTop="1" thickBot="1">
      <c r="B7" s="285" t="s">
        <v>149</v>
      </c>
      <c r="C7" s="142"/>
      <c r="D7" s="162">
        <f t="shared" si="0"/>
        <v>11511123.645199999</v>
      </c>
    </row>
    <row r="8" spans="2:8" ht="15.6" thickTop="1" thickBot="1">
      <c r="B8" s="285" t="s">
        <v>262</v>
      </c>
      <c r="C8" s="142"/>
      <c r="D8" s="162">
        <f t="shared" si="0"/>
        <v>3374766</v>
      </c>
    </row>
    <row r="9" spans="2:8" ht="15" thickTop="1"/>
    <row r="10" spans="2:8">
      <c r="D10" s="142">
        <v>153853.25895428573</v>
      </c>
    </row>
    <row r="11" spans="2:8">
      <c r="D11" s="142">
        <v>13043.039999999999</v>
      </c>
    </row>
    <row r="12" spans="2:8">
      <c r="D12" s="142">
        <v>192172.348</v>
      </c>
    </row>
    <row r="13" spans="2:8">
      <c r="D13" s="142">
        <v>56340</v>
      </c>
    </row>
    <row r="16" spans="2:8" ht="31.2">
      <c r="B16" s="342"/>
      <c r="C16" s="343" t="s">
        <v>263</v>
      </c>
      <c r="D16" s="344" t="s">
        <v>809</v>
      </c>
      <c r="E16" s="343">
        <v>45627</v>
      </c>
      <c r="F16" s="343">
        <v>45658</v>
      </c>
      <c r="G16" s="343">
        <v>45689</v>
      </c>
      <c r="H16" s="343">
        <v>45717</v>
      </c>
    </row>
    <row r="17" spans="2:8" ht="15.6">
      <c r="B17" s="345" t="s">
        <v>265</v>
      </c>
      <c r="C17" s="346">
        <v>160000000</v>
      </c>
      <c r="D17" s="347"/>
      <c r="E17" s="347"/>
      <c r="F17" s="347"/>
      <c r="G17" s="347"/>
      <c r="H17" s="347"/>
    </row>
    <row r="18" spans="2:8" ht="15.6">
      <c r="B18" s="345" t="s">
        <v>266</v>
      </c>
      <c r="C18" s="152"/>
      <c r="D18" s="348">
        <f>C17-D19</f>
        <v>9245598.0499999821</v>
      </c>
      <c r="E18" s="348">
        <f>D18-E19</f>
        <v>839887.67999997921</v>
      </c>
      <c r="F18" s="348">
        <f>E18-F19</f>
        <v>-10368953.10750002</v>
      </c>
      <c r="G18" s="348">
        <f t="shared" ref="G18:H18" si="1">F18-G19</f>
        <v>-16127793.89500002</v>
      </c>
      <c r="H18" s="348">
        <f t="shared" si="1"/>
        <v>-21577793.895000018</v>
      </c>
    </row>
    <row r="19" spans="2:8" ht="15.6">
      <c r="B19" s="345" t="s">
        <v>267</v>
      </c>
      <c r="C19" s="349"/>
      <c r="D19" s="346">
        <f>SUM(D21:D33)</f>
        <v>150754401.95000002</v>
      </c>
      <c r="E19" s="346">
        <f>SUM(E21:E33)</f>
        <v>8405710.3700000029</v>
      </c>
      <c r="F19" s="346">
        <f t="shared" ref="F19:H19" si="2">SUM(F21:F33)</f>
        <v>11208840.7875</v>
      </c>
      <c r="G19" s="346">
        <f t="shared" si="2"/>
        <v>5758840.7874999996</v>
      </c>
      <c r="H19" s="346">
        <f t="shared" si="2"/>
        <v>5450000</v>
      </c>
    </row>
    <row r="20" spans="2:8" ht="2.4" customHeight="1">
      <c r="B20" s="350"/>
      <c r="C20" s="351"/>
      <c r="D20" s="352"/>
      <c r="E20" s="352"/>
      <c r="F20" s="352"/>
      <c r="G20" s="352"/>
      <c r="H20" s="352"/>
    </row>
    <row r="21" spans="2:8" ht="15.6">
      <c r="B21" s="353" t="s">
        <v>259</v>
      </c>
      <c r="C21" s="354"/>
      <c r="D21" s="355">
        <f>+'PRESENTACIÓN 11-24'!J5</f>
        <v>94172341.829999998</v>
      </c>
      <c r="E21" s="355">
        <f>+'PRESENTACIÓN 11-24'!K5</f>
        <v>0</v>
      </c>
      <c r="F21" s="355"/>
      <c r="G21" s="355"/>
      <c r="H21" s="355"/>
    </row>
    <row r="22" spans="2:8" ht="15.6">
      <c r="B22" s="356" t="s">
        <v>260</v>
      </c>
      <c r="C22" s="349"/>
      <c r="D22" s="346">
        <f>+'PRESENTACIÓN 11-24'!J19</f>
        <v>20461479.23</v>
      </c>
      <c r="E22" s="346">
        <f>+'PRESENTACIÓN 11-24'!K19</f>
        <v>491629.87000000104</v>
      </c>
      <c r="F22" s="346"/>
      <c r="G22" s="346"/>
      <c r="H22" s="346"/>
    </row>
    <row r="23" spans="2:8" ht="15.6">
      <c r="B23" s="356" t="s">
        <v>766</v>
      </c>
      <c r="C23" s="354"/>
      <c r="D23" s="355">
        <f>+'PRESENTACIÓN 11-24'!J18</f>
        <v>12944707.09</v>
      </c>
      <c r="E23" s="355">
        <f>+'PRESENTACIÓN 11-24'!K18</f>
        <v>3759267.3900000006</v>
      </c>
      <c r="F23" s="355">
        <v>2458840.7875000001</v>
      </c>
      <c r="G23" s="355">
        <v>2458840.7875000001</v>
      </c>
      <c r="H23" s="355">
        <v>1400000</v>
      </c>
    </row>
    <row r="24" spans="2:8" ht="15.6">
      <c r="B24" s="356" t="s">
        <v>271</v>
      </c>
      <c r="C24" s="349"/>
      <c r="D24" s="357">
        <f>+'PRESENTACIÓN 11-24'!J6</f>
        <v>9219083.5899999999</v>
      </c>
      <c r="E24" s="346">
        <f>+'PRESENTACIÓN 11-24'!K6</f>
        <v>0</v>
      </c>
      <c r="F24" s="346"/>
      <c r="G24" s="346"/>
      <c r="H24" s="346"/>
    </row>
    <row r="25" spans="2:8" ht="15.6">
      <c r="B25" s="356" t="s">
        <v>449</v>
      </c>
      <c r="C25" s="354"/>
      <c r="D25" s="355">
        <f>+'PRESENTACIÓN 11-24'!J15</f>
        <v>11840347.029999999</v>
      </c>
      <c r="E25" s="355">
        <f>+'PRESENTACIÓN 11-24'!K15</f>
        <v>2205463.120000001</v>
      </c>
      <c r="F25" s="355">
        <v>3600000</v>
      </c>
      <c r="G25" s="355">
        <v>1650000</v>
      </c>
      <c r="H25" s="355">
        <v>1650000</v>
      </c>
    </row>
    <row r="26" spans="2:8" ht="15.6">
      <c r="B26" s="356" t="s">
        <v>810</v>
      </c>
      <c r="C26" s="349"/>
      <c r="D26" s="346">
        <f>+'PRESENTACIÓN 11-24'!J14</f>
        <v>330277.40000000002</v>
      </c>
      <c r="E26" s="346"/>
      <c r="F26" s="346"/>
      <c r="G26" s="346"/>
      <c r="H26" s="346"/>
    </row>
    <row r="27" spans="2:8" ht="3.6" customHeight="1">
      <c r="B27" s="359"/>
      <c r="C27" s="360"/>
      <c r="D27" s="361"/>
      <c r="E27" s="361"/>
      <c r="F27" s="361"/>
      <c r="G27" s="361"/>
      <c r="H27" s="361"/>
    </row>
    <row r="28" spans="2:8" ht="15.6">
      <c r="B28" s="362" t="s">
        <v>767</v>
      </c>
      <c r="C28" s="484"/>
      <c r="D28" s="485">
        <f>+'PRESENTACIÓN 11-24'!J9+'PRESENTACIÓN 11-24'!J12</f>
        <v>1786165.78</v>
      </c>
      <c r="E28" s="485">
        <f>+'PRESENTACIÓN 11-24'!K9+500000</f>
        <v>519672.22</v>
      </c>
      <c r="F28" s="485">
        <v>500000</v>
      </c>
      <c r="G28" s="485">
        <v>500000</v>
      </c>
      <c r="H28" s="485">
        <v>1000000</v>
      </c>
    </row>
    <row r="29" spans="2:8" ht="15.6">
      <c r="B29" s="362" t="s">
        <v>768</v>
      </c>
      <c r="C29" s="484"/>
      <c r="D29" s="485"/>
      <c r="E29" s="485">
        <v>500000</v>
      </c>
      <c r="F29" s="485">
        <v>500000</v>
      </c>
      <c r="G29" s="485">
        <v>500000</v>
      </c>
      <c r="H29" s="485">
        <v>750000</v>
      </c>
    </row>
    <row r="30" spans="2:8" ht="15.6">
      <c r="B30" s="486" t="s">
        <v>769</v>
      </c>
      <c r="C30" s="487"/>
      <c r="D30" s="488"/>
      <c r="E30" s="488">
        <f>+'PRESENTACIÓN 11-24'!K13+650000</f>
        <v>929677.77</v>
      </c>
      <c r="F30" s="488">
        <v>650000</v>
      </c>
      <c r="G30" s="488">
        <v>650000</v>
      </c>
      <c r="H30" s="488">
        <v>650000</v>
      </c>
    </row>
    <row r="31" spans="2:8" ht="15.6">
      <c r="B31" s="362" t="s">
        <v>770</v>
      </c>
      <c r="C31" s="484"/>
      <c r="D31" s="485"/>
      <c r="E31" s="485"/>
      <c r="F31" s="485">
        <v>500000</v>
      </c>
      <c r="G31" s="485"/>
      <c r="H31" s="485"/>
    </row>
    <row r="32" spans="2:8" ht="15.6">
      <c r="B32" s="362" t="s">
        <v>273</v>
      </c>
      <c r="C32" s="349"/>
      <c r="D32" s="346"/>
      <c r="E32" s="346"/>
      <c r="F32" s="346"/>
      <c r="G32" s="346"/>
      <c r="H32" s="346"/>
    </row>
    <row r="33" spans="2:6" ht="15.6">
      <c r="B33" s="362" t="s">
        <v>274</v>
      </c>
      <c r="C33" s="365"/>
      <c r="D33" s="355"/>
      <c r="E33" s="355"/>
      <c r="F33" s="355">
        <v>3000000</v>
      </c>
    </row>
    <row r="34" spans="2:6">
      <c r="C34" s="298"/>
      <c r="D34" s="299"/>
    </row>
    <row r="35" spans="2:6">
      <c r="E35" s="162"/>
    </row>
    <row r="41" spans="2:6">
      <c r="B41" s="142">
        <v>4837716.2100000009</v>
      </c>
    </row>
    <row r="42" spans="2:6">
      <c r="B42" s="142">
        <v>6800000</v>
      </c>
      <c r="C42" t="s">
        <v>230</v>
      </c>
    </row>
    <row r="43" spans="2:6">
      <c r="B43" s="142">
        <v>8480849.7899999991</v>
      </c>
      <c r="C43" t="s">
        <v>231</v>
      </c>
    </row>
    <row r="44" spans="2:6">
      <c r="B44" s="142">
        <v>2390947.54</v>
      </c>
      <c r="C44" t="s">
        <v>232</v>
      </c>
    </row>
    <row r="45" spans="2:6">
      <c r="B45" s="162">
        <f>SUM(B41:B44)</f>
        <v>22509513.539999999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0F224-D78F-47AF-9F7F-056EF95FB158}">
  <dimension ref="A1:D46"/>
  <sheetViews>
    <sheetView showGridLines="0" topLeftCell="A15" zoomScaleNormal="100" workbookViewId="0">
      <selection activeCell="C31" sqref="B28:C31"/>
    </sheetView>
  </sheetViews>
  <sheetFormatPr baseColWidth="10" defaultColWidth="8" defaultRowHeight="11.4"/>
  <cols>
    <col min="1" max="1" width="1.33203125" style="490" customWidth="1"/>
    <col min="2" max="2" width="39.5546875" style="490" customWidth="1"/>
    <col min="3" max="3" width="13.33203125" style="490" customWidth="1"/>
    <col min="4" max="4" width="4.88671875" style="490" customWidth="1"/>
    <col min="5" max="5" width="8" style="490"/>
    <col min="6" max="6" width="15.5546875" style="490" bestFit="1" customWidth="1"/>
    <col min="7" max="16384" width="8" style="490"/>
  </cols>
  <sheetData>
    <row r="1" spans="1:4" s="497" customFormat="1" ht="16.649999999999999" customHeight="1">
      <c r="A1" s="1909" t="s">
        <v>235</v>
      </c>
      <c r="B1" s="1909"/>
      <c r="C1" s="1909"/>
      <c r="D1" s="1909"/>
    </row>
    <row r="2" spans="1:4" s="496" customFormat="1" ht="14.4" customHeight="1">
      <c r="A2" s="1910" t="s">
        <v>236</v>
      </c>
      <c r="B2" s="1910"/>
      <c r="C2" s="1910"/>
      <c r="D2" s="1910"/>
    </row>
    <row r="3" spans="1:4" s="496" customFormat="1" ht="14.4" customHeight="1">
      <c r="A3" s="1910" t="s">
        <v>811</v>
      </c>
      <c r="B3" s="1910"/>
      <c r="C3" s="1910"/>
      <c r="D3" s="1910"/>
    </row>
    <row r="4" spans="1:4" ht="13.35" customHeight="1"/>
    <row r="5" spans="1:4" s="495" customFormat="1" ht="12.15" customHeight="1">
      <c r="A5" s="1913"/>
      <c r="B5" s="1911" t="s">
        <v>238</v>
      </c>
      <c r="C5" s="1912" t="s">
        <v>812</v>
      </c>
      <c r="D5" s="1912"/>
    </row>
    <row r="6" spans="1:4" ht="13.35" customHeight="1"/>
    <row r="7" spans="1:4" s="495" customFormat="1" ht="12.15" customHeight="1">
      <c r="A7" s="1913" t="s">
        <v>239</v>
      </c>
      <c r="B7" s="1913"/>
      <c r="C7" s="1913"/>
      <c r="D7" s="1913"/>
    </row>
    <row r="8" spans="1:4" ht="10.95" customHeight="1">
      <c r="A8" s="1919"/>
      <c r="B8" s="1919" t="s">
        <v>638</v>
      </c>
      <c r="C8" s="1919"/>
      <c r="D8" s="1919"/>
    </row>
    <row r="9" spans="1:4" ht="10.95" customHeight="1">
      <c r="B9" s="492" t="s">
        <v>639</v>
      </c>
      <c r="C9" s="491">
        <v>7515475.29</v>
      </c>
      <c r="D9" s="492"/>
    </row>
    <row r="10" spans="1:4" ht="10.95" customHeight="1">
      <c r="B10" s="492" t="s">
        <v>640</v>
      </c>
      <c r="C10" s="491">
        <v>596734.87</v>
      </c>
      <c r="D10" s="492" t="s">
        <v>641</v>
      </c>
    </row>
    <row r="11" spans="1:4" ht="10.95" customHeight="1">
      <c r="B11" s="492" t="s">
        <v>799</v>
      </c>
      <c r="C11" s="491">
        <v>604757.16</v>
      </c>
      <c r="D11" s="492" t="s">
        <v>641</v>
      </c>
    </row>
    <row r="12" spans="1:4" ht="10.95" customHeight="1">
      <c r="B12" s="1914" t="s">
        <v>642</v>
      </c>
      <c r="C12" s="1915">
        <f>SUM(C9:C11)</f>
        <v>8716967.3200000003</v>
      </c>
      <c r="D12" s="1914"/>
    </row>
    <row r="13" spans="1:4" ht="10.95" customHeight="1">
      <c r="A13" s="1919"/>
      <c r="B13" s="1919" t="s">
        <v>240</v>
      </c>
      <c r="C13" s="1919"/>
      <c r="D13" s="1919"/>
    </row>
    <row r="14" spans="1:4" ht="10.95" customHeight="1">
      <c r="B14" s="492" t="s">
        <v>241</v>
      </c>
      <c r="C14" s="491">
        <v>1827824.55</v>
      </c>
      <c r="D14" s="492"/>
    </row>
    <row r="15" spans="1:4" ht="10.95" customHeight="1">
      <c r="B15" s="1914" t="s">
        <v>242</v>
      </c>
      <c r="C15" s="1915">
        <f>C14</f>
        <v>1827824.55</v>
      </c>
      <c r="D15" s="1914"/>
    </row>
    <row r="16" spans="1:4" ht="10.95" customHeight="1">
      <c r="A16" s="1919"/>
      <c r="B16" s="1919" t="s">
        <v>243</v>
      </c>
      <c r="C16" s="1919"/>
      <c r="D16" s="1919"/>
    </row>
    <row r="17" spans="1:4" ht="10.95" customHeight="1">
      <c r="B17" s="492" t="s">
        <v>800</v>
      </c>
      <c r="C17" s="491">
        <v>31843261.260000002</v>
      </c>
      <c r="D17" s="492"/>
    </row>
    <row r="18" spans="1:4" ht="10.95" customHeight="1">
      <c r="B18" s="492" t="s">
        <v>245</v>
      </c>
      <c r="C18" s="491">
        <v>12349086.460000001</v>
      </c>
      <c r="D18" s="492"/>
    </row>
    <row r="19" spans="1:4" ht="10.95" customHeight="1">
      <c r="B19" s="492" t="s">
        <v>801</v>
      </c>
      <c r="C19" s="491">
        <v>12715384.380000001</v>
      </c>
      <c r="D19" s="492"/>
    </row>
    <row r="20" spans="1:4" ht="10.95" customHeight="1">
      <c r="B20" s="492" t="s">
        <v>33</v>
      </c>
      <c r="C20" s="491">
        <v>94172341.829999998</v>
      </c>
      <c r="D20" s="492"/>
    </row>
    <row r="21" spans="1:4" ht="10.95" customHeight="1">
      <c r="B21" s="1914" t="s">
        <v>247</v>
      </c>
      <c r="C21" s="1915">
        <f>SUM(C17:C20)</f>
        <v>151080073.93000001</v>
      </c>
      <c r="D21" s="1914"/>
    </row>
    <row r="22" spans="1:4" ht="10.95" customHeight="1">
      <c r="A22" s="1914" t="s">
        <v>248</v>
      </c>
      <c r="C22" s="1915">
        <f>(0 + ((C12 + C15) + C21))</f>
        <v>161624865.80000001</v>
      </c>
      <c r="D22" s="1914"/>
    </row>
    <row r="23" spans="1:4" ht="13.35" customHeight="1"/>
    <row r="24" spans="1:4" s="495" customFormat="1" ht="12.15" customHeight="1">
      <c r="A24" s="1913" t="s">
        <v>249</v>
      </c>
      <c r="B24" s="1913"/>
      <c r="C24" s="1913"/>
      <c r="D24" s="1913"/>
    </row>
    <row r="25" spans="1:4" ht="10.95" customHeight="1">
      <c r="A25" s="1919"/>
      <c r="B25" s="1919" t="s">
        <v>250</v>
      </c>
      <c r="C25" s="1919"/>
      <c r="D25" s="1919"/>
    </row>
    <row r="26" spans="1:4" ht="10.95" customHeight="1">
      <c r="B26" s="492" t="s">
        <v>251</v>
      </c>
      <c r="C26" s="491">
        <v>433593.97</v>
      </c>
      <c r="D26" s="492"/>
    </row>
    <row r="27" spans="1:4" ht="10.95" customHeight="1">
      <c r="B27" s="492" t="s">
        <v>802</v>
      </c>
      <c r="C27" s="491">
        <v>597566.75</v>
      </c>
      <c r="D27" s="492"/>
    </row>
    <row r="28" spans="1:4" ht="10.95" customHeight="1">
      <c r="B28" s="492" t="s">
        <v>252</v>
      </c>
      <c r="C28" s="491">
        <v>500375.8</v>
      </c>
      <c r="D28" s="492"/>
    </row>
    <row r="29" spans="1:4" ht="10.95" customHeight="1">
      <c r="B29" s="492" t="s">
        <v>803</v>
      </c>
      <c r="C29" s="491">
        <v>48750</v>
      </c>
      <c r="D29" s="492"/>
    </row>
    <row r="30" spans="1:4" ht="10.95" customHeight="1">
      <c r="B30" s="492" t="s">
        <v>804</v>
      </c>
      <c r="C30" s="491">
        <v>37371.919999999998</v>
      </c>
      <c r="D30" s="492"/>
    </row>
    <row r="31" spans="1:4" ht="10.95" customHeight="1">
      <c r="B31" s="492" t="s">
        <v>813</v>
      </c>
      <c r="C31" s="491">
        <v>146511.92000000001</v>
      </c>
      <c r="D31" s="492"/>
    </row>
    <row r="32" spans="1:4" ht="10.95" customHeight="1">
      <c r="B32" s="492" t="s">
        <v>805</v>
      </c>
      <c r="C32" s="491">
        <v>27083.33</v>
      </c>
      <c r="D32" s="492"/>
    </row>
    <row r="33" spans="1:3" ht="10.95" customHeight="1">
      <c r="B33" s="1914" t="s">
        <v>253</v>
      </c>
      <c r="C33" s="1915">
        <f>SUM(C26:C32)</f>
        <v>1791253.69</v>
      </c>
    </row>
    <row r="34" spans="1:3" ht="10.95" customHeight="1">
      <c r="A34" s="1914" t="s">
        <v>254</v>
      </c>
      <c r="C34" s="1915">
        <f>(0 + C33)</f>
        <v>1791253.69</v>
      </c>
    </row>
    <row r="35" spans="1:3" ht="13.35" customHeight="1"/>
    <row r="36" spans="1:3" ht="10.95" customHeight="1">
      <c r="B36" s="1916" t="s">
        <v>255</v>
      </c>
      <c r="C36" s="1917">
        <f>(C22 - C34)</f>
        <v>159833612.11000001</v>
      </c>
    </row>
    <row r="37" spans="1:3" ht="13.35" customHeight="1"/>
    <row r="38" spans="1:3" s="495" customFormat="1" ht="12.15" customHeight="1">
      <c r="A38" s="1913" t="s">
        <v>256</v>
      </c>
      <c r="B38" s="1913"/>
      <c r="C38" s="1913"/>
    </row>
    <row r="39" spans="1:3" ht="10.95" customHeight="1">
      <c r="B39" s="494" t="s">
        <v>257</v>
      </c>
      <c r="C39" s="493">
        <v>159695773.63999999</v>
      </c>
    </row>
    <row r="40" spans="1:3" ht="10.95" customHeight="1">
      <c r="B40" s="492" t="s">
        <v>647</v>
      </c>
      <c r="C40" s="491">
        <v>137838.47</v>
      </c>
    </row>
    <row r="41" spans="1:3" ht="10.95" customHeight="1">
      <c r="A41" s="1914" t="s">
        <v>258</v>
      </c>
      <c r="C41" s="1915">
        <f>SUM(C39:C40)</f>
        <v>159833612.10999998</v>
      </c>
    </row>
    <row r="42" spans="1:3" ht="13.35" customHeight="1"/>
    <row r="43" spans="1:3" ht="13.35" customHeight="1"/>
    <row r="44" spans="1:3" ht="10.95" customHeight="1">
      <c r="A44" s="519" t="s">
        <v>814</v>
      </c>
    </row>
    <row r="45" spans="1:3" ht="10.95" customHeight="1">
      <c r="A45" s="1920" t="s">
        <v>812</v>
      </c>
    </row>
    <row r="46" spans="1:3" ht="10.95" customHeight="1">
      <c r="A46" s="519" t="s">
        <v>815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8B548-E5AC-4FEF-8EB6-295BA0E17C9D}">
  <dimension ref="A1:G17"/>
  <sheetViews>
    <sheetView workbookViewId="0">
      <selection activeCell="C31" sqref="B28:C31"/>
    </sheetView>
  </sheetViews>
  <sheetFormatPr baseColWidth="10" defaultColWidth="8.88671875" defaultRowHeight="13.8"/>
  <cols>
    <col min="1" max="1" width="5.88671875" style="1" bestFit="1" customWidth="1"/>
    <col min="2" max="2" width="29.44140625" style="1" bestFit="1" customWidth="1"/>
    <col min="3" max="3" width="28.33203125" style="500" bestFit="1" customWidth="1"/>
    <col min="4" max="4" width="22" style="500" bestFit="1" customWidth="1"/>
    <col min="5" max="5" width="25.33203125" style="500" bestFit="1" customWidth="1"/>
    <col min="6" max="6" width="24" style="500" customWidth="1"/>
    <col min="7" max="7" width="17.6640625" style="500" bestFit="1" customWidth="1"/>
    <col min="8" max="16384" width="8.88671875" style="1"/>
  </cols>
  <sheetData>
    <row r="1" spans="1:7">
      <c r="A1" s="503" t="s">
        <v>786</v>
      </c>
      <c r="B1" s="503" t="s">
        <v>787</v>
      </c>
      <c r="C1" s="503" t="s">
        <v>788</v>
      </c>
      <c r="D1" s="503" t="s">
        <v>789</v>
      </c>
      <c r="E1" s="503" t="s">
        <v>790</v>
      </c>
      <c r="F1" s="503" t="s">
        <v>791</v>
      </c>
      <c r="G1" s="503" t="s">
        <v>792</v>
      </c>
    </row>
    <row r="2" spans="1:7" s="504" customFormat="1" ht="14.4">
      <c r="A2" s="504">
        <v>1</v>
      </c>
      <c r="B2" s="504" t="s">
        <v>65</v>
      </c>
      <c r="C2" s="505">
        <v>103385169</v>
      </c>
      <c r="D2" s="505"/>
      <c r="E2" s="509">
        <v>103385169</v>
      </c>
      <c r="F2" s="505">
        <v>94172341.829999998</v>
      </c>
      <c r="G2" s="505">
        <v>94172341.829999998</v>
      </c>
    </row>
    <row r="3" spans="1:7" s="504" customFormat="1" ht="14.4">
      <c r="A3" s="504">
        <v>2</v>
      </c>
      <c r="B3" s="504" t="s">
        <v>68</v>
      </c>
      <c r="C3" s="505">
        <v>20790000</v>
      </c>
      <c r="D3" s="505">
        <v>0</v>
      </c>
      <c r="E3" s="509">
        <v>20789999.999999996</v>
      </c>
      <c r="F3" s="505">
        <v>21610963.289999999</v>
      </c>
      <c r="G3" s="505">
        <v>20979515.640000001</v>
      </c>
    </row>
    <row r="4" spans="1:7" s="504" customFormat="1" ht="14.4">
      <c r="A4" s="507">
        <v>3</v>
      </c>
      <c r="B4" s="507" t="s">
        <v>78</v>
      </c>
      <c r="C4" s="506">
        <v>451759000</v>
      </c>
      <c r="D4" s="506"/>
      <c r="E4" s="509">
        <v>451758999.99999994</v>
      </c>
      <c r="F4" s="505">
        <v>9219083.5899999999</v>
      </c>
      <c r="G4" s="505">
        <v>9219083.5899999999</v>
      </c>
    </row>
    <row r="5" spans="1:7" s="504" customFormat="1" ht="14.4">
      <c r="A5" s="507">
        <v>4</v>
      </c>
      <c r="B5" s="507" t="s">
        <v>90</v>
      </c>
      <c r="C5" s="506">
        <v>1265953920</v>
      </c>
      <c r="D5" s="506"/>
      <c r="E5" s="509">
        <v>1265953920</v>
      </c>
      <c r="F5" s="506">
        <v>0</v>
      </c>
      <c r="G5" s="506">
        <v>0</v>
      </c>
    </row>
    <row r="6" spans="1:7" s="504" customFormat="1" ht="14.4">
      <c r="A6" s="504">
        <v>5</v>
      </c>
      <c r="B6" s="504" t="s">
        <v>105</v>
      </c>
      <c r="C6" s="505">
        <v>171771292</v>
      </c>
      <c r="D6" s="505">
        <v>18198088</v>
      </c>
      <c r="E6" s="509">
        <v>171771292</v>
      </c>
      <c r="F6" s="505">
        <v>1644662.03</v>
      </c>
      <c r="G6" s="505">
        <v>1644662.03</v>
      </c>
    </row>
    <row r="7" spans="1:7" s="504" customFormat="1" ht="14.4">
      <c r="A7" s="504">
        <v>6</v>
      </c>
      <c r="B7" s="504" t="s">
        <v>108</v>
      </c>
      <c r="C7" s="505">
        <v>34354258</v>
      </c>
      <c r="D7" s="505">
        <v>3639618</v>
      </c>
      <c r="E7" s="509">
        <v>34354258</v>
      </c>
      <c r="F7" s="505">
        <v>0</v>
      </c>
      <c r="G7" s="505">
        <v>0</v>
      </c>
    </row>
    <row r="8" spans="1:7" s="504" customFormat="1" ht="14.4">
      <c r="A8" s="504">
        <v>7</v>
      </c>
      <c r="B8" s="504" t="s">
        <v>816</v>
      </c>
      <c r="C8" s="505">
        <v>0</v>
      </c>
      <c r="D8" s="505">
        <v>37993876</v>
      </c>
      <c r="E8" s="509">
        <v>0</v>
      </c>
      <c r="F8" s="505">
        <v>0</v>
      </c>
      <c r="G8" s="505">
        <v>0</v>
      </c>
    </row>
    <row r="9" spans="1:7" s="504" customFormat="1" ht="14.4">
      <c r="A9" s="504">
        <v>8</v>
      </c>
      <c r="B9" s="504" t="s">
        <v>112</v>
      </c>
      <c r="C9" s="505">
        <v>137417034</v>
      </c>
      <c r="D9" s="505">
        <v>14558470</v>
      </c>
      <c r="E9" s="509">
        <v>137417034</v>
      </c>
      <c r="F9" s="505">
        <v>161175.97</v>
      </c>
      <c r="G9" s="505">
        <v>161175.97</v>
      </c>
    </row>
    <row r="10" spans="1:7" s="504" customFormat="1" ht="14.4">
      <c r="A10" s="504">
        <v>9</v>
      </c>
      <c r="B10" s="504" t="s">
        <v>115</v>
      </c>
      <c r="C10" s="505">
        <v>67334346</v>
      </c>
      <c r="D10" s="505">
        <v>8463436</v>
      </c>
      <c r="E10" s="509">
        <v>281704919</v>
      </c>
      <c r="F10" s="505">
        <v>559355.54</v>
      </c>
      <c r="G10" s="505">
        <v>559355.54</v>
      </c>
    </row>
    <row r="11" spans="1:7" s="504" customFormat="1" ht="14.4">
      <c r="A11" s="504">
        <v>10</v>
      </c>
      <c r="B11" s="504" t="s">
        <v>119</v>
      </c>
      <c r="C11" s="505">
        <v>281704919</v>
      </c>
      <c r="D11" s="505">
        <v>26425415</v>
      </c>
      <c r="E11" s="509">
        <v>67334346</v>
      </c>
      <c r="F11" s="505">
        <v>373034.61</v>
      </c>
      <c r="G11" s="505">
        <v>373034.61</v>
      </c>
    </row>
    <row r="12" spans="1:7" s="504" customFormat="1" ht="14.4">
      <c r="A12" s="504">
        <v>11</v>
      </c>
      <c r="B12" s="504" t="s">
        <v>122</v>
      </c>
      <c r="C12" s="505">
        <v>51531387.950000003</v>
      </c>
      <c r="D12" s="505">
        <v>5459426.0499999998</v>
      </c>
      <c r="E12" s="509">
        <v>51531387.949999996</v>
      </c>
      <c r="F12" s="505">
        <v>14415200.15</v>
      </c>
      <c r="G12" s="505">
        <v>11255520.279999999</v>
      </c>
    </row>
    <row r="13" spans="1:7" s="504" customFormat="1" ht="14.4">
      <c r="A13" s="504">
        <v>12</v>
      </c>
      <c r="B13" s="504" t="s">
        <v>126</v>
      </c>
      <c r="C13" s="505">
        <v>19238385</v>
      </c>
      <c r="D13" s="505">
        <v>2418121</v>
      </c>
      <c r="E13" s="509">
        <v>19238385</v>
      </c>
      <c r="F13" s="505">
        <v>0</v>
      </c>
      <c r="G13" s="505">
        <v>0</v>
      </c>
    </row>
    <row r="14" spans="1:7" s="504" customFormat="1" ht="14.4">
      <c r="A14" s="504">
        <v>13</v>
      </c>
      <c r="B14" s="504" t="s">
        <v>193</v>
      </c>
      <c r="C14" s="505">
        <v>19238385</v>
      </c>
      <c r="D14" s="505">
        <v>2418124</v>
      </c>
      <c r="E14" s="509">
        <v>15000000</v>
      </c>
      <c r="F14" s="505">
        <v>16827427.559999999</v>
      </c>
      <c r="G14" s="505">
        <v>12715384.369999999</v>
      </c>
    </row>
    <row r="15" spans="1:7" s="504" customFormat="1" ht="14.4">
      <c r="A15" s="504">
        <v>14</v>
      </c>
      <c r="B15" s="504" t="s">
        <v>133</v>
      </c>
      <c r="C15" s="505">
        <v>192383847</v>
      </c>
      <c r="D15" s="505">
        <v>24181246</v>
      </c>
      <c r="E15" s="509">
        <v>19238385</v>
      </c>
      <c r="F15" s="505">
        <v>0</v>
      </c>
      <c r="G15" s="505">
        <v>0</v>
      </c>
    </row>
    <row r="16" spans="1:7" s="504" customFormat="1" ht="14.4">
      <c r="A16" s="504">
        <v>15</v>
      </c>
      <c r="B16" s="504" t="s">
        <v>136</v>
      </c>
      <c r="C16" s="505">
        <v>15000000</v>
      </c>
      <c r="D16" s="505">
        <v>15500000</v>
      </c>
      <c r="E16" s="509">
        <v>192383847</v>
      </c>
      <c r="F16" s="505">
        <v>0</v>
      </c>
      <c r="G16" s="505">
        <v>0</v>
      </c>
    </row>
    <row r="17" spans="1:7" s="501" customFormat="1">
      <c r="A17" s="503"/>
      <c r="B17" s="503" t="s">
        <v>447</v>
      </c>
      <c r="C17" s="502">
        <f t="shared" ref="C17:E17" si="0">SUM(C2:C16)</f>
        <v>2831861942.9499998</v>
      </c>
      <c r="D17" s="502">
        <f t="shared" si="0"/>
        <v>159255820.05000001</v>
      </c>
      <c r="E17" s="502">
        <f t="shared" si="0"/>
        <v>2831861942.9499998</v>
      </c>
      <c r="F17" s="502">
        <f>SUM(F2:F16)</f>
        <v>158983244.57000002</v>
      </c>
      <c r="G17" s="502">
        <f>SUM(G2:G16)</f>
        <v>151080073.86000001</v>
      </c>
    </row>
  </sheetData>
  <autoFilter ref="A1:G1" xr:uid="{00000000-0001-0000-0000-000000000000}"/>
  <pageMargins left="0.7" right="0.7" top="0.75" bottom="0.75" header="0.3" footer="0.3"/>
  <pageSetup orientation="portrait" horizontalDpi="4294967295" verticalDpi="4294967295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AEC92-A389-4EA9-B552-B9CF93D7C972}">
  <sheetPr>
    <pageSetUpPr fitToPage="1"/>
  </sheetPr>
  <dimension ref="A3:H10"/>
  <sheetViews>
    <sheetView workbookViewId="0">
      <selection activeCell="C31" sqref="B28:C31"/>
    </sheetView>
  </sheetViews>
  <sheetFormatPr baseColWidth="10" defaultColWidth="11.5546875" defaultRowHeight="12"/>
  <cols>
    <col min="1" max="1" width="36.6640625" style="516" bestFit="1" customWidth="1"/>
    <col min="2" max="2" width="17.33203125" style="516" bestFit="1" customWidth="1"/>
    <col min="3" max="3" width="9.33203125" style="516" bestFit="1" customWidth="1"/>
    <col min="4" max="4" width="10.33203125" style="518" customWidth="1"/>
    <col min="5" max="5" width="14.5546875" style="518" bestFit="1" customWidth="1"/>
    <col min="6" max="6" width="35" style="516" bestFit="1" customWidth="1"/>
    <col min="7" max="7" width="13" style="516" bestFit="1" customWidth="1"/>
    <col min="8" max="8" width="31.5546875" style="516" bestFit="1" customWidth="1"/>
    <col min="9" max="16384" width="11.5546875" style="516"/>
  </cols>
  <sheetData>
    <row r="3" spans="1:8" s="512" customFormat="1">
      <c r="A3" s="510" t="s">
        <v>707</v>
      </c>
      <c r="B3" s="510" t="s">
        <v>691</v>
      </c>
      <c r="C3" s="510" t="s">
        <v>708</v>
      </c>
      <c r="D3" s="511" t="s">
        <v>164</v>
      </c>
      <c r="E3" s="511" t="s">
        <v>709</v>
      </c>
      <c r="F3" s="510" t="s">
        <v>817</v>
      </c>
      <c r="G3" s="510" t="s">
        <v>818</v>
      </c>
      <c r="H3" s="510" t="s">
        <v>710</v>
      </c>
    </row>
    <row r="4" spans="1:8" ht="36">
      <c r="A4" s="513" t="s">
        <v>795</v>
      </c>
      <c r="B4" s="513" t="s">
        <v>796</v>
      </c>
      <c r="C4" s="514">
        <v>45622</v>
      </c>
      <c r="D4" s="515">
        <v>352775.8</v>
      </c>
      <c r="E4" s="515">
        <v>352775.8</v>
      </c>
      <c r="F4" s="513" t="s">
        <v>819</v>
      </c>
      <c r="G4" s="513" t="s">
        <v>695</v>
      </c>
      <c r="H4" s="513" t="s">
        <v>676</v>
      </c>
    </row>
    <row r="5" spans="1:8" ht="24">
      <c r="A5" s="513" t="s">
        <v>740</v>
      </c>
      <c r="B5" s="513" t="s">
        <v>797</v>
      </c>
      <c r="C5" s="514">
        <v>45616</v>
      </c>
      <c r="D5" s="515">
        <v>376562.5</v>
      </c>
      <c r="E5" s="515">
        <v>376562.5</v>
      </c>
      <c r="F5" s="513" t="s">
        <v>820</v>
      </c>
      <c r="G5" s="513" t="s">
        <v>695</v>
      </c>
      <c r="H5" s="513" t="s">
        <v>673</v>
      </c>
    </row>
    <row r="6" spans="1:8">
      <c r="A6" s="513" t="s">
        <v>740</v>
      </c>
      <c r="B6" s="513"/>
      <c r="C6" s="514">
        <v>45512</v>
      </c>
      <c r="D6" s="515">
        <v>747236.25</v>
      </c>
      <c r="E6" s="515">
        <v>747236.25</v>
      </c>
      <c r="F6" s="513">
        <v>562949957178318</v>
      </c>
      <c r="G6" s="513" t="s">
        <v>695</v>
      </c>
      <c r="H6" s="513" t="s">
        <v>673</v>
      </c>
    </row>
    <row r="7" spans="1:8">
      <c r="A7" s="513" t="s">
        <v>735</v>
      </c>
      <c r="B7" s="513" t="s">
        <v>736</v>
      </c>
      <c r="C7" s="514">
        <v>45469</v>
      </c>
      <c r="D7" s="515">
        <v>38250</v>
      </c>
      <c r="E7" s="515">
        <v>38250</v>
      </c>
      <c r="F7" s="513" t="s">
        <v>821</v>
      </c>
      <c r="G7" s="513" t="s">
        <v>695</v>
      </c>
      <c r="H7" s="513" t="s">
        <v>712</v>
      </c>
    </row>
    <row r="8" spans="1:8">
      <c r="A8" s="513" t="s">
        <v>737</v>
      </c>
      <c r="B8" s="513" t="s">
        <v>738</v>
      </c>
      <c r="C8" s="514">
        <v>45429</v>
      </c>
      <c r="D8" s="515">
        <v>40000</v>
      </c>
      <c r="E8" s="515">
        <v>40000</v>
      </c>
      <c r="F8" s="513" t="s">
        <v>738</v>
      </c>
      <c r="G8" s="513" t="s">
        <v>695</v>
      </c>
      <c r="H8" s="513" t="s">
        <v>712</v>
      </c>
    </row>
    <row r="9" spans="1:8" ht="24">
      <c r="A9" s="513" t="s">
        <v>369</v>
      </c>
      <c r="B9" s="513" t="s">
        <v>713</v>
      </c>
      <c r="C9" s="514">
        <v>45266</v>
      </c>
      <c r="D9" s="515">
        <v>273000</v>
      </c>
      <c r="E9" s="515">
        <v>273000</v>
      </c>
      <c r="F9" s="513" t="s">
        <v>822</v>
      </c>
      <c r="G9" s="513" t="s">
        <v>695</v>
      </c>
      <c r="H9" s="513" t="s">
        <v>712</v>
      </c>
    </row>
    <row r="10" spans="1:8">
      <c r="A10" s="513"/>
      <c r="B10" s="513"/>
      <c r="C10" s="513"/>
      <c r="D10" s="517">
        <f>SUM(D4:D9)</f>
        <v>1827824.55</v>
      </c>
      <c r="E10" s="517">
        <f>SUM(E4:E9)</f>
        <v>1827824.55</v>
      </c>
      <c r="F10" s="513"/>
      <c r="G10" s="513"/>
      <c r="H10" s="513"/>
    </row>
  </sheetData>
  <pageMargins left="0.7" right="0.7" top="0.75" bottom="0.75" header="0.3" footer="0.3"/>
  <pageSetup scale="72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C565B-73E7-4613-A2C6-812D7AD2B4F9}">
  <dimension ref="A1:J44"/>
  <sheetViews>
    <sheetView showGridLines="0" topLeftCell="A19" zoomScaleNormal="100" workbookViewId="0">
      <selection activeCell="C31" sqref="B28:C31"/>
    </sheetView>
  </sheetViews>
  <sheetFormatPr baseColWidth="10" defaultColWidth="8" defaultRowHeight="11.4"/>
  <cols>
    <col min="1" max="1" width="65" style="490" customWidth="1"/>
    <col min="2" max="2" width="11.44140625" style="490" customWidth="1"/>
    <col min="3" max="3" width="17.6640625" style="490" customWidth="1"/>
    <col min="4" max="4" width="10.6640625" style="490" customWidth="1"/>
    <col min="5" max="5" width="9.33203125" style="490" customWidth="1"/>
    <col min="6" max="6" width="14.5546875" style="490" customWidth="1"/>
    <col min="7" max="7" width="9.88671875" style="490" customWidth="1"/>
    <col min="8" max="8" width="9" style="490" customWidth="1"/>
    <col min="9" max="9" width="9.88671875" style="490" customWidth="1"/>
    <col min="10" max="10" width="35" style="490" customWidth="1"/>
    <col min="11" max="16384" width="8" style="490"/>
  </cols>
  <sheetData>
    <row r="1" spans="1:10" s="497" customFormat="1" ht="16.649999999999999" customHeight="1">
      <c r="A1" s="1909" t="s">
        <v>771</v>
      </c>
      <c r="B1" s="1909"/>
      <c r="C1" s="1909"/>
      <c r="D1" s="1909"/>
      <c r="E1" s="1909"/>
      <c r="F1" s="1909"/>
      <c r="G1" s="1909"/>
      <c r="H1" s="1909"/>
      <c r="I1" s="1909"/>
      <c r="J1" s="1909"/>
    </row>
    <row r="2" spans="1:10" s="496" customFormat="1" ht="14.4" customHeight="1">
      <c r="A2" s="1910" t="s">
        <v>236</v>
      </c>
      <c r="B2" s="1910"/>
      <c r="C2" s="1910"/>
      <c r="D2" s="1910"/>
      <c r="E2" s="1910"/>
      <c r="F2" s="1910"/>
      <c r="G2" s="1910"/>
      <c r="H2" s="1910"/>
      <c r="I2" s="1910"/>
      <c r="J2" s="1910"/>
    </row>
    <row r="3" spans="1:10" s="496" customFormat="1" ht="14.4" customHeight="1">
      <c r="A3" s="1910" t="s">
        <v>811</v>
      </c>
      <c r="B3" s="1910"/>
      <c r="C3" s="1910"/>
      <c r="D3" s="1910"/>
      <c r="E3" s="1910"/>
      <c r="F3" s="1910"/>
      <c r="G3" s="1910"/>
      <c r="H3" s="1910"/>
      <c r="I3" s="1910"/>
      <c r="J3" s="1910"/>
    </row>
    <row r="4" spans="1:10" s="496" customFormat="1" ht="14.4" customHeight="1">
      <c r="A4" s="1910" t="s">
        <v>724</v>
      </c>
      <c r="B4" s="1910"/>
      <c r="C4" s="1910"/>
      <c r="D4" s="1910"/>
      <c r="E4" s="1910"/>
      <c r="F4" s="1910"/>
      <c r="G4" s="1910"/>
      <c r="H4" s="1910"/>
      <c r="I4" s="1910"/>
      <c r="J4" s="1910"/>
    </row>
    <row r="5" spans="1:10" ht="13.35" customHeight="1"/>
    <row r="6" spans="1:10" s="495" customFormat="1" ht="12.15" customHeight="1">
      <c r="A6" s="1911" t="s">
        <v>689</v>
      </c>
      <c r="B6" s="1911" t="s">
        <v>823</v>
      </c>
      <c r="C6" s="1911" t="s">
        <v>773</v>
      </c>
      <c r="D6" s="1912" t="s">
        <v>824</v>
      </c>
      <c r="E6" s="1912" t="s">
        <v>825</v>
      </c>
      <c r="F6" s="1912" t="s">
        <v>826</v>
      </c>
      <c r="G6" s="1912" t="s">
        <v>827</v>
      </c>
      <c r="H6" s="1912" t="s">
        <v>828</v>
      </c>
      <c r="I6" s="1912" t="s">
        <v>164</v>
      </c>
      <c r="J6" s="1911" t="s">
        <v>829</v>
      </c>
    </row>
    <row r="7" spans="1:10" ht="13.35" customHeight="1"/>
    <row r="8" spans="1:10" s="495" customFormat="1" ht="12.15" customHeight="1">
      <c r="A8" s="1913" t="s">
        <v>373</v>
      </c>
      <c r="B8" s="1913"/>
      <c r="C8" s="1913"/>
      <c r="D8" s="1913"/>
      <c r="E8" s="1913"/>
      <c r="F8" s="1913"/>
      <c r="G8" s="1913"/>
      <c r="H8" s="1913"/>
      <c r="I8" s="1913"/>
      <c r="J8" s="1913"/>
    </row>
    <row r="9" spans="1:10" ht="10.95" customHeight="1">
      <c r="A9" s="499">
        <v>45453</v>
      </c>
      <c r="B9" s="499">
        <v>45473</v>
      </c>
      <c r="C9" s="494" t="s">
        <v>696</v>
      </c>
      <c r="D9" s="493">
        <v>0</v>
      </c>
      <c r="E9" s="493">
        <v>0</v>
      </c>
      <c r="F9" s="493">
        <v>0</v>
      </c>
      <c r="G9" s="493">
        <v>0</v>
      </c>
      <c r="H9" s="493">
        <v>60314.2</v>
      </c>
      <c r="I9" s="493">
        <v>60314.2</v>
      </c>
      <c r="J9" s="494" t="s">
        <v>49</v>
      </c>
    </row>
    <row r="10" spans="1:10" ht="10.95" customHeight="1">
      <c r="A10" s="1914" t="s">
        <v>830</v>
      </c>
      <c r="B10" s="1914"/>
      <c r="C10" s="1914"/>
      <c r="D10" s="1915">
        <f t="shared" ref="D10:I10" si="0">D9</f>
        <v>0</v>
      </c>
      <c r="E10" s="1915">
        <f t="shared" si="0"/>
        <v>0</v>
      </c>
      <c r="F10" s="1915">
        <f t="shared" si="0"/>
        <v>0</v>
      </c>
      <c r="G10" s="1915">
        <f t="shared" si="0"/>
        <v>0</v>
      </c>
      <c r="H10" s="1915">
        <f t="shared" si="0"/>
        <v>60314.2</v>
      </c>
      <c r="I10" s="1915">
        <f t="shared" si="0"/>
        <v>60314.2</v>
      </c>
      <c r="J10" s="1914"/>
    </row>
    <row r="11" spans="1:10" ht="13.35" customHeight="1"/>
    <row r="12" spans="1:10" s="495" customFormat="1" ht="12.15" customHeight="1">
      <c r="A12" s="1913" t="s">
        <v>781</v>
      </c>
      <c r="B12" s="1913"/>
      <c r="C12" s="1913"/>
      <c r="D12" s="1913"/>
      <c r="E12" s="1913"/>
      <c r="F12" s="1913"/>
      <c r="G12" s="1913"/>
      <c r="H12" s="1913"/>
      <c r="I12" s="1913"/>
      <c r="J12" s="1913"/>
    </row>
    <row r="13" spans="1:10" ht="10.95" customHeight="1">
      <c r="A13" s="499">
        <v>45614</v>
      </c>
      <c r="B13" s="499">
        <v>45615</v>
      </c>
      <c r="C13" s="494" t="s">
        <v>782</v>
      </c>
      <c r="D13" s="493">
        <v>0</v>
      </c>
      <c r="E13" s="493">
        <v>74800</v>
      </c>
      <c r="F13" s="493">
        <v>0</v>
      </c>
      <c r="G13" s="493">
        <v>0</v>
      </c>
      <c r="H13" s="493">
        <v>0</v>
      </c>
      <c r="I13" s="493">
        <v>74800</v>
      </c>
      <c r="J13" s="513" t="s">
        <v>673</v>
      </c>
    </row>
    <row r="14" spans="1:10" ht="10.95" customHeight="1">
      <c r="A14" s="498">
        <v>45616</v>
      </c>
      <c r="B14" s="498">
        <v>45616</v>
      </c>
      <c r="C14" s="492" t="s">
        <v>783</v>
      </c>
      <c r="D14" s="491">
        <v>0</v>
      </c>
      <c r="E14" s="491">
        <v>18802</v>
      </c>
      <c r="F14" s="491">
        <v>0</v>
      </c>
      <c r="G14" s="491">
        <v>0</v>
      </c>
      <c r="H14" s="491">
        <v>0</v>
      </c>
      <c r="I14" s="491">
        <v>18802</v>
      </c>
      <c r="J14" s="513" t="s">
        <v>673</v>
      </c>
    </row>
    <row r="15" spans="1:10" ht="10.95" customHeight="1">
      <c r="A15" s="1914" t="s">
        <v>831</v>
      </c>
      <c r="B15" s="1914"/>
      <c r="C15" s="1914"/>
      <c r="D15" s="1915">
        <f t="shared" ref="D15:I15" si="1">SUM(D13:D14)</f>
        <v>0</v>
      </c>
      <c r="E15" s="1915">
        <f t="shared" si="1"/>
        <v>93602</v>
      </c>
      <c r="F15" s="1915">
        <f t="shared" si="1"/>
        <v>0</v>
      </c>
      <c r="G15" s="1915">
        <f t="shared" si="1"/>
        <v>0</v>
      </c>
      <c r="H15" s="1915">
        <f t="shared" si="1"/>
        <v>0</v>
      </c>
      <c r="I15" s="1915">
        <f t="shared" si="1"/>
        <v>93602</v>
      </c>
      <c r="J15" s="1914"/>
    </row>
    <row r="17" spans="1:10" s="495" customFormat="1" ht="12.15" customHeight="1">
      <c r="A17" s="1913" t="s">
        <v>778</v>
      </c>
      <c r="B17" s="1913"/>
      <c r="C17" s="1913"/>
      <c r="D17" s="1913"/>
      <c r="E17" s="1913"/>
      <c r="F17" s="1913"/>
      <c r="G17" s="1913"/>
      <c r="H17" s="1913"/>
      <c r="I17" s="1913"/>
      <c r="J17" s="1913"/>
    </row>
    <row r="18" spans="1:10" ht="10.95" customHeight="1">
      <c r="A18" s="499">
        <v>45636</v>
      </c>
      <c r="B18" s="499">
        <v>45657</v>
      </c>
      <c r="C18" s="494" t="s">
        <v>832</v>
      </c>
      <c r="D18" s="493">
        <v>279677.77</v>
      </c>
      <c r="E18" s="493">
        <v>0</v>
      </c>
      <c r="F18" s="493">
        <v>0</v>
      </c>
      <c r="G18" s="493">
        <v>0</v>
      </c>
      <c r="H18" s="493">
        <v>0</v>
      </c>
      <c r="I18" s="493">
        <v>279677.77</v>
      </c>
      <c r="J18" s="494" t="s">
        <v>43</v>
      </c>
    </row>
    <row r="19" spans="1:10" ht="10.95" customHeight="1">
      <c r="A19" s="1914" t="s">
        <v>833</v>
      </c>
      <c r="B19" s="1914"/>
      <c r="C19" s="1914"/>
      <c r="D19" s="1915">
        <f t="shared" ref="D19:I19" si="2">D18</f>
        <v>279677.77</v>
      </c>
      <c r="E19" s="1915">
        <f t="shared" si="2"/>
        <v>0</v>
      </c>
      <c r="F19" s="1915">
        <f t="shared" si="2"/>
        <v>0</v>
      </c>
      <c r="G19" s="1915">
        <f t="shared" si="2"/>
        <v>0</v>
      </c>
      <c r="H19" s="1915">
        <f t="shared" si="2"/>
        <v>0</v>
      </c>
      <c r="I19" s="1915">
        <f t="shared" si="2"/>
        <v>279677.77</v>
      </c>
      <c r="J19" s="1914"/>
    </row>
    <row r="20" spans="1:10" ht="13.35" customHeight="1"/>
    <row r="21" spans="1:10" ht="10.95" customHeight="1">
      <c r="A21" s="1916" t="s">
        <v>164</v>
      </c>
      <c r="B21" s="1916"/>
      <c r="C21" s="1916"/>
      <c r="D21" s="1917">
        <f t="shared" ref="D21:I21" si="3">SUM(D10,D15,D19)</f>
        <v>279677.77</v>
      </c>
      <c r="E21" s="1917">
        <f t="shared" si="3"/>
        <v>93602</v>
      </c>
      <c r="F21" s="1917">
        <f t="shared" si="3"/>
        <v>0</v>
      </c>
      <c r="G21" s="1917">
        <f t="shared" si="3"/>
        <v>0</v>
      </c>
      <c r="H21" s="1917">
        <f t="shared" si="3"/>
        <v>60314.2</v>
      </c>
      <c r="I21" s="1917">
        <f t="shared" si="3"/>
        <v>433593.97000000003</v>
      </c>
      <c r="J21" s="1916"/>
    </row>
    <row r="22" spans="1:10" ht="13.35" customHeight="1"/>
    <row r="23" spans="1:10" ht="10.95" customHeight="1">
      <c r="A23" s="1916" t="s">
        <v>732</v>
      </c>
      <c r="B23" s="1916"/>
      <c r="C23" s="1916"/>
      <c r="D23" s="1918">
        <f>(SUM(D10,D15,D19) / SUM(D10:H10,D15:H15,D19:H19))</f>
        <v>0.64502227740851659</v>
      </c>
      <c r="E23" s="1918">
        <f>(SUM(E10,E15,E19) / SUM(D10:H10,D15:H15,D19:H19))</f>
        <v>0.21587477335074562</v>
      </c>
      <c r="F23" s="1918">
        <f>(SUM(F10,F15,F19) / SUM(D10:H10,D15:H15,D19:H19))</f>
        <v>0</v>
      </c>
      <c r="G23" s="1918">
        <f>(SUM(G10,G15,G19) / SUM(D10:H10,D15:H15,D19:H19))</f>
        <v>0</v>
      </c>
      <c r="H23" s="1918">
        <f>(SUM(H10,H15,H19) / SUM(D10:H10,D15:H15,D19:H19))</f>
        <v>0.13910294924073782</v>
      </c>
      <c r="I23" s="1918">
        <f>(SUM(I10,I15,I19) / SUM(I10,I15,I19))</f>
        <v>1</v>
      </c>
      <c r="J23" s="1916"/>
    </row>
    <row r="30" spans="1:10">
      <c r="F30" s="400"/>
    </row>
    <row r="31" spans="1:10">
      <c r="F31" s="400">
        <f>+I15</f>
        <v>93602</v>
      </c>
      <c r="G31" s="520" t="s">
        <v>834</v>
      </c>
    </row>
    <row r="32" spans="1:10">
      <c r="F32" s="400">
        <v>88264</v>
      </c>
      <c r="G32" s="520" t="s">
        <v>835</v>
      </c>
    </row>
    <row r="33" spans="6:7">
      <c r="F33" s="400">
        <v>634401.25</v>
      </c>
      <c r="G33" s="520" t="s">
        <v>836</v>
      </c>
    </row>
    <row r="34" spans="6:7">
      <c r="F34" s="400">
        <v>980455.87</v>
      </c>
      <c r="G34" s="520" t="s">
        <v>837</v>
      </c>
    </row>
    <row r="35" spans="6:7">
      <c r="F35" s="400">
        <f>SUM(F30:F34)</f>
        <v>1796723.12</v>
      </c>
    </row>
    <row r="36" spans="6:7">
      <c r="F36" s="400"/>
    </row>
    <row r="37" spans="6:7">
      <c r="F37" s="400"/>
      <c r="G37" s="400"/>
    </row>
    <row r="38" spans="6:7">
      <c r="F38" s="400"/>
    </row>
    <row r="39" spans="6:7">
      <c r="F39" s="400">
        <v>1155000</v>
      </c>
      <c r="G39" s="520" t="s">
        <v>838</v>
      </c>
    </row>
    <row r="40" spans="6:7">
      <c r="F40" s="400">
        <v>17225</v>
      </c>
      <c r="G40" s="520" t="s">
        <v>839</v>
      </c>
    </row>
    <row r="41" spans="6:7">
      <c r="F41" s="400">
        <v>2587042.39</v>
      </c>
      <c r="G41" s="522" t="s">
        <v>840</v>
      </c>
    </row>
    <row r="42" spans="6:7">
      <c r="F42" s="400">
        <f>SUM(F39:F41)</f>
        <v>3759267.39</v>
      </c>
    </row>
    <row r="43" spans="6:7">
      <c r="F43" s="400"/>
    </row>
    <row r="44" spans="6:7">
      <c r="F44" s="400">
        <f>+F42-F43</f>
        <v>3759267.39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DAD16-11D4-4B94-ADED-76930A73408D}">
  <sheetPr>
    <tabColor theme="5" tint="0.79998168889431442"/>
  </sheetPr>
  <dimension ref="A1:P45"/>
  <sheetViews>
    <sheetView showGridLines="0" zoomScale="90" zoomScaleNormal="90" workbookViewId="0">
      <selection activeCell="C18" sqref="C18"/>
    </sheetView>
  </sheetViews>
  <sheetFormatPr baseColWidth="10" defaultColWidth="11.44140625" defaultRowHeight="14.4"/>
  <cols>
    <col min="1" max="1" width="10.109375" customWidth="1"/>
    <col min="2" max="2" width="25.6640625" bestFit="1" customWidth="1"/>
    <col min="3" max="4" width="17.44140625" bestFit="1" customWidth="1"/>
    <col min="5" max="5" width="14.33203125" bestFit="1" customWidth="1"/>
    <col min="6" max="6" width="16.5546875" bestFit="1" customWidth="1"/>
    <col min="7" max="7" width="16.33203125" bestFit="1" customWidth="1"/>
    <col min="8" max="8" width="20.88671875" bestFit="1" customWidth="1"/>
    <col min="9" max="9" width="18" bestFit="1" customWidth="1"/>
    <col min="10" max="10" width="16.5546875" bestFit="1" customWidth="1"/>
    <col min="11" max="11" width="18.6640625" customWidth="1"/>
    <col min="12" max="12" width="19.88671875" customWidth="1"/>
    <col min="13" max="13" width="16.109375" customWidth="1"/>
    <col min="14" max="14" width="18.5546875" customWidth="1"/>
    <col min="15" max="15" width="17" customWidth="1"/>
    <col min="16" max="18" width="15.44140625" bestFit="1" customWidth="1"/>
    <col min="19" max="19" width="14.44140625" bestFit="1" customWidth="1"/>
  </cols>
  <sheetData>
    <row r="1" spans="1:16" ht="21.6" customHeight="1">
      <c r="M1" s="2109" t="s">
        <v>185</v>
      </c>
      <c r="N1" s="2109"/>
      <c r="O1" s="2109"/>
      <c r="P1" s="2109"/>
    </row>
    <row r="2" spans="1:16" ht="15" thickBot="1">
      <c r="F2" s="181" t="s">
        <v>197</v>
      </c>
      <c r="G2" s="181"/>
      <c r="H2" s="181"/>
      <c r="I2" s="181"/>
      <c r="J2" s="181"/>
      <c r="K2" s="181" t="s">
        <v>199</v>
      </c>
      <c r="L2" s="181" t="s">
        <v>225</v>
      </c>
      <c r="M2" s="2109"/>
      <c r="N2" s="2109"/>
      <c r="O2" s="2109"/>
      <c r="P2" s="2109"/>
    </row>
    <row r="3" spans="1:16" ht="15.6" customHeight="1">
      <c r="B3" s="160" t="s">
        <v>761</v>
      </c>
      <c r="C3" s="62"/>
      <c r="D3" s="478"/>
      <c r="E3" s="483">
        <v>59</v>
      </c>
      <c r="F3" s="2122" t="s">
        <v>145</v>
      </c>
      <c r="G3" s="2137" t="s">
        <v>650</v>
      </c>
      <c r="H3" s="2137" t="s">
        <v>651</v>
      </c>
      <c r="I3" s="2137" t="s">
        <v>652</v>
      </c>
      <c r="J3" s="2122" t="s">
        <v>227</v>
      </c>
      <c r="K3" s="2124" t="s">
        <v>807</v>
      </c>
      <c r="L3" s="2124" t="s">
        <v>146</v>
      </c>
      <c r="M3" s="183"/>
      <c r="N3" s="183"/>
      <c r="O3" s="183"/>
      <c r="P3" s="183"/>
    </row>
    <row r="4" spans="1:16" ht="25.95" customHeight="1" thickBot="1">
      <c r="A4" s="152"/>
      <c r="B4" s="25" t="s">
        <v>29</v>
      </c>
      <c r="C4" s="25" t="s">
        <v>762</v>
      </c>
      <c r="D4" s="479" t="s">
        <v>763</v>
      </c>
      <c r="E4" s="479" t="s">
        <v>31</v>
      </c>
      <c r="F4" s="2123"/>
      <c r="G4" s="2138"/>
      <c r="H4" s="2138"/>
      <c r="I4" s="2138"/>
      <c r="J4" s="2123"/>
      <c r="K4" s="2125"/>
      <c r="L4" s="2125"/>
      <c r="M4" s="183"/>
      <c r="N4" s="183"/>
      <c r="O4" s="183"/>
      <c r="P4" s="183"/>
    </row>
    <row r="5" spans="1:16">
      <c r="A5">
        <v>1</v>
      </c>
      <c r="B5" s="254" t="s">
        <v>33</v>
      </c>
      <c r="C5" s="256">
        <f>SUM('budget (11)'!D2:D3)</f>
        <v>103385169</v>
      </c>
      <c r="D5" s="480">
        <v>103385169</v>
      </c>
      <c r="E5" s="480">
        <f>D5/E3</f>
        <v>1752291</v>
      </c>
      <c r="F5" s="258">
        <f>+'Finanzas 12.24'!F2</f>
        <v>94172341.829999998</v>
      </c>
      <c r="G5" s="258">
        <f>+'Finanzas 11.24'!G2</f>
        <v>94172341.829999998</v>
      </c>
      <c r="H5" s="258">
        <v>0</v>
      </c>
      <c r="I5" s="258"/>
      <c r="J5" s="258">
        <f>+G5-H5+I5</f>
        <v>94172341.829999998</v>
      </c>
      <c r="K5" s="259">
        <f>F5-J5</f>
        <v>0</v>
      </c>
      <c r="L5" s="259">
        <f>+D5-F5</f>
        <v>9212827.1700000018</v>
      </c>
      <c r="M5" s="183"/>
      <c r="N5" s="183"/>
      <c r="O5" s="183"/>
      <c r="P5" s="183"/>
    </row>
    <row r="6" spans="1:16">
      <c r="B6" s="115" t="s">
        <v>35</v>
      </c>
      <c r="C6" s="116">
        <f>SUM('budget (11)'!D11:D24)</f>
        <v>451758999.99999994</v>
      </c>
      <c r="D6" s="481">
        <v>451758999.99999994</v>
      </c>
      <c r="E6" s="481">
        <f>D6/$E$3</f>
        <v>7656932.20338983</v>
      </c>
      <c r="F6" s="132">
        <f>+'Finanzas 12.24'!F4</f>
        <v>9219083.5899999999</v>
      </c>
      <c r="G6" s="132">
        <f>+'Finanzas 12.24'!G4</f>
        <v>9219083.5899999999</v>
      </c>
      <c r="H6" s="132"/>
      <c r="I6" s="132"/>
      <c r="J6" s="132">
        <f>+G6-H6+I6</f>
        <v>9219083.5899999999</v>
      </c>
      <c r="K6" s="125">
        <f>F6-J6</f>
        <v>0</v>
      </c>
      <c r="L6" s="125">
        <f>+D6-F6</f>
        <v>442539916.40999997</v>
      </c>
      <c r="M6" s="183"/>
      <c r="N6" s="184"/>
      <c r="O6" s="183"/>
      <c r="P6" s="183"/>
    </row>
    <row r="7" spans="1:16" ht="13.95" customHeight="1">
      <c r="B7" s="112" t="s">
        <v>38</v>
      </c>
      <c r="C7" s="113">
        <f>SUM('budget (11)'!D25:D39)</f>
        <v>1265953920</v>
      </c>
      <c r="D7" s="170">
        <f>1447934796</f>
        <v>1447934796</v>
      </c>
      <c r="E7" s="170">
        <f>D7/$E$3</f>
        <v>24541267.728813559</v>
      </c>
      <c r="F7" s="133">
        <f>+'Finanzas 12.24'!F5</f>
        <v>0</v>
      </c>
      <c r="G7" s="133">
        <f>+'Finanzas 12.24'!G5</f>
        <v>0</v>
      </c>
      <c r="H7" s="133"/>
      <c r="I7" s="133"/>
      <c r="J7" s="133">
        <f t="shared" ref="J7:J10" si="0">+G7-H7+I7</f>
        <v>0</v>
      </c>
      <c r="K7" s="127">
        <f t="shared" ref="K7:K21" si="1">F7-J7</f>
        <v>0</v>
      </c>
      <c r="L7" s="127">
        <f>+D7-F7</f>
        <v>1447934796</v>
      </c>
      <c r="M7" s="183"/>
      <c r="N7" s="184"/>
      <c r="O7" s="183"/>
      <c r="P7" s="183"/>
    </row>
    <row r="8" spans="1:16">
      <c r="B8" s="115" t="s">
        <v>764</v>
      </c>
      <c r="C8" s="118">
        <v>0</v>
      </c>
      <c r="D8" s="171">
        <v>37993876</v>
      </c>
      <c r="E8" s="171">
        <f>D8/$E$3</f>
        <v>643964</v>
      </c>
      <c r="F8" s="134">
        <f>+'Finanzas 12.24'!F8</f>
        <v>0</v>
      </c>
      <c r="G8" s="134">
        <f>+'Finanzas 12.24'!G8</f>
        <v>0</v>
      </c>
      <c r="H8" s="134"/>
      <c r="I8" s="134"/>
      <c r="J8" s="134"/>
      <c r="K8" s="129"/>
      <c r="L8" s="129"/>
      <c r="M8" s="183"/>
      <c r="N8" s="184"/>
      <c r="O8" s="183"/>
      <c r="P8" s="183"/>
    </row>
    <row r="9" spans="1:16" ht="13.95" customHeight="1">
      <c r="B9" s="112" t="s">
        <v>148</v>
      </c>
      <c r="C9" s="113">
        <f>SUM('budget (11)'!D40:D41)</f>
        <v>171771292</v>
      </c>
      <c r="D9" s="170">
        <v>189969380</v>
      </c>
      <c r="E9" s="170">
        <f>D9/$E$3</f>
        <v>3219820</v>
      </c>
      <c r="F9" s="133">
        <f>+'Finanzas 12.24'!F6</f>
        <v>1644662.03</v>
      </c>
      <c r="G9" s="133">
        <f>+'Finanzas 12.24'!G6</f>
        <v>1644662.03</v>
      </c>
      <c r="H9" s="133"/>
      <c r="I9" s="133"/>
      <c r="J9" s="133">
        <f>+G9-H9+I9</f>
        <v>1644662.03</v>
      </c>
      <c r="K9" s="127">
        <f>F9-J9</f>
        <v>0</v>
      </c>
      <c r="L9" s="127">
        <f>+D9-F9</f>
        <v>188324717.97</v>
      </c>
      <c r="M9" s="183"/>
      <c r="N9" s="184"/>
      <c r="O9" s="183"/>
      <c r="P9" s="183"/>
    </row>
    <row r="10" spans="1:16">
      <c r="B10" s="115" t="s">
        <v>40</v>
      </c>
      <c r="C10" s="118">
        <f>SUM('budget (11)'!D42)</f>
        <v>34354258</v>
      </c>
      <c r="D10" s="171">
        <v>37993876</v>
      </c>
      <c r="E10" s="171">
        <f>D10/$E$3</f>
        <v>643964</v>
      </c>
      <c r="F10" s="134">
        <f>+'Finanzas 12.24'!F7</f>
        <v>0</v>
      </c>
      <c r="G10" s="134">
        <f>+'Finanzas 12.24'!G7</f>
        <v>0</v>
      </c>
      <c r="H10" s="134"/>
      <c r="I10" s="134"/>
      <c r="J10" s="134">
        <f t="shared" si="0"/>
        <v>0</v>
      </c>
      <c r="K10" s="129">
        <f t="shared" si="1"/>
        <v>0</v>
      </c>
      <c r="L10" s="129">
        <f>+D10-F10</f>
        <v>37993876</v>
      </c>
      <c r="M10" s="183"/>
      <c r="N10" s="184"/>
      <c r="O10" s="183"/>
      <c r="P10" s="183"/>
    </row>
    <row r="11" spans="1:16">
      <c r="B11" s="254" t="s">
        <v>41</v>
      </c>
      <c r="C11" s="261">
        <f t="shared" ref="C11:I11" si="2">SUM(C6:C10)</f>
        <v>1923838470</v>
      </c>
      <c r="D11" s="261">
        <f>SUM(D6:D10)</f>
        <v>2165650928</v>
      </c>
      <c r="E11" s="261">
        <f>SUM(E6:E10)</f>
        <v>36705947.93220339</v>
      </c>
      <c r="F11" s="262">
        <f t="shared" si="2"/>
        <v>10863745.619999999</v>
      </c>
      <c r="G11" s="262">
        <f t="shared" si="2"/>
        <v>10863745.619999999</v>
      </c>
      <c r="H11" s="262">
        <f t="shared" si="2"/>
        <v>0</v>
      </c>
      <c r="I11" s="262">
        <f t="shared" si="2"/>
        <v>0</v>
      </c>
      <c r="J11" s="262">
        <f>SUM(J6:J10)</f>
        <v>10863745.619999999</v>
      </c>
      <c r="K11" s="262">
        <f>SUM(K6:K10)</f>
        <v>0</v>
      </c>
      <c r="L11" s="262">
        <f>SUM(L6:L10)</f>
        <v>2116793306.3799999</v>
      </c>
      <c r="M11" s="183"/>
      <c r="N11" s="184"/>
      <c r="O11" s="183"/>
      <c r="P11" s="183"/>
    </row>
    <row r="12" spans="1:16">
      <c r="B12" s="112" t="s">
        <v>42</v>
      </c>
      <c r="C12" s="163">
        <f>SUM('budget (11)'!D43)</f>
        <v>137417034</v>
      </c>
      <c r="D12" s="175">
        <v>151975504</v>
      </c>
      <c r="E12" s="175">
        <f>D12/$E$3</f>
        <v>2575856</v>
      </c>
      <c r="F12" s="179">
        <f>+'Finanzas 12.24'!F9</f>
        <v>161175.97</v>
      </c>
      <c r="G12" s="179">
        <f>+'Finanzas 12.24'!G9</f>
        <v>161175.97</v>
      </c>
      <c r="H12" s="179"/>
      <c r="I12" s="179"/>
      <c r="J12" s="179">
        <f>+G12-H12+I12</f>
        <v>161175.97</v>
      </c>
      <c r="K12" s="179">
        <f t="shared" si="1"/>
        <v>0</v>
      </c>
      <c r="L12" s="179">
        <f>+D12-F12</f>
        <v>151814328.03</v>
      </c>
      <c r="M12" s="183"/>
      <c r="N12" s="184"/>
      <c r="O12" s="183"/>
      <c r="P12" s="183"/>
    </row>
    <row r="13" spans="1:16">
      <c r="B13" s="115" t="s">
        <v>43</v>
      </c>
      <c r="C13" s="165">
        <f>SUM('budget (11)'!D45:D46)</f>
        <v>281704919</v>
      </c>
      <c r="D13" s="176">
        <v>308130334</v>
      </c>
      <c r="E13" s="176">
        <f>D13/$E$3</f>
        <v>5222548.0338983051</v>
      </c>
      <c r="F13" s="178">
        <f>+'Finanzas 12.24'!F10</f>
        <v>559355.54</v>
      </c>
      <c r="G13" s="178">
        <f>+'Finanzas 12.24'!G10</f>
        <v>559355.54</v>
      </c>
      <c r="H13" s="178">
        <f>+'CXP 12.24'!I19</f>
        <v>279677.77</v>
      </c>
      <c r="I13" s="178"/>
      <c r="J13" s="178">
        <f t="shared" ref="J13:J16" si="3">+G13-H13+I13</f>
        <v>279677.77</v>
      </c>
      <c r="K13" s="178">
        <f>F13-J13</f>
        <v>279677.77</v>
      </c>
      <c r="L13" s="178">
        <f>+D13-F13</f>
        <v>307570978.45999998</v>
      </c>
      <c r="M13" s="183"/>
      <c r="N13" s="184"/>
      <c r="O13" s="183"/>
      <c r="P13" s="183"/>
    </row>
    <row r="14" spans="1:16">
      <c r="B14" s="112" t="s">
        <v>44</v>
      </c>
      <c r="C14" s="163">
        <f>SUM('budget (11)'!D47)</f>
        <v>67334346</v>
      </c>
      <c r="D14" s="175">
        <v>75797782</v>
      </c>
      <c r="E14" s="175">
        <f>D14/$E$3</f>
        <v>1284708.1694915255</v>
      </c>
      <c r="F14" s="179">
        <f>+'Finanzas 12.24'!F11</f>
        <v>373034.61</v>
      </c>
      <c r="G14" s="179">
        <f>+'Finanzas 12.24'!G11</f>
        <v>373034.61</v>
      </c>
      <c r="H14" s="179"/>
      <c r="I14" s="179"/>
      <c r="J14" s="179">
        <f t="shared" si="3"/>
        <v>373034.61</v>
      </c>
      <c r="K14" s="179">
        <f t="shared" si="1"/>
        <v>0</v>
      </c>
      <c r="L14" s="179">
        <f>+D14-F14</f>
        <v>75424747.390000001</v>
      </c>
      <c r="M14" s="183"/>
      <c r="N14" s="184"/>
      <c r="O14" s="183"/>
      <c r="P14" s="183"/>
    </row>
    <row r="15" spans="1:16">
      <c r="A15">
        <v>1</v>
      </c>
      <c r="B15" s="115" t="s">
        <v>45</v>
      </c>
      <c r="C15" s="165">
        <f>SUM('budget (11)'!D48:D49)</f>
        <v>51531387.949999996</v>
      </c>
      <c r="D15" s="176">
        <v>56990814</v>
      </c>
      <c r="E15" s="176">
        <f>D15/$E$3</f>
        <v>965946</v>
      </c>
      <c r="F15" s="178">
        <f>+'Finanzas 12.24'!F12</f>
        <v>14415200.15</v>
      </c>
      <c r="G15" s="178">
        <f>+'Finanzas 12.24'!G12</f>
        <v>11255520.279999999</v>
      </c>
      <c r="H15" s="178">
        <f>+'CXP 12.24'!I15</f>
        <v>93602</v>
      </c>
      <c r="I15" s="178">
        <f>+'ANTICIPOS 12.24'!E5+'ANTICIPOS 12.24'!E6</f>
        <v>1123798.75</v>
      </c>
      <c r="J15" s="178">
        <f>+G15-H15+I15</f>
        <v>12285717.029999999</v>
      </c>
      <c r="K15" s="178">
        <f>F15-J15</f>
        <v>2129483.120000001</v>
      </c>
      <c r="L15" s="178">
        <f>+D15-F15</f>
        <v>42575613.850000001</v>
      </c>
      <c r="M15" s="183"/>
      <c r="N15" s="184"/>
      <c r="O15" s="183"/>
      <c r="P15" s="183"/>
    </row>
    <row r="16" spans="1:16">
      <c r="B16" s="112" t="s">
        <v>46</v>
      </c>
      <c r="C16" s="163">
        <f>SUM('budget (11)'!D50)</f>
        <v>19238385</v>
      </c>
      <c r="D16" s="175">
        <v>21656506</v>
      </c>
      <c r="E16" s="175">
        <f>D16/$E$3</f>
        <v>367059.42372881353</v>
      </c>
      <c r="F16" s="179">
        <f>+'Finanzas 12.24'!F13</f>
        <v>0</v>
      </c>
      <c r="G16" s="179">
        <f>+'Finanzas 12.24'!G13</f>
        <v>0</v>
      </c>
      <c r="H16" s="179"/>
      <c r="I16" s="179"/>
      <c r="J16" s="179">
        <f t="shared" si="3"/>
        <v>0</v>
      </c>
      <c r="K16" s="179">
        <f t="shared" si="1"/>
        <v>0</v>
      </c>
      <c r="L16" s="179">
        <f>+D16-F16</f>
        <v>21656506</v>
      </c>
      <c r="M16" s="183"/>
      <c r="N16" s="184"/>
      <c r="O16" s="183"/>
      <c r="P16" s="183"/>
    </row>
    <row r="17" spans="2:16">
      <c r="B17" s="254" t="s">
        <v>47</v>
      </c>
      <c r="C17" s="261">
        <f t="shared" ref="C17:K17" si="4">SUM(C12:C16)</f>
        <v>557226071.95000005</v>
      </c>
      <c r="D17" s="261">
        <f t="shared" si="4"/>
        <v>614550940</v>
      </c>
      <c r="E17" s="261">
        <f>SUM(E12:E16)</f>
        <v>10416117.627118645</v>
      </c>
      <c r="F17" s="262">
        <f>SUM(F12:F16)</f>
        <v>15508766.27</v>
      </c>
      <c r="G17" s="262">
        <f t="shared" si="4"/>
        <v>12349086.399999999</v>
      </c>
      <c r="H17" s="262">
        <f t="shared" si="4"/>
        <v>373279.77</v>
      </c>
      <c r="I17" s="262">
        <f t="shared" si="4"/>
        <v>1123798.75</v>
      </c>
      <c r="J17" s="262">
        <f t="shared" si="4"/>
        <v>13099605.379999999</v>
      </c>
      <c r="K17" s="262">
        <f t="shared" si="4"/>
        <v>2409160.8900000011</v>
      </c>
      <c r="L17" s="262">
        <f t="shared" ref="L17" si="5">SUM(L12:L16)</f>
        <v>599042173.73000002</v>
      </c>
      <c r="M17" s="183"/>
      <c r="N17" s="184"/>
      <c r="O17" s="183"/>
      <c r="P17" s="183"/>
    </row>
    <row r="18" spans="2:16">
      <c r="B18" s="112" t="s">
        <v>48</v>
      </c>
      <c r="C18" s="401">
        <f>SUM('budget (11)'!D51:D52)</f>
        <v>15000000</v>
      </c>
      <c r="D18" s="482">
        <v>30500000</v>
      </c>
      <c r="E18" s="482">
        <f>D18/$E$3</f>
        <v>516949.15254237287</v>
      </c>
      <c r="F18" s="402">
        <f>+'Finanzas 12.24'!F14</f>
        <v>16827427.559999999</v>
      </c>
      <c r="G18" s="402">
        <f>+'Finanzas 12.24'!G14</f>
        <v>12715384.369999999</v>
      </c>
      <c r="H18" s="402"/>
      <c r="I18" s="402">
        <f>+'ANTICIPOS 12.24'!E4</f>
        <v>352775.8</v>
      </c>
      <c r="J18" s="402">
        <f>+G18-H18+I18</f>
        <v>13068160.17</v>
      </c>
      <c r="K18" s="179">
        <f>F18-J18</f>
        <v>3759267.3899999987</v>
      </c>
      <c r="L18" s="179">
        <f>+D18-F18</f>
        <v>13672572.440000001</v>
      </c>
      <c r="M18" s="183"/>
      <c r="N18" s="184"/>
      <c r="O18" s="183"/>
      <c r="P18" s="185"/>
    </row>
    <row r="19" spans="2:16">
      <c r="B19" s="115" t="s">
        <v>49</v>
      </c>
      <c r="C19" s="165">
        <f>SUM('budget (11)'!D4:D10)</f>
        <v>20789999.999999996</v>
      </c>
      <c r="D19" s="176">
        <v>20789999.999999996</v>
      </c>
      <c r="E19" s="176">
        <f>D19/$E$3</f>
        <v>352372.88135593216</v>
      </c>
      <c r="F19" s="178">
        <f>+'Finanzas 12.24'!F3</f>
        <v>21610963.289999999</v>
      </c>
      <c r="G19" s="178">
        <f>+'Finanzas 12.24'!G3</f>
        <v>20979515.640000001</v>
      </c>
      <c r="H19" s="178">
        <f>+'CXP 12.24'!I10</f>
        <v>60314.2</v>
      </c>
      <c r="I19" s="178">
        <f>+'ANTICIPOS 12.24'!E7+'ANTICIPOS 12.24'!E8+'ANTICIPOS 12.24'!E9</f>
        <v>351250</v>
      </c>
      <c r="J19" s="178">
        <f>+G19-H19+I19</f>
        <v>21270451.440000001</v>
      </c>
      <c r="K19" s="178">
        <f>F19-J19</f>
        <v>340511.84999999776</v>
      </c>
      <c r="L19" s="178">
        <f>+D19-F19</f>
        <v>-820963.29000000283</v>
      </c>
      <c r="M19" s="183"/>
      <c r="N19" s="184"/>
      <c r="O19" s="183"/>
      <c r="P19" s="183"/>
    </row>
    <row r="20" spans="2:16">
      <c r="B20" s="112" t="s">
        <v>50</v>
      </c>
      <c r="C20" s="163">
        <f>SUM('budget (11)'!D54)</f>
        <v>192383847</v>
      </c>
      <c r="D20" s="175">
        <v>216565093</v>
      </c>
      <c r="E20" s="175">
        <f>D20/$E$3</f>
        <v>3670594.7966101696</v>
      </c>
      <c r="F20" s="179">
        <f>+'Finanzas 12.24'!F16</f>
        <v>0</v>
      </c>
      <c r="G20" s="179">
        <f>+'Finanzas 12.24'!G16</f>
        <v>0</v>
      </c>
      <c r="H20" s="179"/>
      <c r="I20" s="179"/>
      <c r="J20" s="179">
        <f t="shared" ref="J20:J21" si="6">+G20-H20+I20</f>
        <v>0</v>
      </c>
      <c r="K20" s="179">
        <f t="shared" si="1"/>
        <v>0</v>
      </c>
      <c r="L20" s="179">
        <f>+D20-F20</f>
        <v>216565093</v>
      </c>
      <c r="M20" s="183"/>
      <c r="N20" s="184"/>
      <c r="O20" s="183"/>
      <c r="P20" s="183"/>
    </row>
    <row r="21" spans="2:16">
      <c r="B21" s="115" t="s">
        <v>51</v>
      </c>
      <c r="C21" s="165">
        <f>SUM('budget (11)'!D53)</f>
        <v>19238385</v>
      </c>
      <c r="D21" s="176">
        <v>21656509</v>
      </c>
      <c r="E21" s="176">
        <f>D21/$E$3</f>
        <v>367059.4745762712</v>
      </c>
      <c r="F21" s="178">
        <f>SUM('budget (11)'!E53)</f>
        <v>0</v>
      </c>
      <c r="G21" s="178">
        <f>SUM('budget (11)'!F53)</f>
        <v>0</v>
      </c>
      <c r="H21" s="178"/>
      <c r="I21" s="178"/>
      <c r="J21" s="178">
        <f t="shared" si="6"/>
        <v>0</v>
      </c>
      <c r="K21" s="178">
        <f t="shared" si="1"/>
        <v>0</v>
      </c>
      <c r="L21" s="178">
        <f>+D21-F21</f>
        <v>21656509</v>
      </c>
      <c r="M21" s="183"/>
      <c r="N21" s="184"/>
      <c r="O21" s="183"/>
      <c r="P21" s="183"/>
    </row>
    <row r="22" spans="2:16">
      <c r="B22" s="254" t="s">
        <v>52</v>
      </c>
      <c r="C22" s="261">
        <f t="shared" ref="C22:L22" si="7">SUM(C18:C21)</f>
        <v>247412232</v>
      </c>
      <c r="D22" s="261">
        <f t="shared" si="7"/>
        <v>289511602</v>
      </c>
      <c r="E22" s="261">
        <f t="shared" si="7"/>
        <v>4906976.3050847454</v>
      </c>
      <c r="F22" s="262">
        <f t="shared" si="7"/>
        <v>38438390.849999994</v>
      </c>
      <c r="G22" s="262">
        <f t="shared" si="7"/>
        <v>33694900.009999998</v>
      </c>
      <c r="H22" s="262">
        <f t="shared" si="7"/>
        <v>60314.2</v>
      </c>
      <c r="I22" s="262">
        <f t="shared" si="7"/>
        <v>704025.8</v>
      </c>
      <c r="J22" s="262">
        <f t="shared" si="7"/>
        <v>34338611.609999999</v>
      </c>
      <c r="K22" s="262">
        <f t="shared" si="7"/>
        <v>4099779.2399999965</v>
      </c>
      <c r="L22" s="262">
        <f t="shared" si="7"/>
        <v>251073211.15000001</v>
      </c>
      <c r="M22" s="183"/>
      <c r="N22" s="184"/>
      <c r="O22" s="183"/>
      <c r="P22" s="183"/>
    </row>
    <row r="23" spans="2:16" ht="18.600000000000001" thickBot="1">
      <c r="B23" s="333" t="s">
        <v>229</v>
      </c>
      <c r="C23" s="331">
        <f>C5+C11+C17+C22</f>
        <v>2831861942.9499998</v>
      </c>
      <c r="D23" s="331">
        <f>D5+D11+D17+D22</f>
        <v>3173098639</v>
      </c>
      <c r="E23" s="331">
        <f>E5+E11+E17+E22</f>
        <v>53781332.864406779</v>
      </c>
      <c r="F23" s="329">
        <f t="shared" ref="F23:L23" si="8">F22+F17+F11+F5</f>
        <v>158983244.56999999</v>
      </c>
      <c r="G23" s="329">
        <f t="shared" si="8"/>
        <v>151080073.85999998</v>
      </c>
      <c r="H23" s="329">
        <f t="shared" si="8"/>
        <v>433593.97000000003</v>
      </c>
      <c r="I23" s="329">
        <f t="shared" si="8"/>
        <v>1827824.55</v>
      </c>
      <c r="J23" s="329">
        <f>J22+J17+J11+J5</f>
        <v>152474304.44</v>
      </c>
      <c r="K23" s="329">
        <f>K22+K17+K11+K5</f>
        <v>6508940.1299999971</v>
      </c>
      <c r="L23" s="329">
        <f t="shared" si="8"/>
        <v>2976121518.4299998</v>
      </c>
      <c r="M23" s="183"/>
      <c r="N23" s="184"/>
      <c r="O23" s="183"/>
      <c r="P23" s="183"/>
    </row>
    <row r="24" spans="2:16" ht="15" thickBot="1">
      <c r="F24" s="369"/>
      <c r="G24" s="369"/>
      <c r="H24" s="369"/>
      <c r="I24" s="369"/>
      <c r="J24" s="369"/>
      <c r="K24" s="320"/>
      <c r="L24" s="368"/>
    </row>
    <row r="25" spans="2:16" ht="15" thickBot="1">
      <c r="D25" s="320"/>
      <c r="F25" s="368"/>
      <c r="G25" s="368"/>
      <c r="H25" s="434" t="s">
        <v>653</v>
      </c>
      <c r="I25" s="435">
        <f>+'BCE 12.24'!C39</f>
        <v>159695773.63999999</v>
      </c>
      <c r="J25" s="368">
        <v>160000000</v>
      </c>
      <c r="K25" s="142"/>
      <c r="L25" s="108"/>
      <c r="N25" s="186" t="s">
        <v>189</v>
      </c>
      <c r="O25" s="190">
        <v>2831861942.3920002</v>
      </c>
    </row>
    <row r="26" spans="2:16" ht="15" thickBot="1">
      <c r="D26" s="370"/>
      <c r="E26" s="320"/>
      <c r="F26" s="474"/>
      <c r="H26" s="436" t="s">
        <v>654</v>
      </c>
      <c r="I26" s="437">
        <f>-'BCE 12.24'!C9-'BCE 12.24'!C10-'BCE 12.24'!C11</f>
        <v>-8716967.3200000003</v>
      </c>
      <c r="J26" s="108">
        <f>J25-J23</f>
        <v>7525695.5600000024</v>
      </c>
      <c r="K26" s="320"/>
      <c r="N26" s="188" t="s">
        <v>190</v>
      </c>
      <c r="O26" s="189">
        <f>C23</f>
        <v>2831861942.9499998</v>
      </c>
    </row>
    <row r="27" spans="2:16" ht="15" thickBot="1">
      <c r="C27" s="489"/>
      <c r="D27" s="370"/>
      <c r="F27" s="474"/>
      <c r="H27" s="441" t="s">
        <v>655</v>
      </c>
      <c r="I27" s="442">
        <f>+'BCE 12.24'!C28+'BCE 12.24'!C29+'BCE 12.24'!C30+'BCE 12.24'!C31+'BCE 12.24'!C32</f>
        <v>760092.97000000009</v>
      </c>
      <c r="J27" s="445">
        <f>+K23</f>
        <v>6508940.1299999971</v>
      </c>
      <c r="K27" s="320"/>
      <c r="N27" s="187" t="s">
        <v>191</v>
      </c>
      <c r="O27" s="191">
        <f>O25-O26</f>
        <v>-0.55799961090087891</v>
      </c>
    </row>
    <row r="28" spans="2:16">
      <c r="C28" s="489"/>
      <c r="D28" s="370"/>
      <c r="F28" s="474"/>
      <c r="H28" s="441" t="s">
        <v>808</v>
      </c>
      <c r="I28" s="442">
        <f>+'BCE 12.24'!C27</f>
        <v>597566.75</v>
      </c>
      <c r="J28" s="445"/>
      <c r="K28" s="320"/>
      <c r="N28" s="183"/>
      <c r="O28" s="508"/>
    </row>
    <row r="29" spans="2:16" ht="15" thickBot="1">
      <c r="C29" s="369"/>
      <c r="D29" s="370"/>
      <c r="H29" s="438" t="s">
        <v>656</v>
      </c>
      <c r="I29" s="439">
        <f>SUM(I25:I28)</f>
        <v>152336466.03999999</v>
      </c>
      <c r="J29" s="445">
        <f>J26-J27</f>
        <v>1016755.4300000053</v>
      </c>
    </row>
    <row r="30" spans="2:16">
      <c r="C30" s="161"/>
      <c r="D30" s="370"/>
      <c r="H30" s="440" t="s">
        <v>657</v>
      </c>
      <c r="I30" s="445">
        <f>+J23</f>
        <v>152474304.44</v>
      </c>
    </row>
    <row r="31" spans="2:16">
      <c r="H31" s="443" t="s">
        <v>658</v>
      </c>
      <c r="I31" s="443">
        <f>+I29-I30</f>
        <v>-137838.40000000596</v>
      </c>
      <c r="J31" s="444">
        <f>+'BCE 12.24'!C40</f>
        <v>137838.47</v>
      </c>
      <c r="K31" s="444">
        <f>+I31+J31</f>
        <v>6.9999994040699676E-2</v>
      </c>
    </row>
    <row r="34" spans="2:5">
      <c r="B34" s="254" t="s">
        <v>47</v>
      </c>
    </row>
    <row r="35" spans="2:5">
      <c r="B35" s="112" t="s">
        <v>48</v>
      </c>
    </row>
    <row r="36" spans="2:5">
      <c r="B36" s="115" t="s">
        <v>49</v>
      </c>
    </row>
    <row r="37" spans="2:5">
      <c r="B37" s="112" t="s">
        <v>50</v>
      </c>
    </row>
    <row r="38" spans="2:5">
      <c r="B38" s="115" t="s">
        <v>51</v>
      </c>
    </row>
    <row r="39" spans="2:5">
      <c r="B39" s="254" t="s">
        <v>52</v>
      </c>
    </row>
    <row r="40" spans="2:5" ht="18.600000000000001" thickBot="1">
      <c r="B40" s="333" t="s">
        <v>229</v>
      </c>
    </row>
    <row r="42" spans="2:5" ht="15" thickBot="1"/>
    <row r="43" spans="2:5">
      <c r="B43" s="335" t="s">
        <v>234</v>
      </c>
      <c r="C43" s="336">
        <v>160000000</v>
      </c>
      <c r="D43" s="336"/>
      <c r="E43" s="336"/>
    </row>
    <row r="44" spans="2:5">
      <c r="B44" s="112" t="s">
        <v>153</v>
      </c>
      <c r="C44" s="403">
        <f>J23+J27</f>
        <v>158983244.56999999</v>
      </c>
      <c r="D44" s="403"/>
      <c r="E44" s="403">
        <f>C44/C43</f>
        <v>0.99364527856249996</v>
      </c>
    </row>
    <row r="45" spans="2:5" ht="15" thickBot="1">
      <c r="B45" s="339" t="s">
        <v>154</v>
      </c>
      <c r="C45" s="340">
        <f>C43-C44</f>
        <v>1016755.4300000072</v>
      </c>
      <c r="D45" s="340"/>
      <c r="E45" s="340">
        <f>C45/C43</f>
        <v>6.3547214375000447E-3</v>
      </c>
    </row>
  </sheetData>
  <mergeCells count="8">
    <mergeCell ref="M1:P2"/>
    <mergeCell ref="F3:F4"/>
    <mergeCell ref="G3:G4"/>
    <mergeCell ref="H3:H4"/>
    <mergeCell ref="I3:I4"/>
    <mergeCell ref="J3:J4"/>
    <mergeCell ref="K3:K4"/>
    <mergeCell ref="L3:L4"/>
  </mergeCells>
  <conditionalFormatting sqref="M6:M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M9">
    <cfRule type="iconSet" priority="1">
      <iconSet iconSet="3Arrows">
        <cfvo type="percent" val="0"/>
        <cfvo type="percent" val="45"/>
        <cfvo type="percent" val="80"/>
      </iconSet>
    </cfRule>
  </conditionalFormatting>
  <conditionalFormatting sqref="M13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M15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M19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M21">
    <cfRule type="iconSet" priority="2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B62E1-9AF8-4C87-87F0-1E4CAAEC12D6}">
  <dimension ref="B2:H45"/>
  <sheetViews>
    <sheetView showGridLines="0" zoomScale="90" zoomScaleNormal="90" workbookViewId="0">
      <selection activeCell="H13" sqref="H13"/>
    </sheetView>
  </sheetViews>
  <sheetFormatPr baseColWidth="10" defaultColWidth="11.44140625" defaultRowHeight="14.4"/>
  <cols>
    <col min="1" max="1" width="18.6640625" customWidth="1"/>
    <col min="2" max="2" width="39.88671875" bestFit="1" customWidth="1"/>
    <col min="3" max="3" width="18.44140625" bestFit="1" customWidth="1"/>
    <col min="4" max="4" width="18" bestFit="1" customWidth="1"/>
    <col min="5" max="5" width="16.88671875" bestFit="1" customWidth="1"/>
    <col min="6" max="6" width="18.6640625" customWidth="1"/>
    <col min="7" max="7" width="18.5546875" customWidth="1"/>
    <col min="8" max="8" width="17.5546875" bestFit="1" customWidth="1"/>
  </cols>
  <sheetData>
    <row r="2" spans="2:8">
      <c r="D2">
        <v>59.9</v>
      </c>
    </row>
    <row r="3" spans="2:8">
      <c r="B3" s="142">
        <v>160000000</v>
      </c>
      <c r="C3" s="162">
        <f>B3-C4</f>
        <v>65967960.159999996</v>
      </c>
      <c r="D3" s="162">
        <f>C3-(SUM(D5:D8))</f>
        <v>41084982.207438283</v>
      </c>
    </row>
    <row r="4" spans="2:8" ht="15" thickBot="1">
      <c r="B4" s="284" t="s">
        <v>259</v>
      </c>
      <c r="C4" s="142">
        <v>94032039.840000004</v>
      </c>
      <c r="D4" s="142"/>
    </row>
    <row r="5" spans="2:8" ht="15.6" thickTop="1" thickBot="1">
      <c r="B5" s="284" t="s">
        <v>260</v>
      </c>
      <c r="C5" s="142"/>
      <c r="D5" s="162">
        <f>D10*$D$2</f>
        <v>9215810.2113617156</v>
      </c>
    </row>
    <row r="6" spans="2:8" ht="15.6" thickTop="1" thickBot="1">
      <c r="B6" s="285" t="s">
        <v>261</v>
      </c>
      <c r="C6" s="142"/>
      <c r="D6" s="162">
        <f t="shared" ref="D6:D8" si="0">D11*$D$2</f>
        <v>781278.0959999999</v>
      </c>
    </row>
    <row r="7" spans="2:8" ht="15.6" thickTop="1" thickBot="1">
      <c r="B7" s="285" t="s">
        <v>149</v>
      </c>
      <c r="C7" s="142"/>
      <c r="D7" s="162">
        <f t="shared" si="0"/>
        <v>11511123.645199999</v>
      </c>
    </row>
    <row r="8" spans="2:8" ht="15.6" thickTop="1" thickBot="1">
      <c r="B8" s="285" t="s">
        <v>262</v>
      </c>
      <c r="C8" s="142"/>
      <c r="D8" s="162">
        <f t="shared" si="0"/>
        <v>3374766</v>
      </c>
    </row>
    <row r="9" spans="2:8" ht="15" thickTop="1"/>
    <row r="10" spans="2:8">
      <c r="D10" s="142">
        <v>153853.25895428573</v>
      </c>
    </row>
    <row r="11" spans="2:8">
      <c r="D11" s="142">
        <v>13043.039999999999</v>
      </c>
    </row>
    <row r="12" spans="2:8">
      <c r="D12" s="142">
        <v>192172.348</v>
      </c>
    </row>
    <row r="13" spans="2:8">
      <c r="D13" s="142">
        <v>56340</v>
      </c>
    </row>
    <row r="16" spans="2:8" ht="31.2">
      <c r="B16" s="342"/>
      <c r="C16" s="343" t="s">
        <v>263</v>
      </c>
      <c r="D16" s="344" t="s">
        <v>841</v>
      </c>
      <c r="E16" s="343">
        <v>45658</v>
      </c>
      <c r="F16" s="343">
        <v>45689</v>
      </c>
      <c r="G16" s="343">
        <v>45717</v>
      </c>
      <c r="H16" s="343">
        <v>45748</v>
      </c>
    </row>
    <row r="17" spans="2:8" ht="15.6">
      <c r="B17" s="345" t="s">
        <v>265</v>
      </c>
      <c r="C17" s="346">
        <v>160000000</v>
      </c>
      <c r="D17" s="347"/>
      <c r="E17" s="347"/>
      <c r="F17" s="347"/>
      <c r="G17" s="347"/>
      <c r="H17" s="347"/>
    </row>
    <row r="18" spans="2:8" ht="15.6">
      <c r="B18" s="345" t="s">
        <v>266</v>
      </c>
      <c r="C18" s="152"/>
      <c r="D18" s="348">
        <f>C17-D19</f>
        <v>7525695.5599999726</v>
      </c>
      <c r="E18" s="348">
        <f>D18-E19</f>
        <v>3126022.8199999742</v>
      </c>
      <c r="F18" s="348">
        <f>E18-F19</f>
        <v>-6878977.1800000258</v>
      </c>
      <c r="G18" s="348">
        <f t="shared" ref="G18:H18" si="1">F18-G19</f>
        <v>-13366019.570000026</v>
      </c>
      <c r="H18" s="348">
        <f t="shared" si="1"/>
        <v>-18016019.570000026</v>
      </c>
    </row>
    <row r="19" spans="2:8" ht="15.6">
      <c r="B19" s="345" t="s">
        <v>267</v>
      </c>
      <c r="C19" s="349"/>
      <c r="D19" s="346">
        <f>SUM(D21:D33)</f>
        <v>152474304.44000003</v>
      </c>
      <c r="E19" s="346">
        <f>SUM(E21:E33)</f>
        <v>4399672.7399999984</v>
      </c>
      <c r="F19" s="346">
        <f>SUM(F21:F33)</f>
        <v>10005000</v>
      </c>
      <c r="G19" s="346">
        <f t="shared" ref="G19:H19" si="2">SUM(G21:G33)</f>
        <v>6487042.3900000006</v>
      </c>
      <c r="H19" s="346">
        <f t="shared" si="2"/>
        <v>4650000</v>
      </c>
    </row>
    <row r="20" spans="2:8" ht="2.4" customHeight="1">
      <c r="B20" s="350"/>
      <c r="C20" s="351"/>
      <c r="D20" s="352"/>
      <c r="E20" s="352"/>
      <c r="F20" s="352"/>
      <c r="G20" s="352"/>
      <c r="H20" s="352"/>
    </row>
    <row r="21" spans="2:8" ht="15.6">
      <c r="B21" s="353" t="s">
        <v>259</v>
      </c>
      <c r="C21" s="354"/>
      <c r="D21" s="355">
        <f>+'PRESENTACIÓN 12-24'!J5</f>
        <v>94172341.829999998</v>
      </c>
      <c r="E21" s="355">
        <f>+'PRESENTACIÓN 11-24'!K5</f>
        <v>0</v>
      </c>
      <c r="F21" s="355"/>
      <c r="G21" s="355"/>
      <c r="H21" s="355"/>
    </row>
    <row r="22" spans="2:8" ht="15.6">
      <c r="B22" s="356" t="s">
        <v>260</v>
      </c>
      <c r="C22" s="349"/>
      <c r="D22" s="346">
        <f>+'PRESENTACIÓN 12-24'!J19</f>
        <v>21270451.440000001</v>
      </c>
      <c r="E22" s="346">
        <f>+'PRESENTACIÓN 12-24'!K19</f>
        <v>340511.84999999776</v>
      </c>
      <c r="F22" s="346"/>
      <c r="G22" s="346"/>
      <c r="H22" s="346"/>
    </row>
    <row r="23" spans="2:8" ht="15.6">
      <c r="B23" s="356" t="s">
        <v>766</v>
      </c>
      <c r="C23" s="354"/>
      <c r="D23" s="355">
        <f>+'PRESENTACIÓN 12-24'!J18</f>
        <v>13068160.17</v>
      </c>
      <c r="E23" s="355"/>
      <c r="F23" s="355">
        <f>+'CXP 12.24'!F39</f>
        <v>1155000</v>
      </c>
      <c r="G23" s="355">
        <f>+'CXP 12.24'!F41</f>
        <v>2587042.39</v>
      </c>
      <c r="H23" s="355"/>
    </row>
    <row r="24" spans="2:8" ht="15.6">
      <c r="B24" s="356" t="s">
        <v>271</v>
      </c>
      <c r="C24" s="349"/>
      <c r="D24" s="357">
        <f>+'PRESENTACIÓN 12-24'!J6</f>
        <v>9219083.5899999999</v>
      </c>
      <c r="E24" s="346">
        <f>+'PRESENTACIÓN 11-24'!K6</f>
        <v>0</v>
      </c>
      <c r="F24" s="346"/>
      <c r="G24" s="346"/>
      <c r="H24" s="346"/>
    </row>
    <row r="25" spans="2:8" ht="15.6">
      <c r="B25" s="356" t="s">
        <v>449</v>
      </c>
      <c r="C25" s="354"/>
      <c r="D25" s="355">
        <f>+'PRESENTACIÓN 12-24'!J15</f>
        <v>12285717.029999999</v>
      </c>
      <c r="E25" s="355">
        <f>+'PRESENTACIÓN 12-24'!K15</f>
        <v>2129483.120000001</v>
      </c>
      <c r="F25" s="355">
        <v>3600000</v>
      </c>
      <c r="G25" s="355">
        <v>1650000</v>
      </c>
      <c r="H25" s="355">
        <v>1650000</v>
      </c>
    </row>
    <row r="26" spans="2:8" ht="15.6">
      <c r="B26" s="356" t="s">
        <v>810</v>
      </c>
      <c r="C26" s="349"/>
      <c r="D26" s="346">
        <f>+'PRESENTACIÓN 12-24'!J14</f>
        <v>373034.61</v>
      </c>
      <c r="E26" s="346"/>
      <c r="F26" s="346"/>
      <c r="G26" s="346"/>
      <c r="H26" s="346"/>
    </row>
    <row r="27" spans="2:8" ht="3.6" customHeight="1">
      <c r="B27" s="359"/>
      <c r="C27" s="360"/>
      <c r="D27" s="361"/>
      <c r="E27" s="361"/>
      <c r="F27" s="361"/>
      <c r="G27" s="361"/>
      <c r="H27" s="361"/>
    </row>
    <row r="28" spans="2:8" ht="15.6">
      <c r="B28" s="362" t="s">
        <v>767</v>
      </c>
      <c r="C28" s="484"/>
      <c r="D28" s="485">
        <f>+'PRESENTACIÓN 12-24'!J9+'PRESENTACIÓN 12-24'!J12</f>
        <v>1805838</v>
      </c>
      <c r="E28" s="485">
        <f>+'PRESENTACIÓN 12-24'!K9+500000</f>
        <v>500000</v>
      </c>
      <c r="F28" s="485">
        <v>500000</v>
      </c>
      <c r="G28" s="485">
        <v>500000</v>
      </c>
      <c r="H28" s="485">
        <v>1000000</v>
      </c>
    </row>
    <row r="29" spans="2:8" ht="15.6">
      <c r="B29" s="362" t="s">
        <v>768</v>
      </c>
      <c r="C29" s="484"/>
      <c r="D29" s="485"/>
      <c r="E29" s="485">
        <v>500000</v>
      </c>
      <c r="F29" s="485">
        <v>500000</v>
      </c>
      <c r="G29" s="485">
        <v>500000</v>
      </c>
      <c r="H29" s="485">
        <v>750000</v>
      </c>
    </row>
    <row r="30" spans="2:8" ht="15.6">
      <c r="B30" s="486" t="s">
        <v>769</v>
      </c>
      <c r="C30" s="487"/>
      <c r="D30" s="485">
        <f>+'PRESENTACIÓN 12-24'!J13</f>
        <v>279677.77</v>
      </c>
      <c r="E30" s="488">
        <f>+'PRESENTACIÓN 12-24'!K13+650000</f>
        <v>929677.77</v>
      </c>
      <c r="F30" s="488">
        <v>650000</v>
      </c>
      <c r="G30" s="488">
        <v>650000</v>
      </c>
      <c r="H30" s="488">
        <v>650000</v>
      </c>
    </row>
    <row r="31" spans="2:8" ht="15.6">
      <c r="B31" s="362" t="s">
        <v>770</v>
      </c>
      <c r="C31" s="484"/>
      <c r="D31" s="485"/>
      <c r="E31" s="485"/>
      <c r="F31" s="485">
        <v>600000</v>
      </c>
      <c r="G31" s="485">
        <v>600000</v>
      </c>
      <c r="H31" s="485">
        <v>600000</v>
      </c>
    </row>
    <row r="32" spans="2:8" ht="15.6">
      <c r="B32" s="362" t="s">
        <v>273</v>
      </c>
      <c r="C32" s="349"/>
      <c r="D32" s="346"/>
      <c r="E32" s="346"/>
      <c r="F32" s="346"/>
      <c r="G32" s="346"/>
      <c r="H32" s="346"/>
    </row>
    <row r="33" spans="2:6" ht="15.6">
      <c r="B33" s="362" t="s">
        <v>274</v>
      </c>
      <c r="C33" s="365"/>
      <c r="D33" s="355"/>
      <c r="E33" s="355"/>
      <c r="F33" s="355">
        <v>3000000</v>
      </c>
    </row>
    <row r="34" spans="2:6">
      <c r="C34" s="298"/>
      <c r="D34" s="299"/>
    </row>
    <row r="35" spans="2:6">
      <c r="E35" s="162"/>
    </row>
    <row r="41" spans="2:6">
      <c r="B41" s="142">
        <v>4837716.2100000009</v>
      </c>
    </row>
    <row r="42" spans="2:6">
      <c r="B42" s="142">
        <v>6800000</v>
      </c>
      <c r="C42" t="s">
        <v>230</v>
      </c>
    </row>
    <row r="43" spans="2:6">
      <c r="B43" s="142">
        <v>8480849.7899999991</v>
      </c>
      <c r="C43" t="s">
        <v>231</v>
      </c>
    </row>
    <row r="44" spans="2:6">
      <c r="B44" s="142">
        <v>2390947.54</v>
      </c>
      <c r="C44" t="s">
        <v>232</v>
      </c>
    </row>
    <row r="45" spans="2:6">
      <c r="B45" s="162">
        <f>SUM(B41:B44)</f>
        <v>22509513.539999999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49262-FE15-455E-9537-02745D3C9F5B}">
  <dimension ref="A1:D47"/>
  <sheetViews>
    <sheetView showGridLines="0" topLeftCell="A13" zoomScaleNormal="100" workbookViewId="0">
      <selection activeCell="H13" sqref="H13"/>
    </sheetView>
  </sheetViews>
  <sheetFormatPr baseColWidth="10" defaultColWidth="8" defaultRowHeight="11.4"/>
  <cols>
    <col min="1" max="1" width="1.33203125" style="490" customWidth="1"/>
    <col min="2" max="2" width="39.5546875" style="490" customWidth="1"/>
    <col min="3" max="3" width="13.33203125" style="490" customWidth="1"/>
    <col min="4" max="4" width="4.88671875" style="490" customWidth="1"/>
    <col min="5" max="5" width="8.44140625" style="490" bestFit="1" customWidth="1"/>
    <col min="6" max="16384" width="8" style="490"/>
  </cols>
  <sheetData>
    <row r="1" spans="1:4" s="497" customFormat="1" ht="16.649999999999999" customHeight="1">
      <c r="A1" s="1909" t="s">
        <v>235</v>
      </c>
      <c r="B1" s="1909"/>
      <c r="C1" s="1909"/>
      <c r="D1" s="1909"/>
    </row>
    <row r="2" spans="1:4" s="496" customFormat="1" ht="14.4" customHeight="1">
      <c r="A2" s="1910" t="s">
        <v>236</v>
      </c>
      <c r="B2" s="1910"/>
      <c r="C2" s="1910"/>
      <c r="D2" s="1910"/>
    </row>
    <row r="3" spans="1:4" s="496" customFormat="1" ht="14.4" customHeight="1">
      <c r="A3" s="1910" t="s">
        <v>842</v>
      </c>
      <c r="B3" s="1910"/>
      <c r="C3" s="1910"/>
      <c r="D3" s="1910"/>
    </row>
    <row r="4" spans="1:4" ht="13.35" customHeight="1"/>
    <row r="5" spans="1:4" s="495" customFormat="1" ht="12.15" customHeight="1">
      <c r="A5" s="1913"/>
      <c r="B5" s="1911" t="s">
        <v>238</v>
      </c>
      <c r="C5" s="1912" t="s">
        <v>843</v>
      </c>
      <c r="D5" s="1912"/>
    </row>
    <row r="6" spans="1:4" ht="13.35" customHeight="1"/>
    <row r="7" spans="1:4" s="495" customFormat="1" ht="12.15" customHeight="1">
      <c r="A7" s="1913" t="s">
        <v>239</v>
      </c>
      <c r="B7" s="1913"/>
      <c r="C7" s="1913"/>
      <c r="D7" s="1913"/>
    </row>
    <row r="8" spans="1:4" ht="10.95" customHeight="1">
      <c r="A8" s="1919"/>
      <c r="B8" s="1919" t="s">
        <v>638</v>
      </c>
      <c r="C8" s="1919"/>
      <c r="D8" s="1919"/>
    </row>
    <row r="9" spans="1:4" ht="10.95" customHeight="1">
      <c r="B9" s="492" t="s">
        <v>639</v>
      </c>
      <c r="C9" s="491">
        <v>6521113.75</v>
      </c>
      <c r="D9" s="492"/>
    </row>
    <row r="10" spans="1:4" ht="10.95" customHeight="1">
      <c r="B10" s="492" t="s">
        <v>640</v>
      </c>
      <c r="C10" s="491">
        <v>259625.38</v>
      </c>
      <c r="D10" s="492" t="s">
        <v>641</v>
      </c>
    </row>
    <row r="11" spans="1:4" ht="10.95" customHeight="1">
      <c r="B11" s="492" t="s">
        <v>799</v>
      </c>
      <c r="C11" s="491">
        <v>611266.88</v>
      </c>
      <c r="D11" s="492" t="s">
        <v>641</v>
      </c>
    </row>
    <row r="12" spans="1:4" ht="10.95" customHeight="1">
      <c r="B12" s="492" t="s">
        <v>844</v>
      </c>
      <c r="C12" s="491">
        <v>128206.71</v>
      </c>
      <c r="D12" s="492" t="s">
        <v>641</v>
      </c>
    </row>
    <row r="13" spans="1:4" ht="10.95" customHeight="1">
      <c r="B13" s="492" t="s">
        <v>845</v>
      </c>
      <c r="C13" s="491">
        <v>50200</v>
      </c>
      <c r="D13" s="492"/>
    </row>
    <row r="14" spans="1:4" ht="10.95" customHeight="1">
      <c r="B14" s="1914" t="s">
        <v>642</v>
      </c>
      <c r="C14" s="1915">
        <f>SUM(C9:C13)</f>
        <v>7570412.7199999997</v>
      </c>
      <c r="D14" s="1914"/>
    </row>
    <row r="15" spans="1:4" ht="10.95" customHeight="1">
      <c r="A15" s="1919"/>
      <c r="B15" s="1919" t="s">
        <v>240</v>
      </c>
      <c r="C15" s="1919"/>
      <c r="D15" s="1919"/>
    </row>
    <row r="16" spans="1:4" ht="10.95" customHeight="1">
      <c r="B16" s="492" t="s">
        <v>241</v>
      </c>
      <c r="C16" s="491">
        <v>1829787.05</v>
      </c>
      <c r="D16" s="492"/>
    </row>
    <row r="17" spans="1:4" ht="10.95" customHeight="1">
      <c r="B17" s="1914" t="s">
        <v>242</v>
      </c>
      <c r="C17" s="1915">
        <f>C16</f>
        <v>1829787.05</v>
      </c>
      <c r="D17" s="1914"/>
    </row>
    <row r="18" spans="1:4" ht="10.95" customHeight="1">
      <c r="A18" s="1919"/>
      <c r="B18" s="1919" t="s">
        <v>243</v>
      </c>
      <c r="C18" s="1919"/>
      <c r="D18" s="1919"/>
    </row>
    <row r="19" spans="1:4" ht="10.95" customHeight="1">
      <c r="B19" s="492" t="s">
        <v>800</v>
      </c>
      <c r="C19" s="491">
        <v>34041411.009999998</v>
      </c>
      <c r="D19" s="492"/>
    </row>
    <row r="20" spans="1:4" ht="10.95" customHeight="1">
      <c r="B20" s="492" t="s">
        <v>245</v>
      </c>
      <c r="C20" s="491">
        <v>13120994.41</v>
      </c>
      <c r="D20" s="492"/>
    </row>
    <row r="21" spans="1:4" ht="10.95" customHeight="1">
      <c r="B21" s="492" t="s">
        <v>801</v>
      </c>
      <c r="C21" s="491">
        <v>12715384.380000001</v>
      </c>
      <c r="D21" s="492"/>
    </row>
    <row r="22" spans="1:4" ht="10.95" customHeight="1">
      <c r="B22" s="492" t="s">
        <v>33</v>
      </c>
      <c r="C22" s="491">
        <v>94172341.829999998</v>
      </c>
      <c r="D22" s="492"/>
    </row>
    <row r="23" spans="1:4" ht="10.95" customHeight="1">
      <c r="B23" s="1914" t="s">
        <v>247</v>
      </c>
      <c r="C23" s="1915">
        <f>SUM(C19:C22)</f>
        <v>154050131.63</v>
      </c>
      <c r="D23" s="1914"/>
    </row>
    <row r="24" spans="1:4" ht="10.95" customHeight="1">
      <c r="A24" s="1914" t="s">
        <v>248</v>
      </c>
      <c r="C24" s="1915">
        <f>(0 + ((C14 + C17) + C23))</f>
        <v>163450331.40000001</v>
      </c>
      <c r="D24" s="1914"/>
    </row>
    <row r="25" spans="1:4" ht="13.35" customHeight="1"/>
    <row r="26" spans="1:4" s="495" customFormat="1" ht="12.15" customHeight="1">
      <c r="A26" s="1913" t="s">
        <v>249</v>
      </c>
      <c r="B26" s="1913"/>
      <c r="C26" s="1913"/>
      <c r="D26" s="1913"/>
    </row>
    <row r="27" spans="1:4" ht="10.95" customHeight="1">
      <c r="A27" s="1919"/>
      <c r="B27" s="1919" t="s">
        <v>250</v>
      </c>
      <c r="C27" s="1919"/>
      <c r="D27" s="1919"/>
    </row>
    <row r="28" spans="1:4" ht="10.95" customHeight="1">
      <c r="B28" s="492" t="s">
        <v>251</v>
      </c>
      <c r="C28" s="491">
        <v>2419630.29</v>
      </c>
      <c r="D28" s="492"/>
    </row>
    <row r="29" spans="1:4" ht="10.95" customHeight="1">
      <c r="B29" s="492" t="s">
        <v>802</v>
      </c>
      <c r="C29" s="491">
        <v>597566.75</v>
      </c>
      <c r="D29" s="492"/>
    </row>
    <row r="30" spans="1:4" ht="10.95" customHeight="1">
      <c r="B30" s="492" t="s">
        <v>252</v>
      </c>
      <c r="C30" s="491">
        <v>500375.8</v>
      </c>
      <c r="D30" s="492"/>
    </row>
    <row r="31" spans="1:4" ht="10.95" customHeight="1">
      <c r="B31" s="492" t="s">
        <v>804</v>
      </c>
      <c r="C31" s="491">
        <v>16647.04</v>
      </c>
      <c r="D31" s="492"/>
    </row>
    <row r="32" spans="1:4" ht="10.95" customHeight="1">
      <c r="B32" s="492" t="s">
        <v>813</v>
      </c>
      <c r="C32" s="491">
        <v>64624.75</v>
      </c>
      <c r="D32" s="492"/>
    </row>
    <row r="33" spans="1:3" ht="10.95" customHeight="1">
      <c r="B33" s="1914" t="s">
        <v>253</v>
      </c>
      <c r="C33" s="1915">
        <f>SUM(C28:C32)</f>
        <v>3598844.63</v>
      </c>
    </row>
    <row r="34" spans="1:3" ht="10.95" customHeight="1">
      <c r="A34" s="1914" t="s">
        <v>254</v>
      </c>
      <c r="C34" s="1915">
        <f>(0 + C33)</f>
        <v>3598844.63</v>
      </c>
    </row>
    <row r="35" spans="1:3" ht="13.35" customHeight="1"/>
    <row r="36" spans="1:3" ht="10.95" customHeight="1">
      <c r="B36" s="1916" t="s">
        <v>255</v>
      </c>
      <c r="C36" s="1917">
        <f>(C24 - C34)</f>
        <v>159851486.77000001</v>
      </c>
    </row>
    <row r="37" spans="1:3" ht="13.35" customHeight="1"/>
    <row r="38" spans="1:3" s="495" customFormat="1" ht="12.15" customHeight="1">
      <c r="A38" s="1913" t="s">
        <v>256</v>
      </c>
      <c r="B38" s="1913"/>
      <c r="C38" s="1913"/>
    </row>
    <row r="39" spans="1:3" ht="10.95" customHeight="1">
      <c r="B39" s="494" t="s">
        <v>257</v>
      </c>
      <c r="C39" s="493">
        <v>159695773.63999999</v>
      </c>
    </row>
    <row r="40" spans="1:3" ht="10.95" customHeight="1">
      <c r="B40" s="492" t="s">
        <v>647</v>
      </c>
      <c r="C40" s="491">
        <v>17874.650000000001</v>
      </c>
    </row>
    <row r="41" spans="1:3" ht="10.95" customHeight="1">
      <c r="B41" s="492" t="s">
        <v>846</v>
      </c>
      <c r="C41" s="491">
        <v>137838.47</v>
      </c>
    </row>
    <row r="42" spans="1:3" ht="10.95" customHeight="1">
      <c r="A42" s="1914" t="s">
        <v>258</v>
      </c>
      <c r="C42" s="1915">
        <f>SUM(C39:C41)</f>
        <v>159851486.75999999</v>
      </c>
    </row>
    <row r="43" spans="1:3" ht="13.35" customHeight="1"/>
    <row r="44" spans="1:3" ht="13.35" customHeight="1"/>
    <row r="45" spans="1:3" ht="10.95" customHeight="1">
      <c r="A45" s="519" t="s">
        <v>814</v>
      </c>
    </row>
    <row r="46" spans="1:3" ht="10.95" customHeight="1">
      <c r="A46" s="1920" t="s">
        <v>843</v>
      </c>
    </row>
    <row r="47" spans="1:3" ht="10.95" customHeight="1">
      <c r="A47" s="519" t="s">
        <v>847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1927E-3412-48F8-9F2A-347B5EC0AC1D}">
  <dimension ref="A1:F17"/>
  <sheetViews>
    <sheetView workbookViewId="0">
      <selection activeCell="H13" sqref="H13"/>
    </sheetView>
  </sheetViews>
  <sheetFormatPr baseColWidth="10" defaultColWidth="11.44140625" defaultRowHeight="14.4"/>
  <cols>
    <col min="1" max="1" width="35.109375" bestFit="1" customWidth="1"/>
    <col min="2" max="2" width="25.5546875" style="370" bestFit="1" customWidth="1"/>
    <col min="3" max="3" width="23.88671875" style="370" customWidth="1"/>
    <col min="4" max="4" width="20.5546875" style="370" bestFit="1" customWidth="1"/>
    <col min="5" max="5" width="19.6640625" style="370" bestFit="1" customWidth="1"/>
    <col min="6" max="6" width="23.109375" style="370" bestFit="1" customWidth="1"/>
  </cols>
  <sheetData>
    <row r="1" spans="1:6" s="523" customFormat="1" ht="28.8">
      <c r="A1" s="523" t="s">
        <v>458</v>
      </c>
      <c r="B1" s="524" t="s">
        <v>788</v>
      </c>
      <c r="C1" s="524" t="s">
        <v>848</v>
      </c>
      <c r="D1" s="524" t="s">
        <v>849</v>
      </c>
      <c r="E1" s="524" t="s">
        <v>850</v>
      </c>
      <c r="F1" s="524" t="s">
        <v>851</v>
      </c>
    </row>
    <row r="2" spans="1:6" s="433" customFormat="1">
      <c r="A2" t="s">
        <v>65</v>
      </c>
      <c r="B2" s="525">
        <v>103385169</v>
      </c>
      <c r="C2" s="525">
        <v>0</v>
      </c>
      <c r="D2" s="525">
        <v>103385169</v>
      </c>
      <c r="E2" s="525">
        <v>94172341.829999998</v>
      </c>
      <c r="F2" s="525">
        <v>94172341.829999998</v>
      </c>
    </row>
    <row r="3" spans="1:6" s="433" customFormat="1">
      <c r="A3" t="s">
        <v>68</v>
      </c>
      <c r="B3" s="525">
        <v>20789999.999999996</v>
      </c>
      <c r="C3" s="525">
        <v>0</v>
      </c>
      <c r="D3" s="525">
        <v>20790000</v>
      </c>
      <c r="E3" s="525">
        <v>21799763.890000001</v>
      </c>
      <c r="F3" s="525">
        <v>21407665.390000001</v>
      </c>
    </row>
    <row r="4" spans="1:6">
      <c r="A4" t="s">
        <v>78</v>
      </c>
      <c r="B4" s="525">
        <v>451758999.99999994</v>
      </c>
      <c r="C4" s="525">
        <v>0</v>
      </c>
      <c r="D4" s="525">
        <v>451758999.99999994</v>
      </c>
      <c r="E4" s="525">
        <v>9219083.5899999999</v>
      </c>
      <c r="F4" s="525">
        <v>9219083.5899999999</v>
      </c>
    </row>
    <row r="5" spans="1:6">
      <c r="A5" t="s">
        <v>90</v>
      </c>
      <c r="B5" s="525">
        <v>1265953920</v>
      </c>
      <c r="C5" s="525">
        <v>0</v>
      </c>
      <c r="D5" s="525">
        <v>1265953920</v>
      </c>
      <c r="E5" s="525">
        <v>0</v>
      </c>
      <c r="F5" s="525">
        <v>0</v>
      </c>
    </row>
    <row r="6" spans="1:6">
      <c r="A6" t="s">
        <v>105</v>
      </c>
      <c r="B6" s="525">
        <v>171771292</v>
      </c>
      <c r="C6" s="525">
        <v>18198088</v>
      </c>
      <c r="D6" s="525">
        <v>189969380</v>
      </c>
      <c r="E6" s="525">
        <v>3414662.0300000003</v>
      </c>
      <c r="F6" s="525">
        <v>3414662.0300000003</v>
      </c>
    </row>
    <row r="7" spans="1:6">
      <c r="A7" t="s">
        <v>108</v>
      </c>
      <c r="B7" s="525">
        <v>34354258</v>
      </c>
      <c r="C7" s="525">
        <v>3639618</v>
      </c>
      <c r="D7" s="525">
        <v>37993876</v>
      </c>
      <c r="E7" s="525">
        <v>0</v>
      </c>
      <c r="F7" s="525">
        <v>0</v>
      </c>
    </row>
    <row r="8" spans="1:6">
      <c r="A8" t="s">
        <v>816</v>
      </c>
      <c r="B8" s="525">
        <v>0</v>
      </c>
      <c r="C8" s="525">
        <v>37993876</v>
      </c>
      <c r="D8" s="525">
        <v>37993876</v>
      </c>
      <c r="E8" s="525">
        <v>0</v>
      </c>
      <c r="F8" s="525">
        <v>0</v>
      </c>
    </row>
    <row r="9" spans="1:6">
      <c r="A9" t="s">
        <v>112</v>
      </c>
      <c r="B9" s="525">
        <v>137417034</v>
      </c>
      <c r="C9" s="525">
        <v>14558470</v>
      </c>
      <c r="D9" s="525">
        <v>151975504</v>
      </c>
      <c r="E9" s="525">
        <v>161175.97</v>
      </c>
      <c r="F9" s="525">
        <v>161175.97</v>
      </c>
    </row>
    <row r="10" spans="1:6">
      <c r="A10" t="s">
        <v>115</v>
      </c>
      <c r="B10" s="525">
        <v>281704919</v>
      </c>
      <c r="C10" s="525">
        <v>26425415</v>
      </c>
      <c r="D10" s="525">
        <v>308130334</v>
      </c>
      <c r="E10" s="525">
        <v>0</v>
      </c>
      <c r="F10" s="525">
        <v>0</v>
      </c>
    </row>
    <row r="11" spans="1:6">
      <c r="A11" t="s">
        <v>119</v>
      </c>
      <c r="B11" s="525">
        <v>67334346</v>
      </c>
      <c r="C11" s="525">
        <v>8463436</v>
      </c>
      <c r="D11" s="525">
        <v>75797782</v>
      </c>
      <c r="E11" s="525">
        <v>416598.08</v>
      </c>
      <c r="F11" s="525">
        <v>416598.08</v>
      </c>
    </row>
    <row r="12" spans="1:6">
      <c r="A12" t="s">
        <v>122</v>
      </c>
      <c r="B12" s="525">
        <v>51531387.949999996</v>
      </c>
      <c r="C12" s="525">
        <v>5459426.0500000045</v>
      </c>
      <c r="D12" s="525">
        <v>56990814</v>
      </c>
      <c r="E12" s="525">
        <v>15932272.880000001</v>
      </c>
      <c r="F12" s="525">
        <v>12543220.300000001</v>
      </c>
    </row>
    <row r="13" spans="1:6">
      <c r="A13" t="s">
        <v>126</v>
      </c>
      <c r="B13" s="525">
        <v>19238385</v>
      </c>
      <c r="C13" s="525">
        <v>2418121</v>
      </c>
      <c r="D13" s="525">
        <v>21656506</v>
      </c>
      <c r="E13" s="525">
        <v>0</v>
      </c>
      <c r="F13" s="525">
        <v>0</v>
      </c>
    </row>
    <row r="14" spans="1:6">
      <c r="A14" t="s">
        <v>193</v>
      </c>
      <c r="B14" s="525">
        <v>15000000</v>
      </c>
      <c r="C14" s="525">
        <v>15500000</v>
      </c>
      <c r="D14" s="525">
        <v>30500000</v>
      </c>
      <c r="E14" s="525">
        <v>16827427.559999999</v>
      </c>
      <c r="F14" s="525">
        <v>12715384.369999999</v>
      </c>
    </row>
    <row r="15" spans="1:6">
      <c r="A15" t="s">
        <v>133</v>
      </c>
      <c r="B15" s="525">
        <v>19238385</v>
      </c>
      <c r="C15" s="525">
        <v>2418124</v>
      </c>
      <c r="D15" s="525">
        <v>21656509</v>
      </c>
      <c r="E15" s="525">
        <v>0</v>
      </c>
      <c r="F15" s="525">
        <v>0</v>
      </c>
    </row>
    <row r="16" spans="1:6">
      <c r="A16" t="s">
        <v>136</v>
      </c>
      <c r="B16" s="525">
        <v>192383847</v>
      </c>
      <c r="C16" s="525">
        <v>24181246</v>
      </c>
      <c r="D16" s="525">
        <v>216565093</v>
      </c>
      <c r="E16" s="525">
        <v>0</v>
      </c>
      <c r="F16" s="525">
        <v>0</v>
      </c>
    </row>
    <row r="17" spans="2:6">
      <c r="B17" s="432">
        <f>SUM(B2:B16)</f>
        <v>2831861942.9499998</v>
      </c>
      <c r="C17" s="432">
        <f>SUM(C2:C16)</f>
        <v>159255820.05000001</v>
      </c>
      <c r="D17" s="432">
        <f>SUM(D2:D16)</f>
        <v>2991117763</v>
      </c>
      <c r="E17" s="432">
        <f>SUM(E2:E16)</f>
        <v>161943325.83000001</v>
      </c>
      <c r="F17" s="432">
        <f>SUM(F2:F16)</f>
        <v>154050131.56</v>
      </c>
    </row>
  </sheetData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74FC4-4B2D-4DD4-BF81-AC088A6E7BDB}">
  <sheetPr>
    <pageSetUpPr fitToPage="1"/>
  </sheetPr>
  <dimension ref="A3:G11"/>
  <sheetViews>
    <sheetView workbookViewId="0">
      <selection activeCell="H13" sqref="H13"/>
    </sheetView>
  </sheetViews>
  <sheetFormatPr baseColWidth="10" defaultColWidth="11.5546875" defaultRowHeight="12"/>
  <cols>
    <col min="1" max="1" width="41" style="516" customWidth="1"/>
    <col min="2" max="2" width="11" style="516" bestFit="1" customWidth="1"/>
    <col min="3" max="3" width="11.109375" style="518" bestFit="1" customWidth="1"/>
    <col min="4" max="4" width="18.6640625" style="518" bestFit="1" customWidth="1"/>
    <col min="5" max="5" width="35" style="516" bestFit="1" customWidth="1"/>
    <col min="6" max="6" width="30" style="516" bestFit="1" customWidth="1"/>
    <col min="7" max="7" width="49.33203125" style="516" bestFit="1" customWidth="1"/>
    <col min="8" max="16384" width="11.5546875" style="516"/>
  </cols>
  <sheetData>
    <row r="3" spans="1:7" s="512" customFormat="1" ht="14.4">
      <c r="A3" s="433" t="s">
        <v>707</v>
      </c>
      <c r="B3" s="433" t="s">
        <v>708</v>
      </c>
      <c r="C3" s="432" t="s">
        <v>164</v>
      </c>
      <c r="D3" s="432" t="s">
        <v>709</v>
      </c>
      <c r="E3" s="433" t="s">
        <v>817</v>
      </c>
      <c r="F3" s="433" t="s">
        <v>710</v>
      </c>
      <c r="G3" s="433" t="s">
        <v>852</v>
      </c>
    </row>
    <row r="4" spans="1:7" ht="14.4">
      <c r="A4" t="s">
        <v>735</v>
      </c>
      <c r="B4" s="193">
        <v>45469</v>
      </c>
      <c r="C4" s="370">
        <v>38250</v>
      </c>
      <c r="D4" s="370">
        <v>38250</v>
      </c>
      <c r="E4" t="s">
        <v>821</v>
      </c>
      <c r="F4" t="s">
        <v>853</v>
      </c>
      <c r="G4" t="s">
        <v>853</v>
      </c>
    </row>
    <row r="5" spans="1:7" ht="14.4">
      <c r="A5" t="s">
        <v>737</v>
      </c>
      <c r="B5" s="193">
        <v>45429</v>
      </c>
      <c r="C5" s="370">
        <v>40000</v>
      </c>
      <c r="D5" s="370">
        <v>40000</v>
      </c>
      <c r="E5" t="s">
        <v>738</v>
      </c>
      <c r="F5" t="s">
        <v>853</v>
      </c>
      <c r="G5" t="s">
        <v>853</v>
      </c>
    </row>
    <row r="6" spans="1:7" ht="14.4">
      <c r="A6" t="s">
        <v>369</v>
      </c>
      <c r="B6" s="193">
        <v>45266</v>
      </c>
      <c r="C6" s="370">
        <v>273000</v>
      </c>
      <c r="D6" s="370">
        <v>273000</v>
      </c>
      <c r="E6" t="s">
        <v>822</v>
      </c>
      <c r="F6" t="s">
        <v>853</v>
      </c>
      <c r="G6" t="s">
        <v>853</v>
      </c>
    </row>
    <row r="7" spans="1:7" ht="14.4">
      <c r="A7" t="s">
        <v>740</v>
      </c>
      <c r="B7" s="193">
        <v>45512</v>
      </c>
      <c r="C7" s="370">
        <v>747236.25</v>
      </c>
      <c r="D7" s="370">
        <v>747236.25</v>
      </c>
      <c r="E7">
        <v>562949957178318</v>
      </c>
      <c r="F7" t="s">
        <v>854</v>
      </c>
      <c r="G7" t="s">
        <v>855</v>
      </c>
    </row>
    <row r="8" spans="1:7" ht="14.4">
      <c r="A8" t="s">
        <v>856</v>
      </c>
      <c r="B8" s="193">
        <v>45688</v>
      </c>
      <c r="C8" s="370">
        <v>1962.5</v>
      </c>
      <c r="D8" s="370">
        <v>1962.5</v>
      </c>
      <c r="E8" t="s">
        <v>857</v>
      </c>
      <c r="F8" t="s">
        <v>854</v>
      </c>
      <c r="G8" t="s">
        <v>858</v>
      </c>
    </row>
    <row r="9" spans="1:7" ht="14.4">
      <c r="A9" t="s">
        <v>740</v>
      </c>
      <c r="B9" s="193">
        <v>45616</v>
      </c>
      <c r="C9" s="370">
        <v>376562.5</v>
      </c>
      <c r="D9" s="370">
        <v>376562.5</v>
      </c>
      <c r="E9" t="s">
        <v>820</v>
      </c>
      <c r="F9" t="s">
        <v>854</v>
      </c>
      <c r="G9" t="s">
        <v>855</v>
      </c>
    </row>
    <row r="10" spans="1:7" ht="14.4">
      <c r="A10" t="s">
        <v>795</v>
      </c>
      <c r="B10" s="193">
        <v>45622</v>
      </c>
      <c r="C10" s="370">
        <v>352775.8</v>
      </c>
      <c r="D10" s="370">
        <v>352775.8</v>
      </c>
      <c r="E10" t="s">
        <v>819</v>
      </c>
      <c r="F10" t="s">
        <v>859</v>
      </c>
      <c r="G10" t="s">
        <v>860</v>
      </c>
    </row>
    <row r="11" spans="1:7">
      <c r="A11" s="513"/>
      <c r="B11" s="513"/>
      <c r="C11" s="517">
        <f>SUM(C4:C10)</f>
        <v>1829787.05</v>
      </c>
      <c r="D11" s="517">
        <f>SUM(D4:D10)</f>
        <v>1829787.05</v>
      </c>
      <c r="E11" s="513"/>
      <c r="F11" s="513"/>
      <c r="G11" s="513"/>
    </row>
  </sheetData>
  <autoFilter ref="A3:G3" xr:uid="{A4C74FC4-4B2D-4DD4-BF81-AC088A6E7BDB}">
    <sortState xmlns:xlrd2="http://schemas.microsoft.com/office/spreadsheetml/2017/richdata2" ref="A4:G11">
      <sortCondition ref="F3"/>
    </sortState>
  </autoFilter>
  <pageMargins left="0.7" right="0.7" top="0.75" bottom="0.75" header="0.3" footer="0.3"/>
  <pageSetup scale="62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430A8-E9ED-4D57-B27E-169AD7B2382C}">
  <dimension ref="A1:L49"/>
  <sheetViews>
    <sheetView showGridLines="0" topLeftCell="A28" zoomScaleNormal="100" workbookViewId="0">
      <selection activeCell="H13" sqref="H13"/>
    </sheetView>
  </sheetViews>
  <sheetFormatPr baseColWidth="10" defaultColWidth="8" defaultRowHeight="11.4"/>
  <cols>
    <col min="1" max="1" width="45.44140625" style="408" customWidth="1"/>
    <col min="2" max="2" width="11.44140625" style="408" customWidth="1"/>
    <col min="3" max="3" width="16.5546875" style="408" bestFit="1" customWidth="1"/>
    <col min="4" max="4" width="10.109375" style="408" bestFit="1" customWidth="1"/>
    <col min="5" max="5" width="9.6640625" style="408" bestFit="1" customWidth="1"/>
    <col min="6" max="6" width="8" style="408" bestFit="1" customWidth="1"/>
    <col min="7" max="7" width="11.33203125" style="408" bestFit="1" customWidth="1"/>
    <col min="8" max="8" width="9" style="408" bestFit="1" customWidth="1"/>
    <col min="9" max="9" width="7.88671875" style="408" bestFit="1" customWidth="1"/>
    <col min="10" max="10" width="10.109375" style="408" bestFit="1" customWidth="1"/>
    <col min="11" max="11" width="23.109375" style="528" bestFit="1" customWidth="1"/>
    <col min="12" max="12" width="36.44140625" style="528" customWidth="1"/>
    <col min="13" max="16384" width="8" style="408"/>
  </cols>
  <sheetData>
    <row r="1" spans="1:12" s="405" customFormat="1" ht="16.649999999999999" customHeight="1">
      <c r="A1" s="404" t="s">
        <v>771</v>
      </c>
      <c r="B1" s="404"/>
      <c r="C1" s="404"/>
      <c r="D1" s="404"/>
      <c r="E1" s="404"/>
      <c r="F1" s="404"/>
      <c r="G1" s="404"/>
      <c r="H1" s="404"/>
      <c r="I1" s="404"/>
      <c r="J1" s="404"/>
      <c r="K1" s="526"/>
      <c r="L1" s="526"/>
    </row>
    <row r="2" spans="1:12" s="407" customFormat="1" ht="14.4" customHeight="1">
      <c r="A2" s="406" t="s">
        <v>236</v>
      </c>
      <c r="B2" s="406"/>
      <c r="C2" s="406"/>
      <c r="D2" s="406"/>
      <c r="E2" s="406"/>
      <c r="F2" s="406"/>
      <c r="G2" s="406"/>
      <c r="H2" s="406"/>
      <c r="I2" s="406"/>
      <c r="J2" s="406"/>
      <c r="K2" s="527"/>
      <c r="L2" s="527"/>
    </row>
    <row r="3" spans="1:12" s="407" customFormat="1" ht="14.4" customHeight="1">
      <c r="A3" s="406" t="s">
        <v>842</v>
      </c>
      <c r="B3" s="406"/>
      <c r="C3" s="406"/>
      <c r="D3" s="406"/>
      <c r="E3" s="406"/>
      <c r="F3" s="406"/>
      <c r="G3" s="406"/>
      <c r="H3" s="406"/>
      <c r="I3" s="406"/>
      <c r="J3" s="406"/>
      <c r="K3" s="527"/>
      <c r="L3" s="527"/>
    </row>
    <row r="4" spans="1:12" s="407" customFormat="1" ht="14.4" customHeight="1">
      <c r="A4" s="406" t="s">
        <v>724</v>
      </c>
      <c r="B4" s="406"/>
      <c r="C4" s="406"/>
      <c r="D4" s="406"/>
      <c r="E4" s="406"/>
      <c r="F4" s="406"/>
      <c r="G4" s="406"/>
      <c r="H4" s="406"/>
      <c r="I4" s="406"/>
      <c r="J4" s="406"/>
      <c r="K4" s="527"/>
      <c r="L4" s="527"/>
    </row>
    <row r="5" spans="1:12" ht="13.35" customHeight="1"/>
    <row r="6" spans="1:12" s="412" customFormat="1" ht="12.15" customHeight="1">
      <c r="A6" s="410" t="s">
        <v>689</v>
      </c>
      <c r="B6" s="410" t="s">
        <v>823</v>
      </c>
      <c r="C6" s="410" t="s">
        <v>773</v>
      </c>
      <c r="D6" s="411" t="s">
        <v>861</v>
      </c>
      <c r="E6" s="411" t="s">
        <v>824</v>
      </c>
      <c r="F6" s="411" t="s">
        <v>825</v>
      </c>
      <c r="G6" s="411" t="s">
        <v>826</v>
      </c>
      <c r="H6" s="411" t="s">
        <v>827</v>
      </c>
      <c r="I6" s="411" t="s">
        <v>828</v>
      </c>
      <c r="J6" s="411" t="s">
        <v>164</v>
      </c>
      <c r="K6" s="529" t="s">
        <v>695</v>
      </c>
      <c r="L6" s="529" t="s">
        <v>862</v>
      </c>
    </row>
    <row r="7" spans="1:12" ht="13.35" customHeight="1"/>
    <row r="8" spans="1:12" s="412" customFormat="1" ht="12.15" customHeight="1">
      <c r="A8" s="409" t="s">
        <v>389</v>
      </c>
      <c r="B8" s="409"/>
      <c r="C8" s="409"/>
      <c r="D8" s="409"/>
      <c r="E8" s="409"/>
      <c r="F8" s="409"/>
      <c r="G8" s="409"/>
      <c r="H8" s="409"/>
      <c r="I8" s="409"/>
      <c r="J8" s="409"/>
      <c r="K8" s="530"/>
      <c r="L8" s="530"/>
    </row>
    <row r="9" spans="1:12" ht="10.95" customHeight="1">
      <c r="A9" s="429">
        <v>45688</v>
      </c>
      <c r="B9" s="429">
        <v>45688</v>
      </c>
      <c r="C9" s="421" t="s">
        <v>863</v>
      </c>
      <c r="D9" s="422">
        <v>0</v>
      </c>
      <c r="E9" s="422">
        <v>146272.79999999999</v>
      </c>
      <c r="F9" s="422">
        <v>0</v>
      </c>
      <c r="G9" s="422">
        <v>0</v>
      </c>
      <c r="H9" s="422">
        <v>0</v>
      </c>
      <c r="I9" s="422">
        <v>0</v>
      </c>
      <c r="J9" s="422">
        <v>146272.79999999999</v>
      </c>
      <c r="K9" s="531" t="s">
        <v>864</v>
      </c>
      <c r="L9" s="531" t="s">
        <v>865</v>
      </c>
    </row>
    <row r="10" spans="1:12" ht="10.95" customHeight="1">
      <c r="A10" s="416" t="s">
        <v>866</v>
      </c>
      <c r="B10" s="416"/>
      <c r="C10" s="416"/>
      <c r="D10" s="417">
        <f t="shared" ref="D10:J10" si="0">D9</f>
        <v>0</v>
      </c>
      <c r="E10" s="417">
        <f t="shared" si="0"/>
        <v>146272.79999999999</v>
      </c>
      <c r="F10" s="417">
        <f t="shared" si="0"/>
        <v>0</v>
      </c>
      <c r="G10" s="417">
        <f t="shared" si="0"/>
        <v>0</v>
      </c>
      <c r="H10" s="417">
        <f t="shared" si="0"/>
        <v>0</v>
      </c>
      <c r="I10" s="417">
        <f t="shared" si="0"/>
        <v>0</v>
      </c>
      <c r="J10" s="417">
        <f t="shared" si="0"/>
        <v>146272.79999999999</v>
      </c>
      <c r="K10" s="532"/>
      <c r="L10" s="532"/>
    </row>
    <row r="11" spans="1:12" ht="13.35" customHeight="1"/>
    <row r="12" spans="1:12" s="412" customFormat="1" ht="12.15" customHeight="1">
      <c r="A12" s="409" t="s">
        <v>373</v>
      </c>
      <c r="B12" s="409"/>
      <c r="C12" s="409"/>
      <c r="D12" s="409"/>
      <c r="E12" s="409"/>
      <c r="F12" s="409"/>
      <c r="G12" s="409"/>
      <c r="H12" s="409"/>
      <c r="I12" s="409"/>
      <c r="J12" s="409"/>
      <c r="K12" s="530"/>
      <c r="L12" s="530"/>
    </row>
    <row r="13" spans="1:12" ht="10.95" customHeight="1">
      <c r="A13" s="429">
        <v>45453</v>
      </c>
      <c r="B13" s="429">
        <v>45473</v>
      </c>
      <c r="C13" s="421" t="s">
        <v>696</v>
      </c>
      <c r="D13" s="422">
        <v>0</v>
      </c>
      <c r="E13" s="422">
        <v>0</v>
      </c>
      <c r="F13" s="422">
        <v>0</v>
      </c>
      <c r="G13" s="422">
        <v>0</v>
      </c>
      <c r="H13" s="422">
        <v>0</v>
      </c>
      <c r="I13" s="422">
        <v>60314.2</v>
      </c>
      <c r="J13" s="422">
        <v>60314.2</v>
      </c>
      <c r="K13" s="531" t="s">
        <v>867</v>
      </c>
      <c r="L13" s="531"/>
    </row>
    <row r="14" spans="1:12" ht="10.95" customHeight="1">
      <c r="A14" s="416" t="s">
        <v>830</v>
      </c>
      <c r="B14" s="416"/>
      <c r="C14" s="416"/>
      <c r="D14" s="417">
        <f t="shared" ref="D14:J14" si="1">D13</f>
        <v>0</v>
      </c>
      <c r="E14" s="417">
        <f t="shared" si="1"/>
        <v>0</v>
      </c>
      <c r="F14" s="417">
        <f t="shared" si="1"/>
        <v>0</v>
      </c>
      <c r="G14" s="417">
        <f t="shared" si="1"/>
        <v>0</v>
      </c>
      <c r="H14" s="417">
        <f t="shared" si="1"/>
        <v>0</v>
      </c>
      <c r="I14" s="417">
        <f t="shared" si="1"/>
        <v>60314.2</v>
      </c>
      <c r="J14" s="417">
        <f t="shared" si="1"/>
        <v>60314.2</v>
      </c>
      <c r="K14" s="532"/>
      <c r="L14" s="532"/>
    </row>
    <row r="15" spans="1:12" ht="13.35" customHeight="1"/>
    <row r="16" spans="1:12" s="412" customFormat="1" ht="12.15" customHeight="1">
      <c r="A16" s="409" t="s">
        <v>781</v>
      </c>
      <c r="B16" s="409"/>
      <c r="C16" s="409"/>
      <c r="D16" s="409"/>
      <c r="E16" s="409"/>
      <c r="F16" s="409"/>
      <c r="G16" s="409"/>
      <c r="H16" s="409"/>
      <c r="I16" s="409"/>
      <c r="J16" s="409"/>
      <c r="K16" s="530"/>
      <c r="L16" s="530"/>
    </row>
    <row r="17" spans="1:12" ht="10.95" customHeight="1">
      <c r="A17" s="429">
        <v>45614</v>
      </c>
      <c r="B17" s="429">
        <v>45615</v>
      </c>
      <c r="C17" s="421" t="s">
        <v>782</v>
      </c>
      <c r="D17" s="422">
        <v>0</v>
      </c>
      <c r="E17" s="422">
        <v>0</v>
      </c>
      <c r="F17" s="422">
        <v>0</v>
      </c>
      <c r="G17" s="422">
        <v>74800</v>
      </c>
      <c r="H17" s="422">
        <v>0</v>
      </c>
      <c r="I17" s="422">
        <v>0</v>
      </c>
      <c r="J17" s="422">
        <v>74800</v>
      </c>
      <c r="K17" s="531" t="s">
        <v>864</v>
      </c>
      <c r="L17" s="531" t="s">
        <v>868</v>
      </c>
    </row>
    <row r="18" spans="1:12" ht="10.95" customHeight="1">
      <c r="A18" s="430">
        <v>45616</v>
      </c>
      <c r="B18" s="430">
        <v>45616</v>
      </c>
      <c r="C18" s="414" t="s">
        <v>783</v>
      </c>
      <c r="D18" s="415">
        <v>0</v>
      </c>
      <c r="E18" s="415">
        <v>0</v>
      </c>
      <c r="F18" s="415">
        <v>0</v>
      </c>
      <c r="G18" s="415">
        <v>18802</v>
      </c>
      <c r="H18" s="415">
        <v>0</v>
      </c>
      <c r="I18" s="415">
        <v>0</v>
      </c>
      <c r="J18" s="415">
        <v>18802</v>
      </c>
      <c r="K18" s="533" t="s">
        <v>864</v>
      </c>
      <c r="L18" s="533" t="s">
        <v>868</v>
      </c>
    </row>
    <row r="19" spans="1:12" ht="10.95" customHeight="1">
      <c r="A19" s="416" t="s">
        <v>831</v>
      </c>
      <c r="B19" s="416"/>
      <c r="C19" s="416"/>
      <c r="D19" s="417">
        <f t="shared" ref="D19:J19" si="2">SUM(D17:D18)</f>
        <v>0</v>
      </c>
      <c r="E19" s="417">
        <f t="shared" si="2"/>
        <v>0</v>
      </c>
      <c r="F19" s="417">
        <f t="shared" si="2"/>
        <v>0</v>
      </c>
      <c r="G19" s="417">
        <f t="shared" si="2"/>
        <v>93602</v>
      </c>
      <c r="H19" s="417">
        <f t="shared" si="2"/>
        <v>0</v>
      </c>
      <c r="I19" s="417">
        <f t="shared" si="2"/>
        <v>0</v>
      </c>
      <c r="J19" s="417">
        <f t="shared" si="2"/>
        <v>93602</v>
      </c>
      <c r="K19" s="532"/>
      <c r="L19" s="532"/>
    </row>
    <row r="20" spans="1:12" ht="13.35" customHeight="1"/>
    <row r="21" spans="1:12" s="412" customFormat="1" ht="12.15" customHeight="1">
      <c r="A21" s="409" t="s">
        <v>869</v>
      </c>
      <c r="B21" s="409"/>
      <c r="C21" s="409"/>
      <c r="D21" s="409"/>
      <c r="E21" s="409"/>
      <c r="F21" s="409"/>
      <c r="G21" s="409"/>
      <c r="H21" s="409"/>
      <c r="I21" s="409"/>
      <c r="J21" s="409"/>
      <c r="K21" s="530"/>
      <c r="L21" s="530"/>
    </row>
    <row r="22" spans="1:12" ht="10.95" customHeight="1">
      <c r="A22" s="429">
        <v>45688</v>
      </c>
      <c r="B22" s="429">
        <v>45688</v>
      </c>
      <c r="C22" s="421" t="s">
        <v>870</v>
      </c>
      <c r="D22" s="422">
        <v>0</v>
      </c>
      <c r="E22" s="422">
        <v>34456</v>
      </c>
      <c r="F22" s="422">
        <v>0</v>
      </c>
      <c r="G22" s="422">
        <v>0</v>
      </c>
      <c r="H22" s="422">
        <v>0</v>
      </c>
      <c r="I22" s="422">
        <v>0</v>
      </c>
      <c r="J22" s="422">
        <v>34456</v>
      </c>
      <c r="K22" s="531" t="s">
        <v>864</v>
      </c>
      <c r="L22" s="531" t="s">
        <v>868</v>
      </c>
    </row>
    <row r="23" spans="1:12" ht="10.95" customHeight="1">
      <c r="A23" s="416" t="s">
        <v>871</v>
      </c>
      <c r="B23" s="416"/>
      <c r="C23" s="416"/>
      <c r="D23" s="417">
        <f t="shared" ref="D23:J23" si="3">D22</f>
        <v>0</v>
      </c>
      <c r="E23" s="417">
        <f t="shared" si="3"/>
        <v>34456</v>
      </c>
      <c r="F23" s="417">
        <f t="shared" si="3"/>
        <v>0</v>
      </c>
      <c r="G23" s="417">
        <f t="shared" si="3"/>
        <v>0</v>
      </c>
      <c r="H23" s="417">
        <f t="shared" si="3"/>
        <v>0</v>
      </c>
      <c r="I23" s="417">
        <f t="shared" si="3"/>
        <v>0</v>
      </c>
      <c r="J23" s="417">
        <f t="shared" si="3"/>
        <v>34456</v>
      </c>
      <c r="K23" s="532"/>
      <c r="L23" s="532"/>
    </row>
    <row r="24" spans="1:12" ht="13.35" customHeight="1"/>
    <row r="25" spans="1:12" s="412" customFormat="1" ht="12.15" customHeight="1">
      <c r="A25" s="409" t="s">
        <v>872</v>
      </c>
      <c r="B25" s="409"/>
      <c r="C25" s="409"/>
      <c r="D25" s="409"/>
      <c r="E25" s="409"/>
      <c r="F25" s="409"/>
      <c r="G25" s="409"/>
      <c r="H25" s="409"/>
      <c r="I25" s="409"/>
      <c r="J25" s="409"/>
      <c r="K25" s="530"/>
      <c r="L25" s="530"/>
    </row>
    <row r="26" spans="1:12" ht="10.95" customHeight="1">
      <c r="A26" s="429">
        <v>45688</v>
      </c>
      <c r="B26" s="429">
        <v>45688</v>
      </c>
      <c r="C26" s="421" t="s">
        <v>873</v>
      </c>
      <c r="D26" s="422">
        <v>0</v>
      </c>
      <c r="E26" s="422">
        <v>22944.51</v>
      </c>
      <c r="F26" s="422">
        <v>0</v>
      </c>
      <c r="G26" s="422">
        <v>0</v>
      </c>
      <c r="H26" s="422">
        <v>0</v>
      </c>
      <c r="I26" s="422">
        <v>0</v>
      </c>
      <c r="J26" s="422">
        <v>22944.51</v>
      </c>
      <c r="K26" s="531" t="s">
        <v>864</v>
      </c>
      <c r="L26" s="531" t="s">
        <v>868</v>
      </c>
    </row>
    <row r="27" spans="1:12" ht="10.95" customHeight="1">
      <c r="A27" s="416" t="s">
        <v>874</v>
      </c>
      <c r="B27" s="416"/>
      <c r="C27" s="416"/>
      <c r="D27" s="417">
        <f t="shared" ref="D27:J27" si="4">D26</f>
        <v>0</v>
      </c>
      <c r="E27" s="417">
        <f t="shared" si="4"/>
        <v>22944.51</v>
      </c>
      <c r="F27" s="417">
        <f t="shared" si="4"/>
        <v>0</v>
      </c>
      <c r="G27" s="417">
        <f t="shared" si="4"/>
        <v>0</v>
      </c>
      <c r="H27" s="417">
        <f t="shared" si="4"/>
        <v>0</v>
      </c>
      <c r="I27" s="417">
        <f t="shared" si="4"/>
        <v>0</v>
      </c>
      <c r="J27" s="417">
        <f t="shared" si="4"/>
        <v>22944.51</v>
      </c>
      <c r="K27" s="532"/>
      <c r="L27" s="532"/>
    </row>
    <row r="28" spans="1:12" ht="13.35" customHeight="1"/>
    <row r="29" spans="1:12" s="412" customFormat="1" ht="12.15" customHeight="1">
      <c r="A29" s="409" t="s">
        <v>715</v>
      </c>
      <c r="B29" s="409"/>
      <c r="C29" s="409"/>
      <c r="D29" s="409"/>
      <c r="E29" s="409"/>
      <c r="F29" s="409"/>
      <c r="G29" s="409"/>
      <c r="H29" s="409"/>
      <c r="I29" s="409"/>
      <c r="J29" s="409"/>
      <c r="K29" s="530"/>
      <c r="L29" s="530"/>
    </row>
    <row r="30" spans="1:12" ht="10.95" customHeight="1">
      <c r="A30" s="429">
        <v>45687</v>
      </c>
      <c r="B30" s="429">
        <v>45699</v>
      </c>
      <c r="C30" s="421" t="s">
        <v>875</v>
      </c>
      <c r="D30" s="422">
        <v>292040.78000000003</v>
      </c>
      <c r="E30" s="422">
        <v>0</v>
      </c>
      <c r="F30" s="422">
        <v>0</v>
      </c>
      <c r="G30" s="422">
        <v>0</v>
      </c>
      <c r="H30" s="422">
        <v>0</v>
      </c>
      <c r="I30" s="422">
        <v>0</v>
      </c>
      <c r="J30" s="422">
        <v>292040.78000000003</v>
      </c>
      <c r="K30" s="531" t="s">
        <v>864</v>
      </c>
      <c r="L30" s="531" t="s">
        <v>876</v>
      </c>
    </row>
    <row r="31" spans="1:12" ht="10.95" customHeight="1">
      <c r="A31" s="430">
        <v>45688</v>
      </c>
      <c r="B31" s="430">
        <v>45699</v>
      </c>
      <c r="C31" s="414" t="s">
        <v>877</v>
      </c>
      <c r="D31" s="415">
        <v>1770000</v>
      </c>
      <c r="E31" s="415">
        <v>0</v>
      </c>
      <c r="F31" s="415">
        <v>0</v>
      </c>
      <c r="G31" s="415">
        <v>0</v>
      </c>
      <c r="H31" s="415">
        <v>0</v>
      </c>
      <c r="I31" s="415">
        <v>0</v>
      </c>
      <c r="J31" s="415">
        <v>1770000</v>
      </c>
      <c r="K31" s="533" t="s">
        <v>878</v>
      </c>
      <c r="L31" s="533"/>
    </row>
    <row r="32" spans="1:12" ht="10.95" customHeight="1">
      <c r="A32" s="416" t="s">
        <v>879</v>
      </c>
      <c r="B32" s="416"/>
      <c r="C32" s="416"/>
      <c r="D32" s="417">
        <f t="shared" ref="D32:J32" si="5">SUM(D30:D31)</f>
        <v>2062040.78</v>
      </c>
      <c r="E32" s="417">
        <f t="shared" si="5"/>
        <v>0</v>
      </c>
      <c r="F32" s="417">
        <f t="shared" si="5"/>
        <v>0</v>
      </c>
      <c r="G32" s="417">
        <f t="shared" si="5"/>
        <v>0</v>
      </c>
      <c r="H32" s="417">
        <f t="shared" si="5"/>
        <v>0</v>
      </c>
      <c r="I32" s="417">
        <f t="shared" si="5"/>
        <v>0</v>
      </c>
      <c r="J32" s="417">
        <f t="shared" si="5"/>
        <v>2062040.78</v>
      </c>
      <c r="K32" s="532"/>
      <c r="L32" s="532"/>
    </row>
    <row r="34" spans="1:10" ht="10.95" customHeight="1">
      <c r="A34" s="419" t="s">
        <v>164</v>
      </c>
      <c r="B34" s="419"/>
      <c r="C34" s="419"/>
      <c r="D34" s="420">
        <f t="shared" ref="D34:J34" si="6">SUM(D10,D14,D19,D23,D27,D32)</f>
        <v>2062040.78</v>
      </c>
      <c r="E34" s="420">
        <f t="shared" si="6"/>
        <v>203673.31</v>
      </c>
      <c r="F34" s="420">
        <f t="shared" si="6"/>
        <v>0</v>
      </c>
      <c r="G34" s="420">
        <f t="shared" si="6"/>
        <v>93602</v>
      </c>
      <c r="H34" s="420">
        <f t="shared" si="6"/>
        <v>0</v>
      </c>
      <c r="I34" s="420">
        <f t="shared" si="6"/>
        <v>60314.2</v>
      </c>
      <c r="J34" s="420">
        <f t="shared" si="6"/>
        <v>2419630.29</v>
      </c>
    </row>
    <row r="35" spans="1:10" ht="13.35" customHeight="1"/>
    <row r="36" spans="1:10" ht="10.95" customHeight="1">
      <c r="A36" s="419" t="s">
        <v>732</v>
      </c>
      <c r="B36" s="419"/>
      <c r="C36" s="419"/>
      <c r="D36" s="475">
        <f>(SUM(D10,D14,D19,D23,D27,D32) / SUM(D10:I10,D14:I14,D19:I19,D23:I23,D27:I27,D32:I32))</f>
        <v>0.85221316187110552</v>
      </c>
      <c r="E36" s="475">
        <f>(SUM(E10,E14,E19,E23,E27,E32) / SUM(D10:I10,D14:I14,D19:I19,D23:I23,D27:I27,D32:I32))</f>
        <v>8.4175384496447181E-2</v>
      </c>
      <c r="F36" s="475">
        <f>(SUM(F10,F14,F19,F23,F27,F32) / SUM(D10:I10,D14:I14,D19:I19,D23:I23,D27:I27,D32:I32))</f>
        <v>0</v>
      </c>
      <c r="G36" s="475">
        <f>(SUM(G10,G14,G19,G23,G27,G32) / SUM(D10:I10,D14:I14,D19:I19,D23:I23,D27:I27,D32:I32))</f>
        <v>3.8684422321395226E-2</v>
      </c>
      <c r="H36" s="475">
        <f>(SUM(H10,H14,H19,H23,H27,H32) / SUM(D10:I10,D14:I14,D19:I19,D23:I23,D27:I27,D32:I32))</f>
        <v>0</v>
      </c>
      <c r="I36" s="475">
        <f>(SUM(I10,I14,I19,I23,I27,I32) / SUM(D10:I10,D14:I14,D19:I19,D23:I23,D27:I27,D32:I32))</f>
        <v>2.4927031311052068E-2</v>
      </c>
      <c r="J36" s="475">
        <f>(SUM(J10,J14,J19,J23,J27,J32) / SUM(J10,J14,J19,J23,J27,J32))</f>
        <v>1</v>
      </c>
    </row>
    <row r="43" spans="1:10">
      <c r="G43" s="400"/>
      <c r="H43" s="490"/>
    </row>
    <row r="44" spans="1:10">
      <c r="G44" s="400">
        <v>1155000</v>
      </c>
      <c r="H44" s="520" t="s">
        <v>838</v>
      </c>
    </row>
    <row r="45" spans="1:10">
      <c r="G45" s="400">
        <v>17225</v>
      </c>
      <c r="H45" s="520" t="s">
        <v>839</v>
      </c>
    </row>
    <row r="46" spans="1:10">
      <c r="G46" s="400">
        <v>2587042.39</v>
      </c>
      <c r="H46" s="522" t="s">
        <v>840</v>
      </c>
    </row>
    <row r="47" spans="1:10">
      <c r="G47" s="400">
        <f>SUM(G44:G46)</f>
        <v>3759267.39</v>
      </c>
      <c r="H47" s="490"/>
    </row>
    <row r="49" spans="7:7">
      <c r="G49" s="400">
        <f>+G47-G48</f>
        <v>3759267.39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ED325-DD47-45E5-8B59-C7CDE6DD1197}">
  <sheetPr>
    <tabColor theme="5" tint="0.79998168889431442"/>
  </sheetPr>
  <dimension ref="A1:P45"/>
  <sheetViews>
    <sheetView showGridLines="0" zoomScale="90" zoomScaleNormal="90" workbookViewId="0">
      <selection activeCell="H13" sqref="H13"/>
    </sheetView>
  </sheetViews>
  <sheetFormatPr baseColWidth="10" defaultColWidth="11.44140625" defaultRowHeight="14.4"/>
  <cols>
    <col min="1" max="1" width="10.109375" customWidth="1"/>
    <col min="2" max="2" width="25.6640625" bestFit="1" customWidth="1"/>
    <col min="3" max="4" width="17.44140625" bestFit="1" customWidth="1"/>
    <col min="5" max="5" width="14.33203125" bestFit="1" customWidth="1"/>
    <col min="6" max="6" width="16.5546875" bestFit="1" customWidth="1"/>
    <col min="7" max="7" width="16.33203125" bestFit="1" customWidth="1"/>
    <col min="8" max="8" width="20.88671875" bestFit="1" customWidth="1"/>
    <col min="9" max="9" width="18" bestFit="1" customWidth="1"/>
    <col min="10" max="10" width="16.5546875" bestFit="1" customWidth="1"/>
    <col min="11" max="11" width="18.6640625" customWidth="1"/>
    <col min="12" max="12" width="19.88671875" customWidth="1"/>
    <col min="13" max="13" width="16.109375" customWidth="1"/>
    <col min="14" max="14" width="18.5546875" customWidth="1"/>
    <col min="15" max="15" width="17" customWidth="1"/>
    <col min="16" max="18" width="15.44140625" bestFit="1" customWidth="1"/>
    <col min="19" max="19" width="14.44140625" bestFit="1" customWidth="1"/>
  </cols>
  <sheetData>
    <row r="1" spans="1:16" ht="21.6" customHeight="1">
      <c r="M1" s="2109" t="s">
        <v>185</v>
      </c>
      <c r="N1" s="2109"/>
      <c r="O1" s="2109"/>
      <c r="P1" s="2109"/>
    </row>
    <row r="2" spans="1:16" ht="15" thickBot="1">
      <c r="F2" s="181" t="s">
        <v>197</v>
      </c>
      <c r="G2" s="181"/>
      <c r="H2" s="181"/>
      <c r="I2" s="181"/>
      <c r="J2" s="181"/>
      <c r="K2" s="181" t="s">
        <v>199</v>
      </c>
      <c r="L2" s="181" t="s">
        <v>225</v>
      </c>
      <c r="M2" s="2109"/>
      <c r="N2" s="2109"/>
      <c r="O2" s="2109"/>
      <c r="P2" s="2109"/>
    </row>
    <row r="3" spans="1:16" ht="15.6" customHeight="1">
      <c r="B3" s="160" t="s">
        <v>761</v>
      </c>
      <c r="C3" s="62"/>
      <c r="D3" s="478"/>
      <c r="E3" s="483">
        <v>59</v>
      </c>
      <c r="F3" s="2122" t="s">
        <v>145</v>
      </c>
      <c r="G3" s="2137" t="s">
        <v>650</v>
      </c>
      <c r="H3" s="2137" t="s">
        <v>651</v>
      </c>
      <c r="I3" s="2137" t="s">
        <v>652</v>
      </c>
      <c r="J3" s="2122" t="s">
        <v>227</v>
      </c>
      <c r="K3" s="2124" t="s">
        <v>807</v>
      </c>
      <c r="L3" s="2124" t="s">
        <v>146</v>
      </c>
      <c r="M3" s="183"/>
      <c r="N3" s="183"/>
      <c r="O3" s="183"/>
      <c r="P3" s="183"/>
    </row>
    <row r="4" spans="1:16" ht="25.95" customHeight="1" thickBot="1">
      <c r="A4" s="152"/>
      <c r="B4" s="25" t="s">
        <v>29</v>
      </c>
      <c r="C4" s="25" t="s">
        <v>762</v>
      </c>
      <c r="D4" s="479" t="s">
        <v>763</v>
      </c>
      <c r="E4" s="479" t="s">
        <v>31</v>
      </c>
      <c r="F4" s="2123"/>
      <c r="G4" s="2138"/>
      <c r="H4" s="2138"/>
      <c r="I4" s="2138"/>
      <c r="J4" s="2123"/>
      <c r="K4" s="2125"/>
      <c r="L4" s="2125"/>
      <c r="M4" s="183"/>
      <c r="N4" s="183"/>
      <c r="O4" s="183"/>
      <c r="P4" s="183"/>
    </row>
    <row r="5" spans="1:16">
      <c r="A5">
        <v>1</v>
      </c>
      <c r="B5" s="254" t="s">
        <v>33</v>
      </c>
      <c r="C5" s="256">
        <f>SUM('budget (11)'!D2:D3)</f>
        <v>103385169</v>
      </c>
      <c r="D5" s="480">
        <v>103385169</v>
      </c>
      <c r="E5" s="480">
        <f>D5/E3</f>
        <v>1752291</v>
      </c>
      <c r="F5" s="258">
        <f>+'Finanzas 12.24'!F2</f>
        <v>94172341.829999998</v>
      </c>
      <c r="G5" s="258">
        <f>+'Finanzas 11.24'!G2</f>
        <v>94172341.829999998</v>
      </c>
      <c r="H5" s="258">
        <v>0</v>
      </c>
      <c r="I5" s="258"/>
      <c r="J5" s="258">
        <f>+G5-H5+I5</f>
        <v>94172341.829999998</v>
      </c>
      <c r="K5" s="259">
        <f>F5-J5</f>
        <v>0</v>
      </c>
      <c r="L5" s="259">
        <f>+D5-F5</f>
        <v>9212827.1700000018</v>
      </c>
      <c r="M5" s="183"/>
      <c r="N5" s="183"/>
      <c r="O5" s="183"/>
      <c r="P5" s="183"/>
    </row>
    <row r="6" spans="1:16">
      <c r="B6" s="115" t="s">
        <v>35</v>
      </c>
      <c r="C6" s="116">
        <f>SUM('budget (11)'!D11:D24)</f>
        <v>451758999.99999994</v>
      </c>
      <c r="D6" s="481">
        <v>451758999.99999994</v>
      </c>
      <c r="E6" s="481">
        <f>D6/$E$3</f>
        <v>7656932.20338983</v>
      </c>
      <c r="F6" s="132">
        <f>+'Finanza 01.25'!E4</f>
        <v>9219083.5899999999</v>
      </c>
      <c r="G6" s="132">
        <f>+'Finanza 01.25'!F4</f>
        <v>9219083.5899999999</v>
      </c>
      <c r="H6" s="132"/>
      <c r="I6" s="132"/>
      <c r="J6" s="132">
        <f>+G6-H6+I6</f>
        <v>9219083.5899999999</v>
      </c>
      <c r="K6" s="125">
        <f>F6-J6</f>
        <v>0</v>
      </c>
      <c r="L6" s="125">
        <f>+D6-F6</f>
        <v>442539916.40999997</v>
      </c>
      <c r="M6" s="183"/>
      <c r="N6" s="184"/>
      <c r="O6" s="183"/>
      <c r="P6" s="183"/>
    </row>
    <row r="7" spans="1:16" ht="13.95" customHeight="1">
      <c r="B7" s="112" t="s">
        <v>38</v>
      </c>
      <c r="C7" s="113">
        <f>SUM('budget (11)'!D25:D39)</f>
        <v>1265953920</v>
      </c>
      <c r="D7" s="170">
        <f>1447934796</f>
        <v>1447934796</v>
      </c>
      <c r="E7" s="170">
        <f>D7/$E$3</f>
        <v>24541267.728813559</v>
      </c>
      <c r="F7" s="133">
        <f>+'Finanza 01.25'!E5</f>
        <v>0</v>
      </c>
      <c r="G7" s="133">
        <f>+'Finanza 01.25'!F5</f>
        <v>0</v>
      </c>
      <c r="H7" s="133"/>
      <c r="I7" s="133"/>
      <c r="J7" s="133">
        <f t="shared" ref="J7:J10" si="0">+G7-H7+I7</f>
        <v>0</v>
      </c>
      <c r="K7" s="127">
        <f t="shared" ref="K7:K21" si="1">F7-J7</f>
        <v>0</v>
      </c>
      <c r="L7" s="127">
        <f>+D7-F7</f>
        <v>1447934796</v>
      </c>
      <c r="M7" s="183"/>
      <c r="N7" s="184"/>
      <c r="O7" s="183"/>
      <c r="P7" s="183"/>
    </row>
    <row r="8" spans="1:16">
      <c r="B8" s="115" t="s">
        <v>764</v>
      </c>
      <c r="C8" s="118">
        <v>0</v>
      </c>
      <c r="D8" s="171">
        <v>37993876</v>
      </c>
      <c r="E8" s="171">
        <f>D8/$E$3</f>
        <v>643964</v>
      </c>
      <c r="F8" s="134">
        <f>+'Finanza 01.25'!E8</f>
        <v>0</v>
      </c>
      <c r="G8" s="134">
        <f>+'Finanza 01.25'!F8</f>
        <v>0</v>
      </c>
      <c r="H8" s="134"/>
      <c r="I8" s="134"/>
      <c r="J8" s="134"/>
      <c r="K8" s="129"/>
      <c r="L8" s="129"/>
      <c r="M8" s="183"/>
      <c r="N8" s="184"/>
      <c r="O8" s="183"/>
      <c r="P8" s="183"/>
    </row>
    <row r="9" spans="1:16" ht="13.95" customHeight="1">
      <c r="B9" s="112" t="s">
        <v>148</v>
      </c>
      <c r="C9" s="113">
        <f>SUM('budget (11)'!D40:D41)</f>
        <v>171771292</v>
      </c>
      <c r="D9" s="170">
        <v>189969380</v>
      </c>
      <c r="E9" s="170">
        <f>D9/$E$3</f>
        <v>3219820</v>
      </c>
      <c r="F9" s="133">
        <f>+'Finanza 01.25'!E6</f>
        <v>3414662.0300000003</v>
      </c>
      <c r="G9" s="133">
        <f>+'Finanza 01.25'!F6</f>
        <v>3414662.0300000003</v>
      </c>
      <c r="H9" s="133">
        <f>+'CXP 01.25'!J31</f>
        <v>1770000</v>
      </c>
      <c r="I9" s="133"/>
      <c r="J9" s="133">
        <f>+G9-H9+I9</f>
        <v>1644662.0300000003</v>
      </c>
      <c r="K9" s="127">
        <f>F9-J9</f>
        <v>1770000</v>
      </c>
      <c r="L9" s="127">
        <f>+D9-F9</f>
        <v>186554717.97</v>
      </c>
      <c r="M9" s="183"/>
      <c r="N9" s="184"/>
      <c r="O9" s="183"/>
      <c r="P9" s="183"/>
    </row>
    <row r="10" spans="1:16">
      <c r="B10" s="115" t="s">
        <v>40</v>
      </c>
      <c r="C10" s="118">
        <f>SUM('budget (11)'!D42)</f>
        <v>34354258</v>
      </c>
      <c r="D10" s="171">
        <v>37993876</v>
      </c>
      <c r="E10" s="171">
        <f>D10/$E$3</f>
        <v>643964</v>
      </c>
      <c r="F10" s="134">
        <f>+'Finanza 01.25'!E7</f>
        <v>0</v>
      </c>
      <c r="G10" s="134">
        <f>+'Finanza 01.25'!F7</f>
        <v>0</v>
      </c>
      <c r="H10" s="134"/>
      <c r="I10" s="134"/>
      <c r="J10" s="134">
        <f t="shared" si="0"/>
        <v>0</v>
      </c>
      <c r="K10" s="129">
        <f t="shared" si="1"/>
        <v>0</v>
      </c>
      <c r="L10" s="129">
        <f>+D10-F10</f>
        <v>37993876</v>
      </c>
      <c r="M10" s="183"/>
      <c r="N10" s="184"/>
      <c r="O10" s="183"/>
      <c r="P10" s="183"/>
    </row>
    <row r="11" spans="1:16">
      <c r="B11" s="254" t="s">
        <v>41</v>
      </c>
      <c r="C11" s="261">
        <f t="shared" ref="C11:I11" si="2">SUM(C6:C10)</f>
        <v>1923838470</v>
      </c>
      <c r="D11" s="261">
        <f>SUM(D6:D10)</f>
        <v>2165650928</v>
      </c>
      <c r="E11" s="261">
        <f>SUM(E6:E10)</f>
        <v>36705947.93220339</v>
      </c>
      <c r="F11" s="262">
        <f t="shared" si="2"/>
        <v>12633745.620000001</v>
      </c>
      <c r="G11" s="262">
        <f t="shared" si="2"/>
        <v>12633745.620000001</v>
      </c>
      <c r="H11" s="262">
        <f t="shared" si="2"/>
        <v>1770000</v>
      </c>
      <c r="I11" s="262">
        <f t="shared" si="2"/>
        <v>0</v>
      </c>
      <c r="J11" s="262">
        <f>SUM(J6:J10)</f>
        <v>10863745.620000001</v>
      </c>
      <c r="K11" s="262">
        <f>SUM(K6:K10)</f>
        <v>1770000</v>
      </c>
      <c r="L11" s="262">
        <f>SUM(L6:L10)</f>
        <v>2115023306.3799999</v>
      </c>
      <c r="M11" s="183"/>
      <c r="N11" s="184"/>
      <c r="O11" s="183"/>
      <c r="P11" s="183"/>
    </row>
    <row r="12" spans="1:16">
      <c r="B12" s="112" t="s">
        <v>42</v>
      </c>
      <c r="C12" s="163">
        <f>SUM('budget (11)'!D43)</f>
        <v>137417034</v>
      </c>
      <c r="D12" s="175">
        <v>151975504</v>
      </c>
      <c r="E12" s="175">
        <f>D12/$E$3</f>
        <v>2575856</v>
      </c>
      <c r="F12" s="179">
        <f>+'Finanzas 12.24'!F9</f>
        <v>161175.97</v>
      </c>
      <c r="G12" s="179">
        <f>+'Finanzas 12.24'!G9</f>
        <v>161175.97</v>
      </c>
      <c r="H12" s="179"/>
      <c r="I12" s="179"/>
      <c r="J12" s="179">
        <f>+G12-H12+I12</f>
        <v>161175.97</v>
      </c>
      <c r="K12" s="179">
        <f t="shared" si="1"/>
        <v>0</v>
      </c>
      <c r="L12" s="179">
        <f>+D12-F12</f>
        <v>151814328.03</v>
      </c>
      <c r="M12" s="183"/>
      <c r="N12" s="184"/>
      <c r="O12" s="183"/>
      <c r="P12" s="183"/>
    </row>
    <row r="13" spans="1:16">
      <c r="B13" s="115" t="s">
        <v>43</v>
      </c>
      <c r="C13" s="165">
        <f>SUM('budget (11)'!D45:D46)</f>
        <v>281704919</v>
      </c>
      <c r="D13" s="176">
        <v>308130334</v>
      </c>
      <c r="E13" s="176">
        <f>D13/$E$3</f>
        <v>5222548.0338983051</v>
      </c>
      <c r="F13" s="178">
        <f>+'Finanza 01.25'!E10</f>
        <v>0</v>
      </c>
      <c r="G13" s="178">
        <f>+'Finanza 01.25'!F10</f>
        <v>0</v>
      </c>
      <c r="H13" s="178"/>
      <c r="I13" s="178"/>
      <c r="J13" s="178">
        <f t="shared" ref="J13:J16" si="3">+G13-H13+I13</f>
        <v>0</v>
      </c>
      <c r="K13" s="178">
        <f>F13-J13</f>
        <v>0</v>
      </c>
      <c r="L13" s="178">
        <f>+D13-F13</f>
        <v>308130334</v>
      </c>
      <c r="M13" s="183"/>
      <c r="N13" s="184"/>
      <c r="O13" s="183"/>
      <c r="P13" s="183"/>
    </row>
    <row r="14" spans="1:16">
      <c r="B14" s="112" t="s">
        <v>44</v>
      </c>
      <c r="C14" s="163">
        <f>SUM('budget (11)'!D47)</f>
        <v>67334346</v>
      </c>
      <c r="D14" s="175">
        <v>75797782</v>
      </c>
      <c r="E14" s="175">
        <f>D14/$E$3</f>
        <v>1284708.1694915255</v>
      </c>
      <c r="F14" s="179">
        <f>+'Finanza 01.25'!E11</f>
        <v>416598.08</v>
      </c>
      <c r="G14" s="179">
        <f>+'Finanza 01.25'!F11</f>
        <v>416598.08</v>
      </c>
      <c r="H14" s="179"/>
      <c r="I14" s="179"/>
      <c r="J14" s="179">
        <f t="shared" si="3"/>
        <v>416598.08</v>
      </c>
      <c r="K14" s="179">
        <f t="shared" si="1"/>
        <v>0</v>
      </c>
      <c r="L14" s="179">
        <f>+D14-F14</f>
        <v>75381183.920000002</v>
      </c>
      <c r="M14" s="183"/>
      <c r="N14" s="184"/>
      <c r="O14" s="183"/>
      <c r="P14" s="183"/>
    </row>
    <row r="15" spans="1:16">
      <c r="A15">
        <v>1</v>
      </c>
      <c r="B15" s="115" t="s">
        <v>45</v>
      </c>
      <c r="C15" s="165">
        <f>SUM('budget (11)'!D48:D49)</f>
        <v>51531387.949999996</v>
      </c>
      <c r="D15" s="176">
        <v>56990814</v>
      </c>
      <c r="E15" s="176">
        <f>D15/$E$3</f>
        <v>965946</v>
      </c>
      <c r="F15" s="178">
        <f>+'Finanza 01.25'!E12</f>
        <v>15932272.880000001</v>
      </c>
      <c r="G15" s="178">
        <f>+'Finanza 01.25'!F12</f>
        <v>12543220.300000001</v>
      </c>
      <c r="H15" s="178">
        <f>+'CXP 01.25'!J9+'CXP 01.25'!J17+'CXP 01.25'!J18+'CXP 01.25'!J22+'CXP 01.25'!J26+'CXP 01.25'!J30</f>
        <v>589316.09000000008</v>
      </c>
      <c r="I15" s="178">
        <f>+'ANTICIPOS 01.25'!D7+'ANTICIPOS 01.25'!D8+'ANTICIPOS 01.25'!D9</f>
        <v>1125761.25</v>
      </c>
      <c r="J15" s="178">
        <f>+G15-H15+I15</f>
        <v>13079665.460000001</v>
      </c>
      <c r="K15" s="178">
        <f>F15-J15</f>
        <v>2852607.42</v>
      </c>
      <c r="L15" s="178">
        <f>+D15-F15</f>
        <v>41058541.119999997</v>
      </c>
      <c r="M15" s="183"/>
      <c r="N15" s="184"/>
      <c r="O15" s="183"/>
      <c r="P15" s="183"/>
    </row>
    <row r="16" spans="1:16">
      <c r="B16" s="112" t="s">
        <v>46</v>
      </c>
      <c r="C16" s="163">
        <f>SUM('budget (11)'!D50)</f>
        <v>19238385</v>
      </c>
      <c r="D16" s="175">
        <v>21656506</v>
      </c>
      <c r="E16" s="175">
        <f>D16/$E$3</f>
        <v>367059.42372881353</v>
      </c>
      <c r="F16" s="179">
        <f>+'Finanza 01.25'!E13</f>
        <v>0</v>
      </c>
      <c r="G16" s="179">
        <f>+'Finanza 01.25'!F13</f>
        <v>0</v>
      </c>
      <c r="H16" s="179"/>
      <c r="I16" s="179"/>
      <c r="J16" s="179">
        <f t="shared" si="3"/>
        <v>0</v>
      </c>
      <c r="K16" s="179">
        <f t="shared" si="1"/>
        <v>0</v>
      </c>
      <c r="L16" s="179">
        <f>+D16-F16</f>
        <v>21656506</v>
      </c>
      <c r="M16" s="183"/>
      <c r="N16" s="184"/>
      <c r="O16" s="183"/>
      <c r="P16" s="183"/>
    </row>
    <row r="17" spans="2:16">
      <c r="B17" s="254" t="s">
        <v>47</v>
      </c>
      <c r="C17" s="261">
        <f t="shared" ref="C17:K17" si="4">SUM(C12:C16)</f>
        <v>557226071.95000005</v>
      </c>
      <c r="D17" s="261">
        <f t="shared" si="4"/>
        <v>614550940</v>
      </c>
      <c r="E17" s="261">
        <f>SUM(E12:E16)</f>
        <v>10416117.627118645</v>
      </c>
      <c r="F17" s="262">
        <f>SUM(F12:F16)</f>
        <v>16510046.930000002</v>
      </c>
      <c r="G17" s="262">
        <f t="shared" si="4"/>
        <v>13120994.350000001</v>
      </c>
      <c r="H17" s="262">
        <f t="shared" si="4"/>
        <v>589316.09000000008</v>
      </c>
      <c r="I17" s="262">
        <f t="shared" si="4"/>
        <v>1125761.25</v>
      </c>
      <c r="J17" s="262">
        <f t="shared" si="4"/>
        <v>13657439.510000002</v>
      </c>
      <c r="K17" s="262">
        <f t="shared" si="4"/>
        <v>2852607.42</v>
      </c>
      <c r="L17" s="262">
        <f t="shared" ref="L17" si="5">SUM(L12:L16)</f>
        <v>598040893.06999993</v>
      </c>
      <c r="M17" s="183"/>
      <c r="N17" s="184"/>
      <c r="O17" s="183"/>
      <c r="P17" s="183"/>
    </row>
    <row r="18" spans="2:16">
      <c r="B18" s="112" t="s">
        <v>48</v>
      </c>
      <c r="C18" s="401">
        <f>SUM('budget (11)'!D51:D52)</f>
        <v>15000000</v>
      </c>
      <c r="D18" s="482">
        <v>30500000</v>
      </c>
      <c r="E18" s="482">
        <f>D18/$E$3</f>
        <v>516949.15254237287</v>
      </c>
      <c r="F18" s="402">
        <f>+'Finanza 01.25'!E14</f>
        <v>16827427.559999999</v>
      </c>
      <c r="G18" s="402">
        <f>+'Finanza 01.25'!F14</f>
        <v>12715384.369999999</v>
      </c>
      <c r="H18" s="402"/>
      <c r="I18" s="402">
        <f>+'ANTICIPOS 01.25'!D10</f>
        <v>352775.8</v>
      </c>
      <c r="J18" s="402">
        <f>+G18-H18+I18</f>
        <v>13068160.17</v>
      </c>
      <c r="K18" s="179">
        <f>F18-J18</f>
        <v>3759267.3899999987</v>
      </c>
      <c r="L18" s="179">
        <f>+D18-F18</f>
        <v>13672572.440000001</v>
      </c>
      <c r="M18" s="183"/>
      <c r="N18" s="184"/>
      <c r="O18" s="183"/>
      <c r="P18" s="185"/>
    </row>
    <row r="19" spans="2:16">
      <c r="B19" s="115" t="s">
        <v>49</v>
      </c>
      <c r="C19" s="165">
        <f>SUM('budget (11)'!D4:D10)</f>
        <v>20789999.999999996</v>
      </c>
      <c r="D19" s="176">
        <v>20789999.999999996</v>
      </c>
      <c r="E19" s="176">
        <f>D19/$E$3</f>
        <v>352372.88135593216</v>
      </c>
      <c r="F19" s="178">
        <f>+'Finanza 01.25'!E3</f>
        <v>21799763.890000001</v>
      </c>
      <c r="G19" s="178">
        <f>+'Finanza 01.25'!F3</f>
        <v>21407665.390000001</v>
      </c>
      <c r="H19" s="178">
        <f>+'CXP 01.25'!J13</f>
        <v>60314.2</v>
      </c>
      <c r="I19" s="178">
        <f>+'ANTICIPOS 01.25'!D4+'ANTICIPOS 01.25'!D5+'ANTICIPOS 01.25'!D6</f>
        <v>351250</v>
      </c>
      <c r="J19" s="178">
        <f>+G19-H19+I19</f>
        <v>21698601.190000001</v>
      </c>
      <c r="K19" s="178">
        <f>F19-J19</f>
        <v>101162.69999999925</v>
      </c>
      <c r="L19" s="178">
        <f>+D19-F19</f>
        <v>-1009763.8900000043</v>
      </c>
      <c r="M19" s="183"/>
      <c r="N19" s="184"/>
      <c r="O19" s="183"/>
      <c r="P19" s="183"/>
    </row>
    <row r="20" spans="2:16">
      <c r="B20" s="112" t="s">
        <v>50</v>
      </c>
      <c r="C20" s="163">
        <f>SUM('budget (11)'!D54)</f>
        <v>192383847</v>
      </c>
      <c r="D20" s="175">
        <v>216565093</v>
      </c>
      <c r="E20" s="175">
        <f>D20/$E$3</f>
        <v>3670594.7966101696</v>
      </c>
      <c r="F20" s="179">
        <f>+'Finanza 01.25'!E16</f>
        <v>0</v>
      </c>
      <c r="G20" s="179">
        <f>+'Finanza 01.25'!F16</f>
        <v>0</v>
      </c>
      <c r="H20" s="179"/>
      <c r="I20" s="179"/>
      <c r="J20" s="179">
        <f t="shared" ref="J20:J21" si="6">+G20-H20+I20</f>
        <v>0</v>
      </c>
      <c r="K20" s="179">
        <f t="shared" si="1"/>
        <v>0</v>
      </c>
      <c r="L20" s="179">
        <f>+D20-F20</f>
        <v>216565093</v>
      </c>
      <c r="M20" s="183"/>
      <c r="N20" s="184"/>
      <c r="O20" s="183"/>
      <c r="P20" s="183"/>
    </row>
    <row r="21" spans="2:16">
      <c r="B21" s="115" t="s">
        <v>51</v>
      </c>
      <c r="C21" s="165">
        <f>SUM('budget (11)'!D53)</f>
        <v>19238385</v>
      </c>
      <c r="D21" s="176">
        <v>21656509</v>
      </c>
      <c r="E21" s="176">
        <f>D21/$E$3</f>
        <v>367059.4745762712</v>
      </c>
      <c r="F21" s="178">
        <f>+'Finanza 01.25'!E15</f>
        <v>0</v>
      </c>
      <c r="G21" s="178">
        <f>+'Finanza 01.25'!F15</f>
        <v>0</v>
      </c>
      <c r="H21" s="178"/>
      <c r="I21" s="178"/>
      <c r="J21" s="178">
        <f t="shared" si="6"/>
        <v>0</v>
      </c>
      <c r="K21" s="178">
        <f t="shared" si="1"/>
        <v>0</v>
      </c>
      <c r="L21" s="178">
        <f>+D21-F21</f>
        <v>21656509</v>
      </c>
      <c r="M21" s="183"/>
      <c r="N21" s="184"/>
      <c r="O21" s="183"/>
      <c r="P21" s="183"/>
    </row>
    <row r="22" spans="2:16">
      <c r="B22" s="254" t="s">
        <v>52</v>
      </c>
      <c r="C22" s="261">
        <f t="shared" ref="C22:L22" si="7">SUM(C18:C21)</f>
        <v>247412232</v>
      </c>
      <c r="D22" s="261">
        <f t="shared" si="7"/>
        <v>289511602</v>
      </c>
      <c r="E22" s="261">
        <f t="shared" si="7"/>
        <v>4906976.3050847454</v>
      </c>
      <c r="F22" s="262">
        <f t="shared" si="7"/>
        <v>38627191.450000003</v>
      </c>
      <c r="G22" s="262">
        <f t="shared" si="7"/>
        <v>34123049.759999998</v>
      </c>
      <c r="H22" s="262">
        <f t="shared" si="7"/>
        <v>60314.2</v>
      </c>
      <c r="I22" s="262">
        <f t="shared" si="7"/>
        <v>704025.8</v>
      </c>
      <c r="J22" s="262">
        <f t="shared" si="7"/>
        <v>34766761.359999999</v>
      </c>
      <c r="K22" s="262">
        <f t="shared" si="7"/>
        <v>3860430.089999998</v>
      </c>
      <c r="L22" s="262">
        <f t="shared" si="7"/>
        <v>250884410.55000001</v>
      </c>
      <c r="M22" s="183"/>
      <c r="N22" s="184"/>
      <c r="O22" s="183"/>
      <c r="P22" s="183"/>
    </row>
    <row r="23" spans="2:16" ht="18.600000000000001" thickBot="1">
      <c r="B23" s="333" t="s">
        <v>229</v>
      </c>
      <c r="C23" s="331">
        <f>C5+C11+C17+C22</f>
        <v>2831861942.9499998</v>
      </c>
      <c r="D23" s="331">
        <f>D5+D11+D17+D22</f>
        <v>3173098639</v>
      </c>
      <c r="E23" s="331">
        <f>E5+E11+E17+E22</f>
        <v>53781332.864406779</v>
      </c>
      <c r="F23" s="329">
        <f t="shared" ref="F23:L23" si="8">F22+F17+F11+F5</f>
        <v>161943325.82999998</v>
      </c>
      <c r="G23" s="329">
        <f t="shared" si="8"/>
        <v>154050131.56</v>
      </c>
      <c r="H23" s="329">
        <f t="shared" si="8"/>
        <v>2419630.29</v>
      </c>
      <c r="I23" s="329">
        <f t="shared" si="8"/>
        <v>1829787.05</v>
      </c>
      <c r="J23" s="329">
        <f>J22+J17+J11+J5</f>
        <v>153460288.31999999</v>
      </c>
      <c r="K23" s="329">
        <f>K22+K17+K11+K5</f>
        <v>8483037.5099999979</v>
      </c>
      <c r="L23" s="329">
        <f t="shared" si="8"/>
        <v>2973161437.1700001</v>
      </c>
      <c r="M23" s="183"/>
      <c r="N23" s="184"/>
      <c r="O23" s="183"/>
      <c r="P23" s="183"/>
    </row>
    <row r="24" spans="2:16" ht="15" thickBot="1">
      <c r="F24" s="369"/>
      <c r="G24" s="369"/>
      <c r="H24" s="369"/>
      <c r="I24" s="369"/>
      <c r="J24" s="369"/>
      <c r="K24" s="320"/>
      <c r="L24" s="368"/>
    </row>
    <row r="25" spans="2:16" ht="15" thickBot="1">
      <c r="D25" s="320"/>
      <c r="F25" s="368"/>
      <c r="G25" s="368"/>
      <c r="H25" s="434" t="s">
        <v>653</v>
      </c>
      <c r="I25" s="435">
        <f>+'BCE 01.25'!C39</f>
        <v>159695773.63999999</v>
      </c>
      <c r="J25" s="368">
        <v>160000000</v>
      </c>
      <c r="K25" s="142"/>
      <c r="L25" s="108"/>
      <c r="N25" s="186" t="s">
        <v>189</v>
      </c>
      <c r="O25" s="190">
        <v>2831861942.3920002</v>
      </c>
    </row>
    <row r="26" spans="2:16" ht="15" thickBot="1">
      <c r="D26" s="370"/>
      <c r="E26" s="320"/>
      <c r="F26" s="474"/>
      <c r="H26" s="436" t="s">
        <v>654</v>
      </c>
      <c r="I26" s="437">
        <f>-'BCE 01.25'!C9-'BCE 01.25'!C10-'BCE 01.25'!C12-'BCE 01.25'!C13-'BCE 01.25'!C11</f>
        <v>-7570412.7199999997</v>
      </c>
      <c r="J26" s="108">
        <f>J25-J23</f>
        <v>6539711.6800000072</v>
      </c>
      <c r="K26" s="320"/>
      <c r="N26" s="188" t="s">
        <v>190</v>
      </c>
      <c r="O26" s="189">
        <f>C23</f>
        <v>2831861942.9499998</v>
      </c>
    </row>
    <row r="27" spans="2:16" ht="15" thickBot="1">
      <c r="C27" s="489"/>
      <c r="D27" s="370"/>
      <c r="F27" s="474"/>
      <c r="H27" s="441" t="s">
        <v>655</v>
      </c>
      <c r="I27" s="442">
        <f>+'BCE 01.25'!C30+'BCE 01.25'!C31+'BCE 01.25'!C32</f>
        <v>581647.59</v>
      </c>
      <c r="J27" s="445">
        <f>+K23</f>
        <v>8483037.5099999979</v>
      </c>
      <c r="K27" s="320"/>
      <c r="N27" s="187" t="s">
        <v>191</v>
      </c>
      <c r="O27" s="191">
        <f>O25-O26</f>
        <v>-0.55799961090087891</v>
      </c>
    </row>
    <row r="28" spans="2:16">
      <c r="C28" s="489"/>
      <c r="D28" s="370"/>
      <c r="F28" s="474"/>
      <c r="H28" s="441" t="s">
        <v>808</v>
      </c>
      <c r="I28" s="442">
        <f>+'BCE 01.25'!C29</f>
        <v>597566.75</v>
      </c>
      <c r="J28" s="445"/>
      <c r="K28" s="320"/>
      <c r="N28" s="183"/>
      <c r="O28" s="508"/>
    </row>
    <row r="29" spans="2:16" ht="15" thickBot="1">
      <c r="C29" s="369"/>
      <c r="D29" s="370"/>
      <c r="H29" s="438" t="s">
        <v>656</v>
      </c>
      <c r="I29" s="439">
        <f>SUM(I25:I28)</f>
        <v>153304575.25999999</v>
      </c>
      <c r="J29" s="445">
        <f>J26-J27</f>
        <v>-1943325.8299999908</v>
      </c>
    </row>
    <row r="30" spans="2:16">
      <c r="C30" s="161"/>
      <c r="D30" s="370"/>
      <c r="H30" s="440" t="s">
        <v>657</v>
      </c>
      <c r="I30" s="445">
        <f>+J23</f>
        <v>153460288.31999999</v>
      </c>
    </row>
    <row r="31" spans="2:16">
      <c r="H31" s="443" t="s">
        <v>658</v>
      </c>
      <c r="I31" s="443">
        <f>+I29-I30</f>
        <v>-155713.06000000238</v>
      </c>
      <c r="J31" s="444">
        <f>+'BCE 01.25'!C40+'BCE 01.25'!C41</f>
        <v>155713.12</v>
      </c>
      <c r="K31" s="444">
        <f>+I31+J31</f>
        <v>5.9999997611157596E-2</v>
      </c>
    </row>
    <row r="34" spans="2:5">
      <c r="B34" s="254" t="s">
        <v>47</v>
      </c>
    </row>
    <row r="35" spans="2:5">
      <c r="B35" s="112" t="s">
        <v>48</v>
      </c>
    </row>
    <row r="36" spans="2:5">
      <c r="B36" s="115" t="s">
        <v>49</v>
      </c>
    </row>
    <row r="37" spans="2:5">
      <c r="B37" s="112" t="s">
        <v>50</v>
      </c>
    </row>
    <row r="38" spans="2:5">
      <c r="B38" s="115" t="s">
        <v>51</v>
      </c>
    </row>
    <row r="39" spans="2:5">
      <c r="B39" s="254" t="s">
        <v>52</v>
      </c>
    </row>
    <row r="40" spans="2:5" ht="18.600000000000001" thickBot="1">
      <c r="B40" s="333" t="s">
        <v>229</v>
      </c>
    </row>
    <row r="42" spans="2:5" ht="15" thickBot="1"/>
    <row r="43" spans="2:5">
      <c r="B43" s="335" t="s">
        <v>234</v>
      </c>
      <c r="C43" s="336">
        <v>160000000</v>
      </c>
      <c r="D43" s="336"/>
      <c r="E43" s="336"/>
    </row>
    <row r="44" spans="2:5">
      <c r="B44" s="112" t="s">
        <v>153</v>
      </c>
      <c r="C44" s="403">
        <f>J23+J27</f>
        <v>161943325.82999998</v>
      </c>
      <c r="D44" s="403"/>
      <c r="E44" s="403">
        <f>C44/C43</f>
        <v>1.0121457864374999</v>
      </c>
    </row>
    <row r="45" spans="2:5" ht="15" thickBot="1">
      <c r="B45" s="339" t="s">
        <v>154</v>
      </c>
      <c r="C45" s="340">
        <f>C43-C44</f>
        <v>-1943325.8299999833</v>
      </c>
      <c r="D45" s="340"/>
      <c r="E45" s="340">
        <f>C45/C43</f>
        <v>-1.2145786437499896E-2</v>
      </c>
    </row>
  </sheetData>
  <mergeCells count="8">
    <mergeCell ref="M1:P2"/>
    <mergeCell ref="F3:F4"/>
    <mergeCell ref="G3:G4"/>
    <mergeCell ref="H3:H4"/>
    <mergeCell ref="I3:I4"/>
    <mergeCell ref="J3:J4"/>
    <mergeCell ref="K3:K4"/>
    <mergeCell ref="L3:L4"/>
  </mergeCells>
  <conditionalFormatting sqref="M6:M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M9">
    <cfRule type="iconSet" priority="1">
      <iconSet iconSet="3Arrows">
        <cfvo type="percent" val="0"/>
        <cfvo type="percent" val="45"/>
        <cfvo type="percent" val="80"/>
      </iconSet>
    </cfRule>
  </conditionalFormatting>
  <conditionalFormatting sqref="M13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M15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M19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M21">
    <cfRule type="iconSet" priority="2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35C81-F949-43E1-97B9-01F4EBF7B162}">
  <dimension ref="B2:H45"/>
  <sheetViews>
    <sheetView showGridLines="0" topLeftCell="A39" zoomScale="90" zoomScaleNormal="90" workbookViewId="0">
      <selection activeCell="H13" sqref="H13"/>
    </sheetView>
  </sheetViews>
  <sheetFormatPr baseColWidth="10" defaultColWidth="11.44140625" defaultRowHeight="14.4"/>
  <cols>
    <col min="1" max="1" width="18.6640625" customWidth="1"/>
    <col min="2" max="2" width="39.88671875" bestFit="1" customWidth="1"/>
    <col min="3" max="3" width="18.44140625" bestFit="1" customWidth="1"/>
    <col min="4" max="4" width="18" bestFit="1" customWidth="1"/>
    <col min="5" max="5" width="16.88671875" bestFit="1" customWidth="1"/>
    <col min="6" max="6" width="18.6640625" customWidth="1"/>
    <col min="7" max="7" width="18.5546875" customWidth="1"/>
    <col min="8" max="8" width="17.5546875" bestFit="1" customWidth="1"/>
  </cols>
  <sheetData>
    <row r="2" spans="2:8">
      <c r="D2">
        <v>59.9</v>
      </c>
    </row>
    <row r="3" spans="2:8">
      <c r="B3" s="142">
        <v>160000000</v>
      </c>
      <c r="C3" s="162">
        <f>B3-C4</f>
        <v>65967960.159999996</v>
      </c>
      <c r="D3" s="162">
        <f>C3-(SUM(D5:D8))</f>
        <v>41084982.207438283</v>
      </c>
    </row>
    <row r="4" spans="2:8" ht="15" thickBot="1">
      <c r="B4" s="284" t="s">
        <v>259</v>
      </c>
      <c r="C4" s="142">
        <v>94032039.840000004</v>
      </c>
      <c r="D4" s="142"/>
    </row>
    <row r="5" spans="2:8" ht="15.6" thickTop="1" thickBot="1">
      <c r="B5" s="284" t="s">
        <v>260</v>
      </c>
      <c r="C5" s="142"/>
      <c r="D5" s="162">
        <f>D10*$D$2</f>
        <v>9215810.2113617156</v>
      </c>
    </row>
    <row r="6" spans="2:8" ht="15.6" thickTop="1" thickBot="1">
      <c r="B6" s="285" t="s">
        <v>261</v>
      </c>
      <c r="C6" s="142"/>
      <c r="D6" s="162">
        <f t="shared" ref="D6:D8" si="0">D11*$D$2</f>
        <v>781278.0959999999</v>
      </c>
    </row>
    <row r="7" spans="2:8" ht="15.6" thickTop="1" thickBot="1">
      <c r="B7" s="285" t="s">
        <v>149</v>
      </c>
      <c r="C7" s="142"/>
      <c r="D7" s="162">
        <f t="shared" si="0"/>
        <v>11511123.645199999</v>
      </c>
    </row>
    <row r="8" spans="2:8" ht="15.6" thickTop="1" thickBot="1">
      <c r="B8" s="285" t="s">
        <v>262</v>
      </c>
      <c r="C8" s="142"/>
      <c r="D8" s="162">
        <f t="shared" si="0"/>
        <v>3374766</v>
      </c>
    </row>
    <row r="9" spans="2:8" ht="15" thickTop="1"/>
    <row r="10" spans="2:8">
      <c r="D10" s="142">
        <v>153853.25895428573</v>
      </c>
    </row>
    <row r="11" spans="2:8">
      <c r="D11" s="142">
        <v>13043.039999999999</v>
      </c>
    </row>
    <row r="12" spans="2:8">
      <c r="D12" s="142">
        <v>192172.348</v>
      </c>
    </row>
    <row r="13" spans="2:8">
      <c r="D13" s="142">
        <v>56340</v>
      </c>
    </row>
    <row r="16" spans="2:8" ht="31.2">
      <c r="B16" s="342"/>
      <c r="C16" s="343" t="s">
        <v>263</v>
      </c>
      <c r="D16" s="344" t="s">
        <v>880</v>
      </c>
      <c r="E16" s="343">
        <v>45689</v>
      </c>
      <c r="F16" s="343">
        <v>45717</v>
      </c>
      <c r="G16" s="343">
        <v>45748</v>
      </c>
      <c r="H16" s="343">
        <v>45778</v>
      </c>
    </row>
    <row r="17" spans="2:8" ht="15.6">
      <c r="B17" s="345" t="s">
        <v>265</v>
      </c>
      <c r="C17" s="346">
        <v>160000000</v>
      </c>
      <c r="D17" s="347"/>
      <c r="E17" s="347"/>
      <c r="F17" s="347"/>
      <c r="G17" s="347"/>
      <c r="H17" s="347"/>
    </row>
    <row r="18" spans="2:8" ht="15.6">
      <c r="B18" s="345" t="s">
        <v>266</v>
      </c>
      <c r="C18" s="152"/>
      <c r="D18" s="348">
        <f>C17-D19</f>
        <v>6539711.6799999774</v>
      </c>
      <c r="E18" s="348">
        <f>D18-E19</f>
        <v>-489058.44000002183</v>
      </c>
      <c r="F18" s="348">
        <f>E18-F19</f>
        <v>-11926100.830000022</v>
      </c>
      <c r="G18" s="348">
        <f t="shared" ref="G18:H18" si="1">F18-G19</f>
        <v>-15826100.830000022</v>
      </c>
      <c r="H18" s="348">
        <f t="shared" si="1"/>
        <v>-20476100.830000021</v>
      </c>
    </row>
    <row r="19" spans="2:8" ht="15.6">
      <c r="B19" s="345" t="s">
        <v>267</v>
      </c>
      <c r="C19" s="349"/>
      <c r="D19" s="346">
        <f>SUM(D21:D33)</f>
        <v>153460288.32000002</v>
      </c>
      <c r="E19" s="346">
        <f>SUM(E21:E33)</f>
        <v>7028770.1199999992</v>
      </c>
      <c r="F19" s="346">
        <f>SUM(F21:F33)</f>
        <v>11437042.390000001</v>
      </c>
      <c r="G19" s="346">
        <f t="shared" ref="G19:H19" si="2">SUM(G21:G33)</f>
        <v>3900000</v>
      </c>
      <c r="H19" s="346">
        <f t="shared" si="2"/>
        <v>4650000</v>
      </c>
    </row>
    <row r="20" spans="2:8" ht="2.4" customHeight="1">
      <c r="B20" s="350"/>
      <c r="C20" s="351"/>
      <c r="D20" s="352"/>
      <c r="E20" s="352"/>
      <c r="F20" s="352"/>
      <c r="G20" s="352"/>
      <c r="H20" s="352"/>
    </row>
    <row r="21" spans="2:8" ht="15.6">
      <c r="B21" s="353" t="s">
        <v>259</v>
      </c>
      <c r="C21" s="354"/>
      <c r="D21" s="355">
        <f>+'PRESENTACIÓN 01-25'!J5</f>
        <v>94172341.829999998</v>
      </c>
      <c r="E21" s="355">
        <f>+'PRESENTACIÓN 11-24'!K5</f>
        <v>0</v>
      </c>
      <c r="F21" s="355"/>
      <c r="G21" s="355"/>
      <c r="H21" s="355"/>
    </row>
    <row r="22" spans="2:8" ht="15.6">
      <c r="B22" s="356" t="s">
        <v>260</v>
      </c>
      <c r="C22" s="349"/>
      <c r="D22" s="346">
        <f>+'PRESENTACIÓN 01-25'!J19</f>
        <v>21698601.190000001</v>
      </c>
      <c r="E22" s="346">
        <f>+'PRESENTACIÓN 01-25'!K19</f>
        <v>101162.69999999925</v>
      </c>
      <c r="F22" s="346"/>
      <c r="G22" s="346"/>
      <c r="H22" s="346"/>
    </row>
    <row r="23" spans="2:8" ht="15.6">
      <c r="B23" s="356" t="s">
        <v>766</v>
      </c>
      <c r="C23" s="354"/>
      <c r="D23" s="355">
        <f>+'PRESENTACIÓN 01-25'!J18</f>
        <v>13068160.17</v>
      </c>
      <c r="E23" s="355">
        <f>+'CXP 01.25'!G44</f>
        <v>1155000</v>
      </c>
      <c r="F23" s="355">
        <f>+'CXP 01.25'!G46</f>
        <v>2587042.39</v>
      </c>
      <c r="G23" s="355"/>
      <c r="H23" s="355"/>
    </row>
    <row r="24" spans="2:8" ht="15.6">
      <c r="B24" s="356" t="s">
        <v>271</v>
      </c>
      <c r="C24" s="349"/>
      <c r="D24" s="357">
        <f>+'PRESENTACIÓN 01-25'!J6</f>
        <v>9219083.5899999999</v>
      </c>
      <c r="E24" s="346">
        <f>+'PRESENTACIÓN 11-24'!K6</f>
        <v>0</v>
      </c>
      <c r="F24" s="346"/>
      <c r="G24" s="346"/>
      <c r="H24" s="346"/>
    </row>
    <row r="25" spans="2:8" ht="15.6">
      <c r="B25" s="356" t="s">
        <v>449</v>
      </c>
      <c r="C25" s="354"/>
      <c r="D25" s="355">
        <f>+'PRESENTACIÓN 01-25'!J15</f>
        <v>13079665.460000001</v>
      </c>
      <c r="E25" s="355">
        <f>+'PRESENTACIÓN 01-25'!K15</f>
        <v>2852607.42</v>
      </c>
      <c r="F25" s="355">
        <v>3600000</v>
      </c>
      <c r="G25" s="355">
        <v>1650000</v>
      </c>
      <c r="H25" s="355">
        <v>1650000</v>
      </c>
    </row>
    <row r="26" spans="2:8" ht="15.6">
      <c r="B26" s="356" t="s">
        <v>810</v>
      </c>
      <c r="C26" s="349"/>
      <c r="D26" s="346">
        <f>+'PRESENTACIÓN 01-25'!J14</f>
        <v>416598.08</v>
      </c>
      <c r="E26" s="346"/>
      <c r="F26" s="346"/>
      <c r="G26" s="346"/>
      <c r="H26" s="346"/>
    </row>
    <row r="27" spans="2:8" ht="3.6" customHeight="1">
      <c r="B27" s="359"/>
      <c r="C27" s="360"/>
      <c r="D27" s="361"/>
      <c r="E27" s="361"/>
      <c r="F27" s="361"/>
      <c r="G27" s="361"/>
      <c r="H27" s="361"/>
    </row>
    <row r="28" spans="2:8" ht="15.6">
      <c r="B28" s="362" t="s">
        <v>767</v>
      </c>
      <c r="C28" s="484"/>
      <c r="D28" s="485">
        <f>+'PRESENTACIÓN 01-25'!J9+'PRESENTACIÓN 01-25'!J12</f>
        <v>1805838.0000000002</v>
      </c>
      <c r="E28" s="485">
        <f>+'PRESENTACIÓN 01-25'!K9</f>
        <v>1770000</v>
      </c>
      <c r="F28" s="485">
        <v>500000</v>
      </c>
      <c r="G28" s="485">
        <v>500000</v>
      </c>
      <c r="H28" s="485">
        <v>1000000</v>
      </c>
    </row>
    <row r="29" spans="2:8" ht="15.6">
      <c r="B29" s="362" t="s">
        <v>768</v>
      </c>
      <c r="C29" s="484"/>
      <c r="D29" s="485"/>
      <c r="E29" s="485">
        <v>500000</v>
      </c>
      <c r="F29" s="485">
        <v>500000</v>
      </c>
      <c r="G29" s="485">
        <v>500000</v>
      </c>
      <c r="H29" s="485">
        <v>750000</v>
      </c>
    </row>
    <row r="30" spans="2:8" ht="15.6">
      <c r="B30" s="486" t="s">
        <v>769</v>
      </c>
      <c r="C30" s="487"/>
      <c r="D30" s="485">
        <f>+'PRESENTACIÓN 01-25'!J13</f>
        <v>0</v>
      </c>
      <c r="E30" s="488">
        <f>+'PRESENTACIÓN 01-25'!K13+650000</f>
        <v>650000</v>
      </c>
      <c r="F30" s="488">
        <v>650000</v>
      </c>
      <c r="G30" s="488">
        <v>650000</v>
      </c>
      <c r="H30" s="488">
        <v>650000</v>
      </c>
    </row>
    <row r="31" spans="2:8" ht="15.6">
      <c r="B31" s="362" t="s">
        <v>770</v>
      </c>
      <c r="C31" s="484"/>
      <c r="D31" s="485"/>
      <c r="E31" s="485"/>
      <c r="F31" s="485">
        <v>600000</v>
      </c>
      <c r="G31" s="485">
        <v>600000</v>
      </c>
      <c r="H31" s="485">
        <v>600000</v>
      </c>
    </row>
    <row r="32" spans="2:8" ht="15.6">
      <c r="B32" s="362" t="s">
        <v>273</v>
      </c>
      <c r="C32" s="349"/>
      <c r="D32" s="346"/>
      <c r="E32" s="346"/>
      <c r="F32" s="346"/>
      <c r="G32" s="346"/>
      <c r="H32" s="346"/>
    </row>
    <row r="33" spans="2:6" ht="15.6">
      <c r="B33" s="362" t="s">
        <v>274</v>
      </c>
      <c r="C33" s="365"/>
      <c r="D33" s="355"/>
      <c r="E33" s="355"/>
      <c r="F33" s="355">
        <v>3000000</v>
      </c>
    </row>
    <row r="34" spans="2:6">
      <c r="C34" s="298"/>
      <c r="D34" s="299"/>
    </row>
    <row r="35" spans="2:6">
      <c r="E35" s="162"/>
    </row>
    <row r="41" spans="2:6">
      <c r="B41" s="142">
        <v>4837716.2100000009</v>
      </c>
    </row>
    <row r="42" spans="2:6">
      <c r="B42" s="142">
        <v>6800000</v>
      </c>
      <c r="C42" t="s">
        <v>230</v>
      </c>
    </row>
    <row r="43" spans="2:6">
      <c r="B43" s="142">
        <v>8480849.7899999991</v>
      </c>
      <c r="C43" t="s">
        <v>231</v>
      </c>
    </row>
    <row r="44" spans="2:6">
      <c r="B44" s="142">
        <v>2390947.54</v>
      </c>
      <c r="C44" t="s">
        <v>232</v>
      </c>
    </row>
    <row r="45" spans="2:6">
      <c r="B45" s="162">
        <f>SUM(B41:B44)</f>
        <v>22509513.539999999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6E9AD-1FFC-4082-BEDE-7496AD9E7107}">
  <dimension ref="A1:G49"/>
  <sheetViews>
    <sheetView showGridLines="0" topLeftCell="A4" zoomScaleNormal="100" workbookViewId="0">
      <selection activeCell="H13" sqref="H13"/>
    </sheetView>
  </sheetViews>
  <sheetFormatPr baseColWidth="10" defaultColWidth="8" defaultRowHeight="11.4"/>
  <cols>
    <col min="1" max="1" width="1.33203125" style="490" customWidth="1"/>
    <col min="2" max="2" width="39.5546875" style="490" customWidth="1"/>
    <col min="3" max="3" width="13.33203125" style="490" customWidth="1"/>
    <col min="4" max="4" width="7.6640625" style="490" customWidth="1"/>
    <col min="5" max="5" width="13.44140625" style="490" bestFit="1" customWidth="1"/>
    <col min="6" max="6" width="14.109375" style="490" bestFit="1" customWidth="1"/>
    <col min="7" max="7" width="13.109375" style="521" bestFit="1" customWidth="1"/>
    <col min="8" max="8" width="12.33203125" style="490" bestFit="1" customWidth="1"/>
    <col min="9" max="9" width="13" style="490" bestFit="1" customWidth="1"/>
    <col min="10" max="16384" width="8" style="490"/>
  </cols>
  <sheetData>
    <row r="1" spans="1:3" s="497" customFormat="1" ht="16.649999999999999" customHeight="1">
      <c r="A1" s="1909" t="s">
        <v>235</v>
      </c>
      <c r="B1" s="1909"/>
      <c r="C1" s="1909"/>
    </row>
    <row r="2" spans="1:3" s="496" customFormat="1" ht="14.4" customHeight="1">
      <c r="A2" s="1910" t="s">
        <v>236</v>
      </c>
      <c r="B2" s="1910"/>
      <c r="C2" s="1910"/>
    </row>
    <row r="3" spans="1:3" s="496" customFormat="1" ht="14.4" customHeight="1">
      <c r="A3" s="1910" t="s">
        <v>881</v>
      </c>
      <c r="B3" s="1910"/>
      <c r="C3" s="1910"/>
    </row>
    <row r="4" spans="1:3" ht="13.35" customHeight="1"/>
    <row r="5" spans="1:3" s="495" customFormat="1" ht="12.15" customHeight="1">
      <c r="A5" s="1913"/>
      <c r="B5" s="1911" t="s">
        <v>238</v>
      </c>
      <c r="C5" s="1912" t="s">
        <v>882</v>
      </c>
    </row>
    <row r="6" spans="1:3" ht="13.35" customHeight="1"/>
    <row r="7" spans="1:3" s="495" customFormat="1" ht="12.15" customHeight="1">
      <c r="A7" s="1913" t="s">
        <v>239</v>
      </c>
      <c r="B7" s="1913"/>
      <c r="C7" s="1913"/>
    </row>
    <row r="8" spans="1:3" ht="10.95" customHeight="1">
      <c r="A8" s="1919"/>
      <c r="B8" s="1919" t="s">
        <v>638</v>
      </c>
      <c r="C8" s="1919"/>
    </row>
    <row r="9" spans="1:3" ht="10.95" customHeight="1">
      <c r="B9" s="492" t="s">
        <v>639</v>
      </c>
      <c r="C9" s="491">
        <v>3587733.08</v>
      </c>
    </row>
    <row r="10" spans="1:3" ht="10.95" customHeight="1">
      <c r="B10" s="492" t="s">
        <v>640</v>
      </c>
      <c r="C10" s="491">
        <v>262293.40999999997</v>
      </c>
    </row>
    <row r="11" spans="1:3" ht="10.95" customHeight="1">
      <c r="B11" s="492" t="s">
        <v>799</v>
      </c>
      <c r="C11" s="491">
        <v>741866.05</v>
      </c>
    </row>
    <row r="12" spans="1:3" ht="10.95" customHeight="1">
      <c r="B12" s="492" t="s">
        <v>844</v>
      </c>
      <c r="C12" s="491">
        <v>129529.28</v>
      </c>
    </row>
    <row r="13" spans="1:3" ht="10.95" customHeight="1">
      <c r="B13" s="492" t="s">
        <v>845</v>
      </c>
      <c r="C13" s="491">
        <v>49850</v>
      </c>
    </row>
    <row r="14" spans="1:3" ht="10.95" customHeight="1">
      <c r="B14" s="1914" t="s">
        <v>642</v>
      </c>
      <c r="C14" s="1915">
        <f>SUM(C9:C13)</f>
        <v>4771271.82</v>
      </c>
    </row>
    <row r="15" spans="1:3" ht="10.95" customHeight="1">
      <c r="A15" s="1919"/>
      <c r="B15" s="1919" t="s">
        <v>240</v>
      </c>
      <c r="C15" s="1919"/>
    </row>
    <row r="16" spans="1:3" ht="10.95" customHeight="1">
      <c r="B16" s="492" t="s">
        <v>241</v>
      </c>
      <c r="C16" s="491">
        <v>704025.8</v>
      </c>
    </row>
    <row r="17" spans="1:3" ht="10.95" customHeight="1">
      <c r="B17" s="492" t="s">
        <v>883</v>
      </c>
      <c r="C17" s="491">
        <v>16645.849999999999</v>
      </c>
    </row>
    <row r="18" spans="1:3" ht="10.95" customHeight="1">
      <c r="B18" s="1914" t="s">
        <v>242</v>
      </c>
      <c r="C18" s="1915">
        <f>SUM(C16:C17)</f>
        <v>720671.65</v>
      </c>
    </row>
    <row r="19" spans="1:3" ht="10.95" customHeight="1">
      <c r="A19" s="1919"/>
      <c r="B19" s="1919" t="s">
        <v>243</v>
      </c>
      <c r="C19" s="1919"/>
    </row>
    <row r="20" spans="1:3" ht="10.95" customHeight="1">
      <c r="B20" s="492" t="s">
        <v>800</v>
      </c>
      <c r="C20" s="491">
        <v>34041411.009999998</v>
      </c>
    </row>
    <row r="21" spans="1:3" ht="10.95" customHeight="1">
      <c r="B21" s="492" t="s">
        <v>245</v>
      </c>
      <c r="C21" s="491">
        <v>15690850.25</v>
      </c>
    </row>
    <row r="22" spans="1:3" ht="10.95" customHeight="1">
      <c r="B22" s="492" t="s">
        <v>801</v>
      </c>
      <c r="C22" s="491">
        <v>12715384.380000001</v>
      </c>
    </row>
    <row r="23" spans="1:3" ht="10.95" customHeight="1">
      <c r="B23" s="492" t="s">
        <v>33</v>
      </c>
      <c r="C23" s="491">
        <v>94172341.829999998</v>
      </c>
    </row>
    <row r="24" spans="1:3" ht="10.95" customHeight="1">
      <c r="B24" s="1914" t="s">
        <v>247</v>
      </c>
      <c r="C24" s="1915">
        <f>SUM(C20:C23)</f>
        <v>156619987.47</v>
      </c>
    </row>
    <row r="25" spans="1:3" ht="10.95" customHeight="1">
      <c r="A25" s="1914" t="s">
        <v>248</v>
      </c>
      <c r="C25" s="1915">
        <f>(0 + ((C14 + C18) + C24))</f>
        <v>162111930.94</v>
      </c>
    </row>
    <row r="26" spans="1:3" ht="13.35" customHeight="1"/>
    <row r="27" spans="1:3" s="495" customFormat="1" ht="12.15" customHeight="1">
      <c r="A27" s="1913" t="s">
        <v>249</v>
      </c>
      <c r="B27" s="1913"/>
      <c r="C27" s="1913"/>
    </row>
    <row r="28" spans="1:3" ht="10.95" customHeight="1">
      <c r="A28" s="1919"/>
      <c r="B28" s="1919" t="s">
        <v>250</v>
      </c>
      <c r="C28" s="1919"/>
    </row>
    <row r="29" spans="1:3" ht="10.95" customHeight="1">
      <c r="B29" s="492" t="s">
        <v>251</v>
      </c>
      <c r="C29" s="491">
        <v>1041217.87</v>
      </c>
    </row>
    <row r="30" spans="1:3" ht="10.95" customHeight="1">
      <c r="B30" s="492" t="s">
        <v>802</v>
      </c>
      <c r="C30" s="491">
        <v>594040.87</v>
      </c>
    </row>
    <row r="31" spans="1:3" ht="10.95" customHeight="1">
      <c r="B31" s="492" t="s">
        <v>252</v>
      </c>
      <c r="C31" s="491">
        <v>500375.8</v>
      </c>
    </row>
    <row r="32" spans="1:3" ht="10.95" customHeight="1">
      <c r="B32" s="492" t="s">
        <v>803</v>
      </c>
      <c r="C32" s="491">
        <v>8756.01</v>
      </c>
    </row>
    <row r="33" spans="1:3" ht="10.95" customHeight="1">
      <c r="B33" s="492" t="s">
        <v>804</v>
      </c>
      <c r="C33" s="491">
        <v>93842.06</v>
      </c>
    </row>
    <row r="34" spans="1:3" ht="10.95" customHeight="1">
      <c r="B34" s="492" t="s">
        <v>805</v>
      </c>
      <c r="C34" s="491">
        <v>4864.45</v>
      </c>
    </row>
    <row r="35" spans="1:3" ht="10.95" customHeight="1">
      <c r="B35" s="1914" t="s">
        <v>253</v>
      </c>
      <c r="C35" s="1915">
        <f>SUM(C29:C34)</f>
        <v>2243097.06</v>
      </c>
    </row>
    <row r="36" spans="1:3" ht="10.95" customHeight="1">
      <c r="A36" s="1914" t="s">
        <v>254</v>
      </c>
      <c r="C36" s="1915">
        <f>(0 + C35)</f>
        <v>2243097.06</v>
      </c>
    </row>
    <row r="37" spans="1:3" ht="13.35" customHeight="1"/>
    <row r="38" spans="1:3" ht="10.95" customHeight="1">
      <c r="B38" s="1916" t="s">
        <v>255</v>
      </c>
      <c r="C38" s="1917">
        <f>(C25 - C36)</f>
        <v>159868833.88</v>
      </c>
    </row>
    <row r="39" spans="1:3" ht="13.35" customHeight="1"/>
    <row r="40" spans="1:3" s="495" customFormat="1" ht="12.15" customHeight="1">
      <c r="A40" s="1913" t="s">
        <v>256</v>
      </c>
      <c r="B40" s="1913"/>
      <c r="C40" s="1913"/>
    </row>
    <row r="41" spans="1:3" ht="10.95" customHeight="1">
      <c r="B41" s="494" t="s">
        <v>257</v>
      </c>
      <c r="C41" s="493">
        <v>159695773.63999999</v>
      </c>
    </row>
    <row r="42" spans="1:3" ht="10.95" customHeight="1">
      <c r="B42" s="492" t="s">
        <v>647</v>
      </c>
      <c r="C42" s="491">
        <v>33498.11</v>
      </c>
    </row>
    <row r="43" spans="1:3" ht="10.95" customHeight="1">
      <c r="B43" s="492" t="s">
        <v>846</v>
      </c>
      <c r="C43" s="491">
        <v>139562.13</v>
      </c>
    </row>
    <row r="44" spans="1:3" ht="10.95" customHeight="1">
      <c r="A44" s="1914" t="s">
        <v>258</v>
      </c>
      <c r="C44" s="1915">
        <f>SUM(C41:C43)</f>
        <v>159868833.88</v>
      </c>
    </row>
    <row r="45" spans="1:3" ht="13.35" customHeight="1"/>
    <row r="46" spans="1:3" ht="13.35" customHeight="1"/>
    <row r="47" spans="1:3" ht="10.95" customHeight="1">
      <c r="A47" s="519" t="s">
        <v>814</v>
      </c>
    </row>
    <row r="48" spans="1:3" ht="10.95" customHeight="1">
      <c r="A48" s="1920" t="s">
        <v>882</v>
      </c>
    </row>
    <row r="49" spans="1:1" ht="10.95" customHeight="1">
      <c r="A49" s="519" t="s">
        <v>884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12331-DDEB-42C7-8A27-BCBAB6A448C8}">
  <dimension ref="A1:F17"/>
  <sheetViews>
    <sheetView workbookViewId="0">
      <selection activeCell="I11" sqref="I11"/>
    </sheetView>
  </sheetViews>
  <sheetFormatPr baseColWidth="10" defaultColWidth="11.44140625" defaultRowHeight="14.4"/>
  <cols>
    <col min="1" max="1" width="35.109375" bestFit="1" customWidth="1"/>
    <col min="2" max="2" width="20.33203125" style="370" customWidth="1"/>
    <col min="3" max="3" width="25.109375" style="370" customWidth="1"/>
    <col min="4" max="4" width="18.33203125" style="370" bestFit="1" customWidth="1"/>
    <col min="5" max="5" width="19.6640625" style="370" bestFit="1" customWidth="1"/>
    <col min="6" max="6" width="23.109375" style="370" bestFit="1" customWidth="1"/>
  </cols>
  <sheetData>
    <row r="1" spans="1:6" s="535" customFormat="1" ht="28.8">
      <c r="A1" s="535" t="s">
        <v>458</v>
      </c>
      <c r="B1" s="536" t="s">
        <v>788</v>
      </c>
      <c r="C1" s="536" t="s">
        <v>848</v>
      </c>
      <c r="D1" s="536" t="s">
        <v>885</v>
      </c>
      <c r="E1" s="536" t="s">
        <v>850</v>
      </c>
      <c r="F1" s="536" t="s">
        <v>851</v>
      </c>
    </row>
    <row r="2" spans="1:6">
      <c r="A2" t="s">
        <v>65</v>
      </c>
      <c r="B2" s="370">
        <v>103385169</v>
      </c>
      <c r="C2" s="370">
        <v>0</v>
      </c>
      <c r="D2" s="370">
        <v>103385169</v>
      </c>
      <c r="E2" s="370">
        <v>94172341.829999998</v>
      </c>
      <c r="F2" s="370">
        <v>94172341.829999998</v>
      </c>
    </row>
    <row r="3" spans="1:6">
      <c r="A3" t="s">
        <v>68</v>
      </c>
      <c r="B3" s="370">
        <v>20789999.999999996</v>
      </c>
      <c r="C3" s="370">
        <v>0</v>
      </c>
      <c r="D3" s="370">
        <v>20790000</v>
      </c>
      <c r="E3" s="370">
        <v>21946083.890000001</v>
      </c>
      <c r="F3" s="370">
        <v>21407665.390000001</v>
      </c>
    </row>
    <row r="4" spans="1:6">
      <c r="A4" t="s">
        <v>78</v>
      </c>
      <c r="B4" s="370">
        <v>451758999.99999994</v>
      </c>
      <c r="C4" s="370">
        <v>0</v>
      </c>
      <c r="D4" s="370">
        <v>451758999.99999994</v>
      </c>
      <c r="E4" s="370">
        <v>9219083.5899999999</v>
      </c>
      <c r="F4" s="370">
        <v>9219083.5899999999</v>
      </c>
    </row>
    <row r="5" spans="1:6">
      <c r="A5" t="s">
        <v>90</v>
      </c>
      <c r="B5" s="370">
        <v>1265953920</v>
      </c>
      <c r="C5" s="370">
        <v>0</v>
      </c>
      <c r="D5" s="370">
        <v>1265953920</v>
      </c>
      <c r="E5" s="370">
        <v>0</v>
      </c>
      <c r="F5" s="370">
        <v>0</v>
      </c>
    </row>
    <row r="6" spans="1:6">
      <c r="A6" t="s">
        <v>105</v>
      </c>
      <c r="B6" s="370">
        <v>171771292</v>
      </c>
      <c r="C6" s="370">
        <v>18198088</v>
      </c>
      <c r="D6" s="370">
        <v>189969380</v>
      </c>
      <c r="E6" s="370">
        <v>4299662.0299999993</v>
      </c>
      <c r="F6" s="370">
        <v>3414662.0300000003</v>
      </c>
    </row>
    <row r="7" spans="1:6">
      <c r="A7" t="s">
        <v>108</v>
      </c>
      <c r="B7" s="370">
        <v>34354258</v>
      </c>
      <c r="C7" s="370">
        <v>3639618</v>
      </c>
      <c r="D7" s="370">
        <v>37993876</v>
      </c>
      <c r="E7" s="370">
        <v>0</v>
      </c>
      <c r="F7" s="370">
        <v>0</v>
      </c>
    </row>
    <row r="8" spans="1:6">
      <c r="A8" t="s">
        <v>816</v>
      </c>
      <c r="B8" s="370">
        <v>0</v>
      </c>
      <c r="C8" s="370">
        <v>37993876</v>
      </c>
      <c r="D8" s="370">
        <v>37993876</v>
      </c>
      <c r="E8" s="370">
        <v>0</v>
      </c>
      <c r="F8" s="370">
        <v>0</v>
      </c>
    </row>
    <row r="9" spans="1:6">
      <c r="A9" t="s">
        <v>112</v>
      </c>
      <c r="B9" s="370">
        <v>137417034</v>
      </c>
      <c r="C9" s="370">
        <v>14558470</v>
      </c>
      <c r="D9" s="370">
        <v>151975504</v>
      </c>
      <c r="E9" s="370">
        <v>161175.97</v>
      </c>
      <c r="F9" s="370">
        <v>161175.97</v>
      </c>
    </row>
    <row r="10" spans="1:6">
      <c r="A10" t="s">
        <v>115</v>
      </c>
      <c r="B10" s="370">
        <v>281704919</v>
      </c>
      <c r="C10" s="370">
        <v>26425415</v>
      </c>
      <c r="D10" s="370">
        <v>308130334</v>
      </c>
      <c r="E10" s="370">
        <v>0</v>
      </c>
      <c r="F10" s="370">
        <v>0</v>
      </c>
    </row>
    <row r="11" spans="1:6">
      <c r="A11" t="s">
        <v>119</v>
      </c>
      <c r="B11" s="370">
        <v>67334346</v>
      </c>
      <c r="C11" s="370">
        <v>8463436</v>
      </c>
      <c r="D11" s="370">
        <v>75797782</v>
      </c>
      <c r="E11" s="370">
        <v>453321.21</v>
      </c>
      <c r="F11" s="370">
        <v>453321.21</v>
      </c>
    </row>
    <row r="12" spans="1:6">
      <c r="A12" t="s">
        <v>122</v>
      </c>
      <c r="B12" s="370">
        <v>51531387.949999996</v>
      </c>
      <c r="C12" s="370">
        <v>5459426.0500000045</v>
      </c>
      <c r="D12" s="370">
        <v>56990814</v>
      </c>
      <c r="E12" s="370">
        <v>17125972.850000001</v>
      </c>
      <c r="F12" s="370">
        <v>15076353.01</v>
      </c>
    </row>
    <row r="13" spans="1:6">
      <c r="A13" t="s">
        <v>126</v>
      </c>
      <c r="B13" s="370">
        <v>19238385</v>
      </c>
      <c r="C13" s="370">
        <v>2418121</v>
      </c>
      <c r="D13" s="370">
        <v>21656506</v>
      </c>
      <c r="E13" s="370">
        <v>0</v>
      </c>
      <c r="F13" s="370">
        <v>0</v>
      </c>
    </row>
    <row r="14" spans="1:6">
      <c r="A14" t="s">
        <v>193</v>
      </c>
      <c r="B14" s="370">
        <v>15000000</v>
      </c>
      <c r="C14" s="370">
        <v>15500000</v>
      </c>
      <c r="D14" s="370">
        <v>30500000</v>
      </c>
      <c r="E14" s="370">
        <v>16827427.559999999</v>
      </c>
      <c r="F14" s="370">
        <v>12715384.369999999</v>
      </c>
    </row>
    <row r="15" spans="1:6">
      <c r="A15" t="s">
        <v>133</v>
      </c>
      <c r="B15" s="370">
        <v>19238385</v>
      </c>
      <c r="C15" s="370">
        <v>2418124</v>
      </c>
      <c r="D15" s="370">
        <v>21656509</v>
      </c>
      <c r="E15" s="370">
        <v>0</v>
      </c>
      <c r="F15" s="370">
        <v>0</v>
      </c>
    </row>
    <row r="16" spans="1:6">
      <c r="A16" t="s">
        <v>136</v>
      </c>
      <c r="B16" s="370">
        <v>192383847</v>
      </c>
      <c r="C16" s="370">
        <v>24181246</v>
      </c>
      <c r="D16" s="370">
        <v>216565093</v>
      </c>
      <c r="E16" s="370">
        <v>0</v>
      </c>
      <c r="F16" s="370">
        <v>0</v>
      </c>
    </row>
    <row r="17" spans="2:6" s="433" customFormat="1">
      <c r="B17" s="432">
        <f>SUM(B2:B16)</f>
        <v>2831861942.9499998</v>
      </c>
      <c r="C17" s="432">
        <f>SUM(C2:C16)</f>
        <v>159255820.05000001</v>
      </c>
      <c r="D17" s="432">
        <f>SUM(D2:D16)</f>
        <v>2991117763</v>
      </c>
      <c r="E17" s="432">
        <f>SUM(E2:E16)</f>
        <v>164205068.93000001</v>
      </c>
      <c r="F17" s="432">
        <f>SUM(F2:F16)</f>
        <v>156619987.40000001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E31D4-FE65-4B57-AF17-9A9E9B295BE1}">
  <dimension ref="A1:G5"/>
  <sheetViews>
    <sheetView workbookViewId="0">
      <selection activeCell="I11" sqref="I11"/>
    </sheetView>
  </sheetViews>
  <sheetFormatPr baseColWidth="10" defaultColWidth="11.44140625" defaultRowHeight="14.4"/>
  <cols>
    <col min="1" max="1" width="44.6640625" bestFit="1" customWidth="1"/>
    <col min="2" max="2" width="11" bestFit="1" customWidth="1"/>
    <col min="3" max="3" width="11.33203125" style="370" bestFit="1" customWidth="1"/>
    <col min="4" max="4" width="14.5546875" style="370" customWidth="1"/>
    <col min="5" max="5" width="32.5546875" customWidth="1"/>
    <col min="6" max="6" width="32.109375" bestFit="1" customWidth="1"/>
    <col min="7" max="7" width="33.6640625" bestFit="1" customWidth="1"/>
  </cols>
  <sheetData>
    <row r="1" spans="1:7">
      <c r="A1" t="s">
        <v>707</v>
      </c>
      <c r="B1" t="s">
        <v>708</v>
      </c>
      <c r="C1" s="370" t="s">
        <v>164</v>
      </c>
      <c r="D1" s="370" t="s">
        <v>709</v>
      </c>
      <c r="E1" t="s">
        <v>817</v>
      </c>
      <c r="F1" t="s">
        <v>710</v>
      </c>
      <c r="G1" t="s">
        <v>852</v>
      </c>
    </row>
    <row r="2" spans="1:7">
      <c r="A2" t="s">
        <v>735</v>
      </c>
      <c r="B2" s="193">
        <v>45469</v>
      </c>
      <c r="C2" s="370">
        <v>38250</v>
      </c>
      <c r="D2" s="370">
        <v>38250</v>
      </c>
      <c r="E2" t="s">
        <v>821</v>
      </c>
      <c r="F2" t="s">
        <v>853</v>
      </c>
      <c r="G2" t="s">
        <v>853</v>
      </c>
    </row>
    <row r="3" spans="1:7">
      <c r="A3" t="s">
        <v>737</v>
      </c>
      <c r="B3" s="193">
        <v>45429</v>
      </c>
      <c r="C3" s="370">
        <v>40000</v>
      </c>
      <c r="D3" s="370">
        <v>40000</v>
      </c>
      <c r="E3" t="s">
        <v>738</v>
      </c>
      <c r="F3" t="s">
        <v>853</v>
      </c>
      <c r="G3" t="s">
        <v>853</v>
      </c>
    </row>
    <row r="4" spans="1:7">
      <c r="A4" t="s">
        <v>369</v>
      </c>
      <c r="B4" s="193">
        <v>45266</v>
      </c>
      <c r="C4" s="370">
        <v>273000</v>
      </c>
      <c r="D4" s="370">
        <v>273000</v>
      </c>
      <c r="E4" t="s">
        <v>822</v>
      </c>
      <c r="F4" t="s">
        <v>853</v>
      </c>
      <c r="G4" t="s">
        <v>853</v>
      </c>
    </row>
    <row r="5" spans="1:7">
      <c r="A5" t="s">
        <v>795</v>
      </c>
      <c r="B5" s="193">
        <v>45622</v>
      </c>
      <c r="C5" s="370">
        <v>352775.8</v>
      </c>
      <c r="D5" s="370">
        <v>352775.8</v>
      </c>
      <c r="E5" t="s">
        <v>819</v>
      </c>
      <c r="F5" t="s">
        <v>859</v>
      </c>
      <c r="G5" t="s">
        <v>860</v>
      </c>
    </row>
  </sheetData>
  <autoFilter ref="A1:G1" xr:uid="{8F833D8D-E3A2-49C0-BA28-FAE8897AAB0B}">
    <sortState xmlns:xlrd2="http://schemas.microsoft.com/office/spreadsheetml/2017/richdata2" ref="A2:G5">
      <sortCondition ref="G1"/>
    </sortState>
  </autoFilter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A0A28-CB71-4DF9-827B-6313B663ED90}">
  <dimension ref="A1:I22"/>
  <sheetViews>
    <sheetView showGridLines="0" zoomScaleNormal="100" workbookViewId="0">
      <selection activeCell="I11" sqref="I11"/>
    </sheetView>
  </sheetViews>
  <sheetFormatPr baseColWidth="10" defaultColWidth="8" defaultRowHeight="11.4"/>
  <cols>
    <col min="1" max="1" width="55.6640625" style="408" customWidth="1"/>
    <col min="2" max="2" width="12.6640625" style="408" customWidth="1"/>
    <col min="3" max="3" width="24.6640625" style="408" customWidth="1"/>
    <col min="4" max="4" width="9.88671875" style="408" customWidth="1"/>
    <col min="5" max="5" width="10.6640625" style="408" customWidth="1"/>
    <col min="6" max="6" width="4.88671875" style="408" customWidth="1"/>
    <col min="7" max="7" width="9" style="408" customWidth="1"/>
    <col min="8" max="8" width="9.88671875" style="408" customWidth="1"/>
    <col min="9" max="9" width="37.88671875" style="408" bestFit="1" customWidth="1"/>
    <col min="10" max="16384" width="8" style="408"/>
  </cols>
  <sheetData>
    <row r="1" spans="1:9" s="405" customFormat="1" ht="16.649999999999999" customHeight="1">
      <c r="A1" s="404" t="s">
        <v>771</v>
      </c>
      <c r="B1" s="404"/>
      <c r="C1" s="404"/>
      <c r="D1" s="404"/>
      <c r="E1" s="404"/>
      <c r="F1" s="404"/>
      <c r="G1" s="404"/>
      <c r="H1" s="404"/>
      <c r="I1" s="404"/>
    </row>
    <row r="2" spans="1:9" s="407" customFormat="1" ht="14.4" customHeight="1">
      <c r="A2" s="406" t="s">
        <v>236</v>
      </c>
      <c r="B2" s="406"/>
      <c r="C2" s="406"/>
      <c r="D2" s="406"/>
      <c r="E2" s="406"/>
      <c r="F2" s="406"/>
      <c r="G2" s="406"/>
      <c r="H2" s="406"/>
      <c r="I2" s="406"/>
    </row>
    <row r="3" spans="1:9" s="407" customFormat="1" ht="14.4" customHeight="1">
      <c r="A3" s="406" t="s">
        <v>881</v>
      </c>
      <c r="B3" s="406"/>
      <c r="C3" s="406"/>
      <c r="D3" s="406"/>
      <c r="E3" s="406"/>
      <c r="F3" s="406"/>
      <c r="G3" s="406"/>
      <c r="H3" s="406"/>
      <c r="I3" s="406"/>
    </row>
    <row r="4" spans="1:9" s="407" customFormat="1" ht="14.4" customHeight="1">
      <c r="A4" s="406" t="s">
        <v>724</v>
      </c>
      <c r="B4" s="406"/>
      <c r="C4" s="406"/>
      <c r="D4" s="406"/>
      <c r="E4" s="406"/>
      <c r="F4" s="406"/>
      <c r="G4" s="406"/>
      <c r="H4" s="406"/>
      <c r="I4" s="406"/>
    </row>
    <row r="5" spans="1:9" ht="13.35" customHeight="1"/>
    <row r="6" spans="1:9" s="412" customFormat="1" ht="12.15" customHeight="1">
      <c r="A6" s="410" t="s">
        <v>690</v>
      </c>
      <c r="B6" s="410" t="s">
        <v>689</v>
      </c>
      <c r="C6" s="410" t="s">
        <v>773</v>
      </c>
      <c r="D6" s="411" t="s">
        <v>861</v>
      </c>
      <c r="E6" s="411" t="s">
        <v>824</v>
      </c>
      <c r="F6" s="411"/>
      <c r="G6" s="411" t="s">
        <v>828</v>
      </c>
      <c r="H6" s="411" t="s">
        <v>164</v>
      </c>
      <c r="I6" s="410" t="s">
        <v>862</v>
      </c>
    </row>
    <row r="7" spans="1:9" ht="10.95" customHeight="1">
      <c r="A7" s="421" t="s">
        <v>886</v>
      </c>
      <c r="B7" s="429">
        <v>45691</v>
      </c>
      <c r="C7" s="421" t="s">
        <v>887</v>
      </c>
      <c r="D7" s="422">
        <v>0</v>
      </c>
      <c r="E7" s="422">
        <v>124341.02</v>
      </c>
      <c r="F7" s="421" t="s">
        <v>641</v>
      </c>
      <c r="G7" s="422">
        <v>0</v>
      </c>
      <c r="H7" s="422">
        <v>124341.02</v>
      </c>
      <c r="I7" s="421" t="s">
        <v>888</v>
      </c>
    </row>
    <row r="8" spans="1:9" ht="10.95" customHeight="1">
      <c r="A8" s="416" t="s">
        <v>164</v>
      </c>
      <c r="B8" s="416"/>
      <c r="C8" s="416"/>
      <c r="D8" s="417">
        <f>D7</f>
        <v>0</v>
      </c>
      <c r="E8" s="417">
        <f>E7</f>
        <v>124341.02</v>
      </c>
      <c r="F8" s="416"/>
      <c r="G8" s="417">
        <f>G7</f>
        <v>0</v>
      </c>
      <c r="H8" s="417">
        <f>H7</f>
        <v>124341.02</v>
      </c>
      <c r="I8" s="416"/>
    </row>
    <row r="9" spans="1:9" ht="13.35" customHeight="1"/>
    <row r="10" spans="1:9" s="412" customFormat="1" ht="12.15" customHeight="1">
      <c r="A10" s="409" t="s">
        <v>867</v>
      </c>
      <c r="B10" s="409"/>
      <c r="C10" s="409"/>
      <c r="D10" s="409"/>
      <c r="E10" s="409"/>
      <c r="F10" s="409"/>
      <c r="G10" s="409"/>
      <c r="H10" s="409"/>
      <c r="I10" s="409"/>
    </row>
    <row r="11" spans="1:9" ht="10.95" customHeight="1">
      <c r="A11" s="421" t="s">
        <v>373</v>
      </c>
      <c r="B11" s="429">
        <v>45453</v>
      </c>
      <c r="C11" s="421" t="s">
        <v>696</v>
      </c>
      <c r="D11" s="422">
        <v>0</v>
      </c>
      <c r="E11" s="422">
        <v>0</v>
      </c>
      <c r="F11" s="421"/>
      <c r="G11" s="422">
        <v>60314.2</v>
      </c>
      <c r="H11" s="422">
        <v>60314.2</v>
      </c>
      <c r="I11" s="421" t="s">
        <v>889</v>
      </c>
    </row>
    <row r="12" spans="1:9" ht="10.95" customHeight="1">
      <c r="A12" s="416" t="s">
        <v>890</v>
      </c>
      <c r="B12" s="416"/>
      <c r="C12" s="416"/>
      <c r="D12" s="417">
        <f>D11</f>
        <v>0</v>
      </c>
      <c r="E12" s="417">
        <f>E11</f>
        <v>0</v>
      </c>
      <c r="F12" s="416"/>
      <c r="G12" s="417">
        <f>G11</f>
        <v>60314.2</v>
      </c>
      <c r="H12" s="417">
        <f>H11</f>
        <v>60314.2</v>
      </c>
      <c r="I12" s="416"/>
    </row>
    <row r="13" spans="1:9" ht="13.35" customHeight="1"/>
    <row r="14" spans="1:9" s="412" customFormat="1" ht="12.15" customHeight="1">
      <c r="A14" s="409" t="s">
        <v>864</v>
      </c>
      <c r="B14" s="409"/>
      <c r="C14" s="409"/>
      <c r="D14" s="409"/>
      <c r="E14" s="409"/>
      <c r="F14" s="409"/>
      <c r="G14" s="409"/>
      <c r="H14" s="409"/>
      <c r="I14" s="409"/>
    </row>
    <row r="15" spans="1:9" ht="10.95" customHeight="1">
      <c r="A15" s="421" t="s">
        <v>781</v>
      </c>
      <c r="B15" s="429">
        <v>45614</v>
      </c>
      <c r="C15" s="421" t="s">
        <v>782</v>
      </c>
      <c r="D15" s="422">
        <v>0</v>
      </c>
      <c r="E15" s="422">
        <v>0</v>
      </c>
      <c r="F15" s="421"/>
      <c r="G15" s="422">
        <v>74800</v>
      </c>
      <c r="H15" s="422">
        <v>74800</v>
      </c>
      <c r="I15" s="421" t="s">
        <v>868</v>
      </c>
    </row>
    <row r="16" spans="1:9" ht="10.95" customHeight="1">
      <c r="A16" s="414" t="s">
        <v>781</v>
      </c>
      <c r="B16" s="430">
        <v>45616</v>
      </c>
      <c r="C16" s="414" t="s">
        <v>783</v>
      </c>
      <c r="D16" s="415">
        <v>0</v>
      </c>
      <c r="E16" s="415">
        <v>0</v>
      </c>
      <c r="F16" s="414"/>
      <c r="G16" s="415">
        <v>18802</v>
      </c>
      <c r="H16" s="415">
        <v>18802</v>
      </c>
      <c r="I16" s="414" t="s">
        <v>868</v>
      </c>
    </row>
    <row r="17" spans="1:9" ht="10.95" customHeight="1">
      <c r="A17" s="414" t="s">
        <v>740</v>
      </c>
      <c r="B17" s="430">
        <v>45695</v>
      </c>
      <c r="C17" s="414" t="s">
        <v>891</v>
      </c>
      <c r="D17" s="415">
        <v>672027.65</v>
      </c>
      <c r="E17" s="415">
        <v>0</v>
      </c>
      <c r="F17" s="414"/>
      <c r="G17" s="415">
        <v>0</v>
      </c>
      <c r="H17" s="415">
        <v>672027.65</v>
      </c>
      <c r="I17" s="414" t="s">
        <v>892</v>
      </c>
    </row>
    <row r="18" spans="1:9" ht="10.95" customHeight="1">
      <c r="A18" s="414" t="s">
        <v>756</v>
      </c>
      <c r="B18" s="430">
        <v>45705</v>
      </c>
      <c r="C18" s="414" t="s">
        <v>893</v>
      </c>
      <c r="D18" s="415">
        <v>0</v>
      </c>
      <c r="E18" s="415">
        <v>88264</v>
      </c>
      <c r="F18" s="414"/>
      <c r="G18" s="415">
        <v>0</v>
      </c>
      <c r="H18" s="415">
        <v>88264</v>
      </c>
      <c r="I18" s="414" t="s">
        <v>868</v>
      </c>
    </row>
    <row r="19" spans="1:9" ht="10.95" customHeight="1">
      <c r="A19" s="414" t="s">
        <v>856</v>
      </c>
      <c r="B19" s="430">
        <v>45707</v>
      </c>
      <c r="C19" s="414" t="s">
        <v>894</v>
      </c>
      <c r="D19" s="415">
        <v>0</v>
      </c>
      <c r="E19" s="415">
        <v>2669</v>
      </c>
      <c r="F19" s="414"/>
      <c r="G19" s="415">
        <v>0</v>
      </c>
      <c r="H19" s="415">
        <v>2669</v>
      </c>
      <c r="I19" s="414" t="s">
        <v>876</v>
      </c>
    </row>
    <row r="20" spans="1:9" ht="10.95" customHeight="1">
      <c r="A20" s="416" t="s">
        <v>895</v>
      </c>
      <c r="B20" s="416"/>
      <c r="C20" s="416"/>
      <c r="D20" s="417">
        <f>SUM(D15:D19)</f>
        <v>672027.65</v>
      </c>
      <c r="E20" s="417">
        <f>SUM(E15:E19)</f>
        <v>90933</v>
      </c>
      <c r="F20" s="416"/>
      <c r="G20" s="417">
        <f>SUM(G15:G19)</f>
        <v>93602</v>
      </c>
      <c r="H20" s="417">
        <f>SUM(H15:H19)</f>
        <v>856562.65</v>
      </c>
      <c r="I20" s="416"/>
    </row>
    <row r="21" spans="1:9" ht="13.35" customHeight="1"/>
    <row r="22" spans="1:9" ht="10.95" customHeight="1">
      <c r="A22" s="419" t="s">
        <v>164</v>
      </c>
      <c r="B22" s="419"/>
      <c r="C22" s="419"/>
      <c r="D22" s="420">
        <f>SUM(D8,D12,D20)</f>
        <v>672027.65</v>
      </c>
      <c r="E22" s="420">
        <f>SUM(E8,E12,E20)</f>
        <v>215274.02000000002</v>
      </c>
      <c r="F22" s="419"/>
      <c r="G22" s="420">
        <f>SUM(G8,G12,G20)</f>
        <v>153916.20000000001</v>
      </c>
      <c r="H22" s="420">
        <f>SUM(H8,H12,H20)</f>
        <v>1041217.87</v>
      </c>
      <c r="I22" s="419"/>
    </row>
  </sheetData>
  <pageMargins left="0.7" right="0.7" top="0.75" bottom="0.75" header="0.3" footer="0.3"/>
  <pageSetup paperSize="9" fitToWidth="0" fitToHeight="0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B57AE-0EFF-4FBA-B833-A01568BF46A7}">
  <sheetPr>
    <tabColor theme="5" tint="0.79998168889431442"/>
  </sheetPr>
  <dimension ref="A1:P47"/>
  <sheetViews>
    <sheetView showGridLines="0" zoomScale="90" zoomScaleNormal="90" workbookViewId="0">
      <selection activeCell="I11" sqref="I11"/>
    </sheetView>
  </sheetViews>
  <sheetFormatPr baseColWidth="10" defaultColWidth="11.44140625" defaultRowHeight="14.4"/>
  <cols>
    <col min="1" max="1" width="10.109375" customWidth="1"/>
    <col min="2" max="2" width="25.6640625" bestFit="1" customWidth="1"/>
    <col min="3" max="4" width="17.44140625" bestFit="1" customWidth="1"/>
    <col min="5" max="5" width="14.33203125" bestFit="1" customWidth="1"/>
    <col min="6" max="6" width="16.5546875" bestFit="1" customWidth="1"/>
    <col min="7" max="7" width="16.33203125" bestFit="1" customWidth="1"/>
    <col min="8" max="8" width="20.88671875" bestFit="1" customWidth="1"/>
    <col min="9" max="9" width="18" bestFit="1" customWidth="1"/>
    <col min="10" max="10" width="16.5546875" bestFit="1" customWidth="1"/>
    <col min="11" max="11" width="18.6640625" customWidth="1"/>
    <col min="12" max="12" width="19.88671875" customWidth="1"/>
    <col min="13" max="13" width="16.109375" customWidth="1"/>
    <col min="14" max="14" width="18.5546875" customWidth="1"/>
    <col min="15" max="15" width="17" customWidth="1"/>
    <col min="16" max="18" width="15.44140625" bestFit="1" customWidth="1"/>
    <col min="19" max="19" width="14.44140625" bestFit="1" customWidth="1"/>
  </cols>
  <sheetData>
    <row r="1" spans="1:16" ht="21.6" customHeight="1">
      <c r="M1" s="2109" t="s">
        <v>185</v>
      </c>
      <c r="N1" s="2109"/>
      <c r="O1" s="2109"/>
      <c r="P1" s="2109"/>
    </row>
    <row r="2" spans="1:16" ht="15" thickBot="1">
      <c r="F2" s="181" t="s">
        <v>197</v>
      </c>
      <c r="G2" s="181"/>
      <c r="H2" s="181"/>
      <c r="I2" s="181"/>
      <c r="J2" s="181"/>
      <c r="K2" s="181" t="s">
        <v>199</v>
      </c>
      <c r="L2" s="181" t="s">
        <v>225</v>
      </c>
      <c r="M2" s="2109"/>
      <c r="N2" s="2109"/>
      <c r="O2" s="2109"/>
      <c r="P2" s="2109"/>
    </row>
    <row r="3" spans="1:16" ht="15.6" customHeight="1">
      <c r="B3" s="160" t="s">
        <v>761</v>
      </c>
      <c r="C3" s="62"/>
      <c r="D3" s="478"/>
      <c r="E3" s="483">
        <v>59</v>
      </c>
      <c r="F3" s="2122" t="s">
        <v>145</v>
      </c>
      <c r="G3" s="2137" t="s">
        <v>650</v>
      </c>
      <c r="H3" s="2137" t="s">
        <v>651</v>
      </c>
      <c r="I3" s="2137" t="s">
        <v>652</v>
      </c>
      <c r="J3" s="2122" t="s">
        <v>227</v>
      </c>
      <c r="K3" s="2124" t="s">
        <v>807</v>
      </c>
      <c r="L3" s="2124" t="s">
        <v>146</v>
      </c>
      <c r="M3" s="183"/>
      <c r="N3" s="183"/>
      <c r="O3" s="183"/>
      <c r="P3" s="183"/>
    </row>
    <row r="4" spans="1:16" ht="25.95" customHeight="1" thickBot="1">
      <c r="A4" s="152"/>
      <c r="B4" s="25" t="s">
        <v>29</v>
      </c>
      <c r="C4" s="25" t="s">
        <v>762</v>
      </c>
      <c r="D4" s="479" t="s">
        <v>763</v>
      </c>
      <c r="E4" s="479" t="s">
        <v>31</v>
      </c>
      <c r="F4" s="2123"/>
      <c r="G4" s="2138"/>
      <c r="H4" s="2138"/>
      <c r="I4" s="2138"/>
      <c r="J4" s="2123"/>
      <c r="K4" s="2125"/>
      <c r="L4" s="2125"/>
      <c r="M4" s="183"/>
      <c r="N4" s="183"/>
      <c r="O4" s="183"/>
      <c r="P4" s="183"/>
    </row>
    <row r="5" spans="1:16">
      <c r="A5">
        <v>1</v>
      </c>
      <c r="B5" s="254" t="s">
        <v>33</v>
      </c>
      <c r="C5" s="256">
        <f>SUM('budget (11)'!D2:D3)</f>
        <v>103385169</v>
      </c>
      <c r="D5" s="480">
        <v>103385169</v>
      </c>
      <c r="E5" s="480">
        <f>D5/E3</f>
        <v>1752291</v>
      </c>
      <c r="F5" s="258">
        <f>+'Finanzas 12.24'!F2</f>
        <v>94172341.829999998</v>
      </c>
      <c r="G5" s="258">
        <f>+'Finanzas 11.24'!G2</f>
        <v>94172341.829999998</v>
      </c>
      <c r="H5" s="258">
        <v>0</v>
      </c>
      <c r="I5" s="258"/>
      <c r="J5" s="258">
        <f>+G5-H5+I5</f>
        <v>94172341.829999998</v>
      </c>
      <c r="K5" s="259">
        <f>F5-J5</f>
        <v>0</v>
      </c>
      <c r="L5" s="259">
        <f>+D5-F5</f>
        <v>9212827.1700000018</v>
      </c>
      <c r="M5" s="183"/>
      <c r="N5" s="183"/>
      <c r="O5" s="183"/>
      <c r="P5" s="183"/>
    </row>
    <row r="6" spans="1:16">
      <c r="B6" s="115" t="s">
        <v>35</v>
      </c>
      <c r="C6" s="116">
        <f>SUM('budget (11)'!D11:D24)</f>
        <v>451758999.99999994</v>
      </c>
      <c r="D6" s="481">
        <v>451758999.99999994</v>
      </c>
      <c r="E6" s="481">
        <f>D6/$E$3</f>
        <v>7656932.20338983</v>
      </c>
      <c r="F6" s="132">
        <f>+'Finanza 02.25'!E4</f>
        <v>9219083.5899999999</v>
      </c>
      <c r="G6" s="132">
        <f>+'Finanza 02.25'!F4</f>
        <v>9219083.5899999999</v>
      </c>
      <c r="H6" s="132"/>
      <c r="I6" s="132"/>
      <c r="J6" s="132">
        <f>+G6-H6+I6</f>
        <v>9219083.5899999999</v>
      </c>
      <c r="K6" s="125">
        <f>F6-J6</f>
        <v>0</v>
      </c>
      <c r="L6" s="125">
        <f>+D6-F6</f>
        <v>442539916.40999997</v>
      </c>
      <c r="M6" s="183"/>
      <c r="N6" s="184"/>
      <c r="O6" s="183"/>
      <c r="P6" s="183"/>
    </row>
    <row r="7" spans="1:16" ht="13.95" customHeight="1">
      <c r="B7" s="112" t="s">
        <v>38</v>
      </c>
      <c r="C7" s="113">
        <f>SUM('budget (11)'!D25:D39)</f>
        <v>1265953920</v>
      </c>
      <c r="D7" s="170">
        <f>1447934796</f>
        <v>1447934796</v>
      </c>
      <c r="E7" s="170">
        <f>D7/$E$3</f>
        <v>24541267.728813559</v>
      </c>
      <c r="F7" s="133">
        <f>+'Finanza 02.25'!E5</f>
        <v>0</v>
      </c>
      <c r="G7" s="133">
        <f>+'Finanza 02.25'!F5</f>
        <v>0</v>
      </c>
      <c r="H7" s="133"/>
      <c r="I7" s="133"/>
      <c r="J7" s="133">
        <f t="shared" ref="J7:J10" si="0">+G7-H7+I7</f>
        <v>0</v>
      </c>
      <c r="K7" s="127">
        <f t="shared" ref="K7:K21" si="1">F7-J7</f>
        <v>0</v>
      </c>
      <c r="L7" s="127">
        <f>+D7-F7</f>
        <v>1447934796</v>
      </c>
      <c r="M7" s="183"/>
      <c r="N7" s="184"/>
      <c r="O7" s="183"/>
      <c r="P7" s="183"/>
    </row>
    <row r="8" spans="1:16">
      <c r="B8" s="115" t="s">
        <v>764</v>
      </c>
      <c r="C8" s="118">
        <v>0</v>
      </c>
      <c r="D8" s="171">
        <v>37993876</v>
      </c>
      <c r="E8" s="171">
        <f>D8/$E$3</f>
        <v>643964</v>
      </c>
      <c r="F8" s="134">
        <f>+'Finanza 02.25'!E8</f>
        <v>0</v>
      </c>
      <c r="G8" s="134">
        <f>+'Finanza 02.25'!F8</f>
        <v>0</v>
      </c>
      <c r="H8" s="134"/>
      <c r="I8" s="134"/>
      <c r="J8" s="134"/>
      <c r="K8" s="129"/>
      <c r="L8" s="129"/>
      <c r="M8" s="183"/>
      <c r="N8" s="184"/>
      <c r="O8" s="183"/>
      <c r="P8" s="183"/>
    </row>
    <row r="9" spans="1:16" ht="13.95" customHeight="1">
      <c r="B9" s="112" t="s">
        <v>148</v>
      </c>
      <c r="C9" s="113">
        <f>SUM('budget (11)'!D40:D41)</f>
        <v>171771292</v>
      </c>
      <c r="D9" s="170">
        <v>189969380</v>
      </c>
      <c r="E9" s="170">
        <f>D9/$E$3</f>
        <v>3219820</v>
      </c>
      <c r="F9" s="133">
        <f>+'Finanza 02.25'!E6</f>
        <v>4299662.0299999993</v>
      </c>
      <c r="G9" s="133">
        <f>+'Finanza 02.25'!F6</f>
        <v>3414662.0300000003</v>
      </c>
      <c r="H9" s="133"/>
      <c r="I9" s="133"/>
      <c r="J9" s="133">
        <f>+G9-H9+I9</f>
        <v>3414662.0300000003</v>
      </c>
      <c r="K9" s="127">
        <f>F9-J9</f>
        <v>884999.99999999907</v>
      </c>
      <c r="L9" s="127">
        <f>+D9-F9</f>
        <v>185669717.97</v>
      </c>
      <c r="M9" s="183"/>
      <c r="N9" s="184"/>
      <c r="O9" s="183"/>
      <c r="P9" s="183"/>
    </row>
    <row r="10" spans="1:16">
      <c r="B10" s="115" t="s">
        <v>40</v>
      </c>
      <c r="C10" s="118">
        <f>SUM('budget (11)'!D42)</f>
        <v>34354258</v>
      </c>
      <c r="D10" s="171">
        <v>37993876</v>
      </c>
      <c r="E10" s="171">
        <f>D10/$E$3</f>
        <v>643964</v>
      </c>
      <c r="F10" s="134">
        <f>+'Finanza 02.25'!E7</f>
        <v>0</v>
      </c>
      <c r="G10" s="134">
        <f>+'Finanza 02.25'!F7</f>
        <v>0</v>
      </c>
      <c r="H10" s="134"/>
      <c r="I10" s="134"/>
      <c r="J10" s="134">
        <f t="shared" si="0"/>
        <v>0</v>
      </c>
      <c r="K10" s="129">
        <f t="shared" si="1"/>
        <v>0</v>
      </c>
      <c r="L10" s="129">
        <f>+D10-F10</f>
        <v>37993876</v>
      </c>
      <c r="M10" s="183"/>
      <c r="N10" s="184"/>
      <c r="O10" s="183"/>
      <c r="P10" s="183"/>
    </row>
    <row r="11" spans="1:16">
      <c r="B11" s="254" t="s">
        <v>41</v>
      </c>
      <c r="C11" s="261">
        <f t="shared" ref="C11:I11" si="2">SUM(C6:C10)</f>
        <v>1923838470</v>
      </c>
      <c r="D11" s="261">
        <f>SUM(D6:D10)</f>
        <v>2165650928</v>
      </c>
      <c r="E11" s="261">
        <f>SUM(E6:E10)</f>
        <v>36705947.93220339</v>
      </c>
      <c r="F11" s="262">
        <f t="shared" si="2"/>
        <v>13518745.619999999</v>
      </c>
      <c r="G11" s="262">
        <f t="shared" si="2"/>
        <v>12633745.620000001</v>
      </c>
      <c r="H11" s="262">
        <f t="shared" si="2"/>
        <v>0</v>
      </c>
      <c r="I11" s="262">
        <f t="shared" si="2"/>
        <v>0</v>
      </c>
      <c r="J11" s="262">
        <f>SUM(J6:J10)</f>
        <v>12633745.620000001</v>
      </c>
      <c r="K11" s="262">
        <f>SUM(K6:K10)</f>
        <v>884999.99999999907</v>
      </c>
      <c r="L11" s="262">
        <f>SUM(L6:L10)</f>
        <v>2114138306.3799999</v>
      </c>
      <c r="M11" s="183"/>
      <c r="N11" s="184"/>
      <c r="O11" s="183"/>
      <c r="P11" s="183"/>
    </row>
    <row r="12" spans="1:16">
      <c r="B12" s="112" t="s">
        <v>42</v>
      </c>
      <c r="C12" s="163">
        <f>SUM('budget (11)'!D43)</f>
        <v>137417034</v>
      </c>
      <c r="D12" s="175">
        <v>151975504</v>
      </c>
      <c r="E12" s="175">
        <f>D12/$E$3</f>
        <v>2575856</v>
      </c>
      <c r="F12" s="179">
        <f>+'Finanza 02.25'!E9</f>
        <v>161175.97</v>
      </c>
      <c r="G12" s="179">
        <f>+'Finanza 02.25'!F9</f>
        <v>161175.97</v>
      </c>
      <c r="H12" s="179"/>
      <c r="I12" s="179"/>
      <c r="J12" s="179">
        <f>+G12-H12+I12</f>
        <v>161175.97</v>
      </c>
      <c r="K12" s="179">
        <f t="shared" si="1"/>
        <v>0</v>
      </c>
      <c r="L12" s="179">
        <f>+D12-F12</f>
        <v>151814328.03</v>
      </c>
      <c r="M12" s="183"/>
      <c r="N12" s="184"/>
      <c r="O12" s="183"/>
      <c r="P12" s="183"/>
    </row>
    <row r="13" spans="1:16">
      <c r="B13" s="115" t="s">
        <v>43</v>
      </c>
      <c r="C13" s="165">
        <f>SUM('budget (11)'!D45:D46)</f>
        <v>281704919</v>
      </c>
      <c r="D13" s="176">
        <v>308130334</v>
      </c>
      <c r="E13" s="176">
        <f>D13/$E$3</f>
        <v>5222548.0338983051</v>
      </c>
      <c r="F13" s="178">
        <f>+'Finanza 02.25'!E10</f>
        <v>0</v>
      </c>
      <c r="G13" s="178">
        <f>+'Finanza 02.25'!F10</f>
        <v>0</v>
      </c>
      <c r="H13" s="178"/>
      <c r="I13" s="178"/>
      <c r="J13" s="178">
        <f t="shared" ref="J13:J16" si="3">+G13-H13+I13</f>
        <v>0</v>
      </c>
      <c r="K13" s="178">
        <f>F13-J13</f>
        <v>0</v>
      </c>
      <c r="L13" s="178">
        <f>+D13-F13</f>
        <v>308130334</v>
      </c>
      <c r="M13" s="183"/>
      <c r="N13" s="184"/>
      <c r="O13" s="183"/>
      <c r="P13" s="183"/>
    </row>
    <row r="14" spans="1:16">
      <c r="B14" s="112" t="s">
        <v>44</v>
      </c>
      <c r="C14" s="163">
        <f>SUM('budget (11)'!D47)</f>
        <v>67334346</v>
      </c>
      <c r="D14" s="175">
        <v>75797782</v>
      </c>
      <c r="E14" s="175">
        <f>D14/$E$3</f>
        <v>1284708.1694915255</v>
      </c>
      <c r="F14" s="179">
        <f>+'Finanza 02.25'!E11</f>
        <v>453321.21</v>
      </c>
      <c r="G14" s="179">
        <f>+'Finanza 02.25'!F11</f>
        <v>453321.21</v>
      </c>
      <c r="H14" s="179"/>
      <c r="I14" s="179"/>
      <c r="J14" s="179">
        <f t="shared" si="3"/>
        <v>453321.21</v>
      </c>
      <c r="K14" s="179">
        <f t="shared" si="1"/>
        <v>0</v>
      </c>
      <c r="L14" s="179">
        <f>+D14-F14</f>
        <v>75344460.790000007</v>
      </c>
      <c r="M14" s="183"/>
      <c r="N14" s="184"/>
      <c r="O14" s="183"/>
      <c r="P14" s="183"/>
    </row>
    <row r="15" spans="1:16">
      <c r="A15">
        <v>1</v>
      </c>
      <c r="B15" s="115" t="s">
        <v>45</v>
      </c>
      <c r="C15" s="165">
        <f>SUM('budget (11)'!D48:D49)</f>
        <v>51531387.949999996</v>
      </c>
      <c r="D15" s="176">
        <v>56990814</v>
      </c>
      <c r="E15" s="176">
        <f>D15/$E$3</f>
        <v>965946</v>
      </c>
      <c r="F15" s="178">
        <f>+'Finanza 02.25'!E12</f>
        <v>17125972.850000001</v>
      </c>
      <c r="G15" s="178">
        <f>+'Finanza 02.25'!F12</f>
        <v>15076353.01</v>
      </c>
      <c r="H15" s="178">
        <f>+'CXP 02.25'!H20</f>
        <v>856562.65</v>
      </c>
      <c r="I15" s="178"/>
      <c r="J15" s="178">
        <f>+G15-H15+I15</f>
        <v>14219790.359999999</v>
      </c>
      <c r="K15" s="178">
        <f>F15-J15</f>
        <v>2906182.4900000021</v>
      </c>
      <c r="L15" s="178">
        <f>+D15-F15</f>
        <v>39864841.149999999</v>
      </c>
      <c r="M15" s="183"/>
      <c r="N15" s="184"/>
      <c r="O15" s="183"/>
      <c r="P15" s="183"/>
    </row>
    <row r="16" spans="1:16">
      <c r="B16" s="112" t="s">
        <v>46</v>
      </c>
      <c r="C16" s="163">
        <f>SUM('budget (11)'!D50)</f>
        <v>19238385</v>
      </c>
      <c r="D16" s="175">
        <v>21656506</v>
      </c>
      <c r="E16" s="175">
        <f>D16/$E$3</f>
        <v>367059.42372881353</v>
      </c>
      <c r="F16" s="179">
        <f>+'Finanza 02.25'!E13</f>
        <v>0</v>
      </c>
      <c r="G16" s="179">
        <f>+'Finanza 02.25'!F13</f>
        <v>0</v>
      </c>
      <c r="H16" s="179"/>
      <c r="I16" s="179"/>
      <c r="J16" s="179">
        <f t="shared" si="3"/>
        <v>0</v>
      </c>
      <c r="K16" s="179">
        <f t="shared" si="1"/>
        <v>0</v>
      </c>
      <c r="L16" s="179">
        <f>+D16-F16</f>
        <v>21656506</v>
      </c>
      <c r="M16" s="183"/>
      <c r="N16" s="184"/>
      <c r="O16" s="183"/>
      <c r="P16" s="183"/>
    </row>
    <row r="17" spans="2:16">
      <c r="B17" s="254" t="s">
        <v>47</v>
      </c>
      <c r="C17" s="261">
        <f t="shared" ref="C17:K17" si="4">SUM(C12:C16)</f>
        <v>557226071.95000005</v>
      </c>
      <c r="D17" s="261">
        <f t="shared" si="4"/>
        <v>614550940</v>
      </c>
      <c r="E17" s="261">
        <f>SUM(E12:E16)</f>
        <v>10416117.627118645</v>
      </c>
      <c r="F17" s="262">
        <f>SUM(F12:F16)</f>
        <v>17740470.030000001</v>
      </c>
      <c r="G17" s="262">
        <f t="shared" si="4"/>
        <v>15690850.189999999</v>
      </c>
      <c r="H17" s="262">
        <f t="shared" si="4"/>
        <v>856562.65</v>
      </c>
      <c r="I17" s="262">
        <f t="shared" si="4"/>
        <v>0</v>
      </c>
      <c r="J17" s="262">
        <f t="shared" si="4"/>
        <v>14834287.539999999</v>
      </c>
      <c r="K17" s="262">
        <f t="shared" si="4"/>
        <v>2906182.4900000021</v>
      </c>
      <c r="L17" s="262">
        <f t="shared" ref="L17" si="5">SUM(L12:L16)</f>
        <v>596810469.97000003</v>
      </c>
      <c r="M17" s="183"/>
      <c r="N17" s="184"/>
      <c r="O17" s="183"/>
      <c r="P17" s="183"/>
    </row>
    <row r="18" spans="2:16">
      <c r="B18" s="112" t="s">
        <v>48</v>
      </c>
      <c r="C18" s="401">
        <f>SUM('budget (11)'!D51:D52)</f>
        <v>15000000</v>
      </c>
      <c r="D18" s="482">
        <v>30500000</v>
      </c>
      <c r="E18" s="482">
        <f>D18/$E$3</f>
        <v>516949.15254237287</v>
      </c>
      <c r="F18" s="402">
        <f>+'Finanza 02.25'!E14</f>
        <v>16827427.559999999</v>
      </c>
      <c r="G18" s="402">
        <f>+'Finanza 02.25'!F14</f>
        <v>12715384.369999999</v>
      </c>
      <c r="H18" s="402"/>
      <c r="I18" s="402">
        <f>+'Anticipos 02.25'!D5</f>
        <v>352775.8</v>
      </c>
      <c r="J18" s="402">
        <f>+G18-H18+I18</f>
        <v>13068160.17</v>
      </c>
      <c r="K18" s="179">
        <f>F18-J18</f>
        <v>3759267.3899999987</v>
      </c>
      <c r="L18" s="179">
        <f>+D18-F18</f>
        <v>13672572.440000001</v>
      </c>
      <c r="M18" s="183"/>
      <c r="N18" s="184"/>
      <c r="O18" s="183"/>
      <c r="P18" s="185"/>
    </row>
    <row r="19" spans="2:16">
      <c r="B19" s="115" t="s">
        <v>49</v>
      </c>
      <c r="C19" s="165">
        <f>SUM('budget (11)'!D4:D10)</f>
        <v>20789999.999999996</v>
      </c>
      <c r="D19" s="176">
        <v>20789999.999999996</v>
      </c>
      <c r="E19" s="176">
        <f>D19/$E$3</f>
        <v>352372.88135593216</v>
      </c>
      <c r="F19" s="178">
        <f>+'Finanza 02.25'!E3</f>
        <v>21946083.890000001</v>
      </c>
      <c r="G19" s="178">
        <f>+'Finanza 02.25'!F3</f>
        <v>21407665.390000001</v>
      </c>
      <c r="H19" s="178">
        <f>+'CXP 02.25'!H12</f>
        <v>60314.2</v>
      </c>
      <c r="I19" s="178">
        <f>+'Anticipos 02.25'!D2+'Anticipos 02.25'!D3+'Anticipos 02.25'!D4</f>
        <v>351250</v>
      </c>
      <c r="J19" s="178">
        <f>+G19-H19+I19</f>
        <v>21698601.190000001</v>
      </c>
      <c r="K19" s="178">
        <f>F19-J19</f>
        <v>247482.69999999925</v>
      </c>
      <c r="L19" s="178">
        <f>+D19-F19</f>
        <v>-1156083.8900000043</v>
      </c>
      <c r="M19" s="183"/>
      <c r="N19" s="184"/>
      <c r="O19" s="183"/>
      <c r="P19" s="183"/>
    </row>
    <row r="20" spans="2:16">
      <c r="B20" s="112" t="s">
        <v>50</v>
      </c>
      <c r="C20" s="163">
        <f>SUM('budget (11)'!D54)</f>
        <v>192383847</v>
      </c>
      <c r="D20" s="175">
        <v>216565093</v>
      </c>
      <c r="E20" s="175">
        <f>D20/$E$3</f>
        <v>3670594.7966101696</v>
      </c>
      <c r="F20" s="179">
        <f>+'Finanza 02.25'!E16</f>
        <v>0</v>
      </c>
      <c r="G20" s="179">
        <f>+'Finanza 02.25'!F16</f>
        <v>0</v>
      </c>
      <c r="H20" s="179"/>
      <c r="I20" s="179"/>
      <c r="J20" s="179">
        <f t="shared" ref="J20:J21" si="6">+G20-H20+I20</f>
        <v>0</v>
      </c>
      <c r="K20" s="179">
        <f t="shared" si="1"/>
        <v>0</v>
      </c>
      <c r="L20" s="179">
        <f>+D20-F20</f>
        <v>216565093</v>
      </c>
      <c r="M20" s="183"/>
      <c r="N20" s="184"/>
      <c r="O20" s="183"/>
      <c r="P20" s="183"/>
    </row>
    <row r="21" spans="2:16">
      <c r="B21" s="115" t="s">
        <v>51</v>
      </c>
      <c r="C21" s="165">
        <f>SUM('budget (11)'!D53)</f>
        <v>19238385</v>
      </c>
      <c r="D21" s="176">
        <v>21656509</v>
      </c>
      <c r="E21" s="176">
        <f>D21/$E$3</f>
        <v>367059.4745762712</v>
      </c>
      <c r="F21" s="178">
        <f>+'Finanza 02.25'!E15</f>
        <v>0</v>
      </c>
      <c r="G21" s="178">
        <f>+'Finanza 02.25'!F15</f>
        <v>0</v>
      </c>
      <c r="H21" s="178"/>
      <c r="I21" s="178"/>
      <c r="J21" s="178">
        <f t="shared" si="6"/>
        <v>0</v>
      </c>
      <c r="K21" s="178">
        <f t="shared" si="1"/>
        <v>0</v>
      </c>
      <c r="L21" s="178">
        <f>+D21-F21</f>
        <v>21656509</v>
      </c>
      <c r="M21" s="183"/>
      <c r="N21" s="184"/>
      <c r="O21" s="183"/>
      <c r="P21" s="183"/>
    </row>
    <row r="22" spans="2:16">
      <c r="B22" s="254" t="s">
        <v>52</v>
      </c>
      <c r="C22" s="261">
        <f t="shared" ref="C22:L22" si="7">SUM(C18:C21)</f>
        <v>247412232</v>
      </c>
      <c r="D22" s="261">
        <f t="shared" si="7"/>
        <v>289511602</v>
      </c>
      <c r="E22" s="261">
        <f t="shared" si="7"/>
        <v>4906976.3050847454</v>
      </c>
      <c r="F22" s="262">
        <f t="shared" si="7"/>
        <v>38773511.450000003</v>
      </c>
      <c r="G22" s="262">
        <f t="shared" si="7"/>
        <v>34123049.759999998</v>
      </c>
      <c r="H22" s="262">
        <f t="shared" si="7"/>
        <v>60314.2</v>
      </c>
      <c r="I22" s="262">
        <f t="shared" si="7"/>
        <v>704025.8</v>
      </c>
      <c r="J22" s="262">
        <f t="shared" si="7"/>
        <v>34766761.359999999</v>
      </c>
      <c r="K22" s="262">
        <f t="shared" si="7"/>
        <v>4006750.089999998</v>
      </c>
      <c r="L22" s="262">
        <f t="shared" si="7"/>
        <v>250738090.55000001</v>
      </c>
      <c r="M22" s="183"/>
      <c r="N22" s="184"/>
      <c r="O22" s="183"/>
      <c r="P22" s="183"/>
    </row>
    <row r="23" spans="2:16" ht="18.600000000000001" thickBot="1">
      <c r="B23" s="333" t="s">
        <v>229</v>
      </c>
      <c r="C23" s="331">
        <f>C5+C11+C17+C22</f>
        <v>2831861942.9499998</v>
      </c>
      <c r="D23" s="331">
        <f>D5+D11+D17+D22</f>
        <v>3173098639</v>
      </c>
      <c r="E23" s="331">
        <f>E5+E11+E17+E22</f>
        <v>53781332.864406779</v>
      </c>
      <c r="F23" s="329">
        <f t="shared" ref="F23:L23" si="8">F22+F17+F11+F5</f>
        <v>164205068.93000001</v>
      </c>
      <c r="G23" s="329">
        <f t="shared" si="8"/>
        <v>156619987.39999998</v>
      </c>
      <c r="H23" s="329">
        <f t="shared" si="8"/>
        <v>916876.85</v>
      </c>
      <c r="I23" s="329">
        <f t="shared" si="8"/>
        <v>704025.8</v>
      </c>
      <c r="J23" s="329">
        <f>J22+J17+J11+J5</f>
        <v>156407136.34999999</v>
      </c>
      <c r="K23" s="329">
        <f>K22+K17+K11+K5</f>
        <v>7797932.5799999991</v>
      </c>
      <c r="L23" s="329">
        <f t="shared" si="8"/>
        <v>2970899694.0699997</v>
      </c>
      <c r="M23" s="183"/>
      <c r="N23" s="184"/>
      <c r="O23" s="183"/>
      <c r="P23" s="183"/>
    </row>
    <row r="24" spans="2:16" ht="15" thickBot="1">
      <c r="F24" s="369"/>
      <c r="G24" s="369"/>
      <c r="H24" s="369"/>
      <c r="I24" s="369"/>
      <c r="J24" s="369"/>
      <c r="K24" s="320"/>
      <c r="L24" s="368"/>
    </row>
    <row r="25" spans="2:16" ht="15" thickBot="1">
      <c r="D25" s="320"/>
      <c r="F25" s="368"/>
      <c r="G25" s="368"/>
      <c r="H25" s="434" t="s">
        <v>653</v>
      </c>
      <c r="I25" s="435">
        <f>+'BCE 02.25'!C41</f>
        <v>159695773.63999999</v>
      </c>
      <c r="J25" s="368">
        <v>160000000</v>
      </c>
      <c r="K25" s="142"/>
      <c r="L25" s="108"/>
      <c r="N25" s="186" t="s">
        <v>189</v>
      </c>
      <c r="O25" s="190">
        <v>2831861942.3920002</v>
      </c>
    </row>
    <row r="26" spans="2:16" ht="15" thickBot="1">
      <c r="D26" s="370"/>
      <c r="E26" s="320"/>
      <c r="F26" s="474"/>
      <c r="H26" s="436" t="s">
        <v>654</v>
      </c>
      <c r="I26" s="437">
        <f>-'BCE 02.25'!C9-'BCE 02.25'!C10-'BCE 02.25'!C12-'BCE 02.25'!C13-'BCE 02.25'!C11</f>
        <v>-4771271.82</v>
      </c>
      <c r="J26" s="108">
        <f>J25-J23</f>
        <v>3592863.650000006</v>
      </c>
      <c r="K26" s="320"/>
      <c r="N26" s="188" t="s">
        <v>190</v>
      </c>
      <c r="O26" s="189">
        <f>C23</f>
        <v>2831861942.9499998</v>
      </c>
    </row>
    <row r="27" spans="2:16" ht="15" thickBot="1">
      <c r="C27" s="489"/>
      <c r="D27" s="370"/>
      <c r="F27" s="474"/>
      <c r="H27" s="441" t="s">
        <v>655</v>
      </c>
      <c r="I27" s="442">
        <f>+'BCE 02.25'!C32+'BCE 02.25'!C33+'BCE 02.25'!C34+'BCE 02.25'!C31</f>
        <v>607838.31999999995</v>
      </c>
      <c r="J27" s="445">
        <f>+K23</f>
        <v>7797932.5799999991</v>
      </c>
      <c r="K27" s="320"/>
      <c r="N27" s="187" t="s">
        <v>191</v>
      </c>
      <c r="O27" s="191">
        <f>O25-O26</f>
        <v>-0.55799961090087891</v>
      </c>
    </row>
    <row r="28" spans="2:16">
      <c r="C28" s="489"/>
      <c r="D28" s="370"/>
      <c r="F28" s="474"/>
      <c r="H28" s="441" t="s">
        <v>808</v>
      </c>
      <c r="I28" s="442">
        <f>+'BCE 02.25'!C30</f>
        <v>594040.87</v>
      </c>
      <c r="J28" s="445"/>
      <c r="K28" s="320"/>
      <c r="N28" s="183"/>
      <c r="O28" s="508"/>
    </row>
    <row r="29" spans="2:16">
      <c r="C29" s="489"/>
      <c r="D29" s="370"/>
      <c r="F29" s="474"/>
      <c r="H29" s="441" t="s">
        <v>896</v>
      </c>
      <c r="I29" s="442">
        <f>-'BCE 02.25'!C17</f>
        <v>-16645.849999999999</v>
      </c>
      <c r="J29" s="445"/>
      <c r="K29" s="320"/>
      <c r="N29" s="183"/>
      <c r="O29" s="508"/>
    </row>
    <row r="30" spans="2:16">
      <c r="C30" s="489"/>
      <c r="D30" s="370"/>
      <c r="F30" s="474"/>
      <c r="H30" s="441" t="s">
        <v>888</v>
      </c>
      <c r="I30" s="442">
        <f>+'CXP 02.25'!H8</f>
        <v>124341.02</v>
      </c>
      <c r="J30" s="445"/>
      <c r="K30" s="320"/>
      <c r="N30" s="183"/>
      <c r="O30" s="508"/>
    </row>
    <row r="31" spans="2:16" ht="15" thickBot="1">
      <c r="C31" s="369"/>
      <c r="D31" s="370"/>
      <c r="H31" s="438" t="s">
        <v>656</v>
      </c>
      <c r="I31" s="439">
        <f>SUM(I25:I30)</f>
        <v>156234076.18000001</v>
      </c>
      <c r="J31" s="445">
        <f>J26-J27</f>
        <v>-4205068.9299999932</v>
      </c>
    </row>
    <row r="32" spans="2:16">
      <c r="C32" s="161"/>
      <c r="D32" s="370"/>
      <c r="H32" s="440" t="s">
        <v>657</v>
      </c>
      <c r="I32" s="445">
        <f>+J23</f>
        <v>156407136.34999999</v>
      </c>
    </row>
    <row r="33" spans="2:11">
      <c r="H33" s="443" t="s">
        <v>658</v>
      </c>
      <c r="I33" s="443">
        <f>+I31-I32</f>
        <v>-173060.16999998689</v>
      </c>
      <c r="J33" s="444">
        <f>+'BCE 02.25'!C42+'BCE 02.25'!C43</f>
        <v>173060.24</v>
      </c>
      <c r="K33" s="444">
        <f>+I33+J33</f>
        <v>7.0000013103708625E-2</v>
      </c>
    </row>
    <row r="34" spans="2:11">
      <c r="B34" s="192"/>
      <c r="C34" s="192"/>
      <c r="D34" s="192"/>
      <c r="E34" s="192"/>
      <c r="F34" s="192"/>
      <c r="G34" s="192"/>
      <c r="H34" s="192"/>
      <c r="I34" s="192"/>
      <c r="J34" s="192"/>
      <c r="K34" s="192"/>
    </row>
    <row r="36" spans="2:11">
      <c r="B36" s="254" t="s">
        <v>47</v>
      </c>
    </row>
    <row r="37" spans="2:11">
      <c r="B37" s="112" t="s">
        <v>48</v>
      </c>
    </row>
    <row r="38" spans="2:11">
      <c r="B38" s="115" t="s">
        <v>49</v>
      </c>
    </row>
    <row r="39" spans="2:11">
      <c r="B39" s="112" t="s">
        <v>50</v>
      </c>
    </row>
    <row r="40" spans="2:11">
      <c r="B40" s="115" t="s">
        <v>51</v>
      </c>
    </row>
    <row r="41" spans="2:11">
      <c r="B41" s="254" t="s">
        <v>52</v>
      </c>
    </row>
    <row r="42" spans="2:11" ht="18.600000000000001" thickBot="1">
      <c r="B42" s="333" t="s">
        <v>229</v>
      </c>
    </row>
    <row r="44" spans="2:11" ht="15" thickBot="1"/>
    <row r="45" spans="2:11">
      <c r="B45" s="335" t="s">
        <v>234</v>
      </c>
      <c r="C45" s="336">
        <v>160000000</v>
      </c>
      <c r="D45" s="336"/>
      <c r="E45" s="336"/>
    </row>
    <row r="46" spans="2:11">
      <c r="B46" s="112" t="s">
        <v>153</v>
      </c>
      <c r="C46" s="403">
        <f>J23+J27</f>
        <v>164205068.93000001</v>
      </c>
      <c r="D46" s="403"/>
      <c r="E46" s="403">
        <f>C46/C45</f>
        <v>1.0262816808125002</v>
      </c>
    </row>
    <row r="47" spans="2:11" ht="15" thickBot="1">
      <c r="B47" s="339" t="s">
        <v>154</v>
      </c>
      <c r="C47" s="340">
        <f>C45-C46</f>
        <v>-4205068.9300000072</v>
      </c>
      <c r="D47" s="340"/>
      <c r="E47" s="340">
        <f>C47/C45</f>
        <v>-2.6281680812500045E-2</v>
      </c>
    </row>
  </sheetData>
  <mergeCells count="8">
    <mergeCell ref="M1:P2"/>
    <mergeCell ref="F3:F4"/>
    <mergeCell ref="G3:G4"/>
    <mergeCell ref="H3:H4"/>
    <mergeCell ref="I3:I4"/>
    <mergeCell ref="J3:J4"/>
    <mergeCell ref="K3:K4"/>
    <mergeCell ref="L3:L4"/>
  </mergeCells>
  <conditionalFormatting sqref="M6:M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M9">
    <cfRule type="iconSet" priority="1">
      <iconSet iconSet="3Arrows">
        <cfvo type="percent" val="0"/>
        <cfvo type="percent" val="45"/>
        <cfvo type="percent" val="80"/>
      </iconSet>
    </cfRule>
  </conditionalFormatting>
  <conditionalFormatting sqref="M13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M15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M19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M21">
    <cfRule type="iconSet" priority="2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64812-37EA-494C-A4AE-31E5ED043C40}">
  <dimension ref="B2:L45"/>
  <sheetViews>
    <sheetView showGridLines="0" topLeftCell="A14" zoomScale="90" zoomScaleNormal="90" workbookViewId="0">
      <selection activeCell="I11" sqref="I11"/>
    </sheetView>
  </sheetViews>
  <sheetFormatPr baseColWidth="10" defaultColWidth="11.44140625" defaultRowHeight="14.4"/>
  <cols>
    <col min="1" max="1" width="18.6640625" customWidth="1"/>
    <col min="2" max="2" width="39.88671875" bestFit="1" customWidth="1"/>
    <col min="3" max="3" width="18.44140625" bestFit="1" customWidth="1"/>
    <col min="4" max="4" width="18" bestFit="1" customWidth="1"/>
    <col min="5" max="5" width="16.88671875" bestFit="1" customWidth="1"/>
    <col min="6" max="6" width="18.6640625" customWidth="1"/>
    <col min="7" max="7" width="18.5546875" customWidth="1"/>
    <col min="8" max="8" width="17.5546875" bestFit="1" customWidth="1"/>
    <col min="10" max="10" width="15.5546875" bestFit="1" customWidth="1"/>
    <col min="11" max="11" width="14.33203125" bestFit="1" customWidth="1"/>
    <col min="12" max="12" width="13.6640625" bestFit="1" customWidth="1"/>
  </cols>
  <sheetData>
    <row r="2" spans="2:8">
      <c r="D2">
        <v>59.9</v>
      </c>
    </row>
    <row r="3" spans="2:8">
      <c r="B3" s="142">
        <v>160000000</v>
      </c>
      <c r="C3" s="162">
        <f>B3-C4</f>
        <v>65967960.159999996</v>
      </c>
      <c r="D3" s="162">
        <f>C3-(SUM(D5:D8))</f>
        <v>41084982.207438283</v>
      </c>
    </row>
    <row r="4" spans="2:8" ht="15" thickBot="1">
      <c r="B4" s="284" t="s">
        <v>259</v>
      </c>
      <c r="C4" s="142">
        <v>94032039.840000004</v>
      </c>
      <c r="D4" s="142"/>
    </row>
    <row r="5" spans="2:8" ht="15.6" thickTop="1" thickBot="1">
      <c r="B5" s="284" t="s">
        <v>260</v>
      </c>
      <c r="C5" s="142"/>
      <c r="D5" s="162">
        <f>D10*$D$2</f>
        <v>9215810.2113617156</v>
      </c>
    </row>
    <row r="6" spans="2:8" ht="15.6" thickTop="1" thickBot="1">
      <c r="B6" s="285" t="s">
        <v>261</v>
      </c>
      <c r="C6" s="142"/>
      <c r="D6" s="162">
        <f t="shared" ref="D6:D8" si="0">D11*$D$2</f>
        <v>781278.0959999999</v>
      </c>
    </row>
    <row r="7" spans="2:8" ht="15.6" thickTop="1" thickBot="1">
      <c r="B7" s="285" t="s">
        <v>149</v>
      </c>
      <c r="C7" s="142"/>
      <c r="D7" s="162">
        <f t="shared" si="0"/>
        <v>11511123.645199999</v>
      </c>
    </row>
    <row r="8" spans="2:8" ht="15.6" thickTop="1" thickBot="1">
      <c r="B8" s="285" t="s">
        <v>262</v>
      </c>
      <c r="C8" s="142"/>
      <c r="D8" s="162">
        <f t="shared" si="0"/>
        <v>3374766</v>
      </c>
    </row>
    <row r="9" spans="2:8" ht="15" thickTop="1"/>
    <row r="10" spans="2:8">
      <c r="D10" s="142">
        <v>153853.25895428573</v>
      </c>
    </row>
    <row r="11" spans="2:8">
      <c r="D11" s="142">
        <v>13043.039999999999</v>
      </c>
    </row>
    <row r="12" spans="2:8">
      <c r="D12" s="142">
        <v>192172.348</v>
      </c>
    </row>
    <row r="13" spans="2:8">
      <c r="D13" s="142">
        <v>56340</v>
      </c>
    </row>
    <row r="16" spans="2:8" ht="31.2">
      <c r="B16" s="342"/>
      <c r="C16" s="343" t="s">
        <v>263</v>
      </c>
      <c r="D16" s="344" t="s">
        <v>897</v>
      </c>
      <c r="E16" s="343">
        <v>45717</v>
      </c>
      <c r="F16" s="343">
        <v>45748</v>
      </c>
      <c r="G16" s="343">
        <v>45778</v>
      </c>
      <c r="H16" s="343">
        <v>45809</v>
      </c>
    </row>
    <row r="17" spans="2:8" ht="15.6">
      <c r="B17" s="345" t="s">
        <v>265</v>
      </c>
      <c r="C17" s="346">
        <v>160000000</v>
      </c>
      <c r="D17" s="347"/>
      <c r="E17" s="347"/>
      <c r="F17" s="347"/>
      <c r="G17" s="347"/>
      <c r="H17" s="347"/>
    </row>
    <row r="18" spans="2:8" ht="15.6">
      <c r="B18" s="345" t="s">
        <v>266</v>
      </c>
      <c r="C18" s="152"/>
      <c r="D18" s="348">
        <f>C17-D19</f>
        <v>3592863.650000006</v>
      </c>
      <c r="E18" s="348">
        <f>D18-E19</f>
        <v>-5538529.4299999923</v>
      </c>
      <c r="F18" s="348">
        <f>E18-F19</f>
        <v>-16975571.819999993</v>
      </c>
      <c r="G18" s="348">
        <f t="shared" ref="G18:H18" si="1">F18-G19</f>
        <v>-20875571.819999993</v>
      </c>
      <c r="H18" s="348">
        <f t="shared" si="1"/>
        <v>-25525571.819999993</v>
      </c>
    </row>
    <row r="19" spans="2:8" ht="15.6">
      <c r="B19" s="345" t="s">
        <v>267</v>
      </c>
      <c r="C19" s="349"/>
      <c r="D19" s="346">
        <f>SUM(D21:D33)</f>
        <v>156407136.34999999</v>
      </c>
      <c r="E19" s="346">
        <f>SUM(E21:E33)</f>
        <v>9131393.0799999982</v>
      </c>
      <c r="F19" s="346">
        <f>SUM(F21:F33)</f>
        <v>11437042.390000001</v>
      </c>
      <c r="G19" s="346">
        <f t="shared" ref="G19:H19" si="2">SUM(G21:G33)</f>
        <v>3900000</v>
      </c>
      <c r="H19" s="346">
        <f t="shared" si="2"/>
        <v>4650000</v>
      </c>
    </row>
    <row r="20" spans="2:8" ht="2.4" customHeight="1">
      <c r="B20" s="350"/>
      <c r="C20" s="351"/>
      <c r="D20" s="352"/>
      <c r="E20" s="352"/>
      <c r="F20" s="352"/>
      <c r="G20" s="352"/>
      <c r="H20" s="352"/>
    </row>
    <row r="21" spans="2:8" ht="15.6">
      <c r="B21" s="353" t="s">
        <v>259</v>
      </c>
      <c r="C21" s="354"/>
      <c r="D21" s="355">
        <f>+'PRESENTACIÓN 02-25'!J5</f>
        <v>94172341.829999998</v>
      </c>
      <c r="E21" s="355">
        <f>+'PRESENTACIÓN 11-24'!K5</f>
        <v>0</v>
      </c>
      <c r="F21" s="355"/>
      <c r="G21" s="355"/>
      <c r="H21" s="355"/>
    </row>
    <row r="22" spans="2:8" ht="15.6">
      <c r="B22" s="356" t="s">
        <v>260</v>
      </c>
      <c r="C22" s="349"/>
      <c r="D22" s="346">
        <f>+'PRESENTACIÓN 02-25'!J19</f>
        <v>21698601.190000001</v>
      </c>
      <c r="E22" s="346">
        <f>+'PRESENTACIÓN 02-25'!K19</f>
        <v>247482.69999999925</v>
      </c>
      <c r="F22" s="346"/>
      <c r="G22" s="346"/>
      <c r="H22" s="346"/>
    </row>
    <row r="23" spans="2:8" ht="15.6">
      <c r="B23" s="356" t="s">
        <v>766</v>
      </c>
      <c r="C23" s="354"/>
      <c r="D23" s="355">
        <f>+'PRESENTACIÓN 02-25'!J18</f>
        <v>13068160.17</v>
      </c>
      <c r="E23" s="355">
        <f>+'PRESENTACIÓN 02-25'!K18+L42</f>
        <v>3905587.3899999987</v>
      </c>
      <c r="F23" s="355">
        <f>+'CXP 01.25'!G46</f>
        <v>2587042.39</v>
      </c>
      <c r="G23" s="355"/>
      <c r="H23" s="355"/>
    </row>
    <row r="24" spans="2:8" ht="15.6">
      <c r="B24" s="356" t="s">
        <v>271</v>
      </c>
      <c r="C24" s="349"/>
      <c r="D24" s="357">
        <f>+'PRESENTACIÓN 02-25'!J6</f>
        <v>9219083.5899999999</v>
      </c>
      <c r="E24" s="346">
        <f>+'PRESENTACIÓN 11-24'!K6</f>
        <v>0</v>
      </c>
      <c r="F24" s="346"/>
      <c r="G24" s="346"/>
      <c r="H24" s="346"/>
    </row>
    <row r="25" spans="2:8" ht="15.6">
      <c r="B25" s="356" t="s">
        <v>449</v>
      </c>
      <c r="C25" s="354"/>
      <c r="D25" s="355">
        <f>+'PRESENTACIÓN 02-25'!J15</f>
        <v>14219790.359999999</v>
      </c>
      <c r="E25" s="355">
        <f>+'PRESENTACIÓN 02-25'!K15</f>
        <v>2906182.4900000021</v>
      </c>
      <c r="F25" s="355">
        <v>3600000</v>
      </c>
      <c r="G25" s="355">
        <v>1650000</v>
      </c>
      <c r="H25" s="355">
        <v>1650000</v>
      </c>
    </row>
    <row r="26" spans="2:8" ht="15.6">
      <c r="B26" s="356" t="s">
        <v>810</v>
      </c>
      <c r="C26" s="349"/>
      <c r="D26" s="346">
        <f>+'PRESENTACIÓN 02-25'!J14</f>
        <v>453321.21</v>
      </c>
      <c r="E26" s="346">
        <f>+L43</f>
        <v>37140.5</v>
      </c>
      <c r="F26" s="346"/>
      <c r="G26" s="346"/>
      <c r="H26" s="346"/>
    </row>
    <row r="27" spans="2:8" ht="3.6" customHeight="1">
      <c r="B27" s="359"/>
      <c r="C27" s="360"/>
      <c r="D27" s="361"/>
      <c r="E27" s="361"/>
      <c r="F27" s="361"/>
      <c r="G27" s="361"/>
      <c r="H27" s="361"/>
    </row>
    <row r="28" spans="2:8" ht="15.6">
      <c r="B28" s="362" t="s">
        <v>767</v>
      </c>
      <c r="C28" s="484"/>
      <c r="D28" s="485">
        <f>+'PRESENTACIÓN 02-25'!J9+'PRESENTACIÓN 02-25'!J12</f>
        <v>3575838.0000000005</v>
      </c>
      <c r="E28" s="485">
        <f>+'PRESENTACIÓN 02-25'!K9</f>
        <v>884999.99999999907</v>
      </c>
      <c r="F28" s="485">
        <v>500000</v>
      </c>
      <c r="G28" s="485">
        <v>500000</v>
      </c>
      <c r="H28" s="485">
        <v>1000000</v>
      </c>
    </row>
    <row r="29" spans="2:8" ht="15.6">
      <c r="B29" s="362" t="s">
        <v>768</v>
      </c>
      <c r="C29" s="484"/>
      <c r="D29" s="485">
        <v>0</v>
      </c>
      <c r="E29" s="485">
        <v>500000</v>
      </c>
      <c r="F29" s="485">
        <v>500000</v>
      </c>
      <c r="G29" s="485">
        <v>500000</v>
      </c>
      <c r="H29" s="485">
        <v>750000</v>
      </c>
    </row>
    <row r="30" spans="2:8" ht="15.6">
      <c r="B30" s="486" t="s">
        <v>769</v>
      </c>
      <c r="C30" s="487"/>
      <c r="D30" s="488">
        <f>+'PRESENTACIÓN 02-25'!J13</f>
        <v>0</v>
      </c>
      <c r="E30" s="488">
        <v>650000</v>
      </c>
      <c r="F30" s="488">
        <v>650000</v>
      </c>
      <c r="G30" s="488">
        <v>650000</v>
      </c>
      <c r="H30" s="488">
        <v>650000</v>
      </c>
    </row>
    <row r="31" spans="2:8" ht="15.6">
      <c r="B31" s="362" t="s">
        <v>770</v>
      </c>
      <c r="C31" s="484"/>
      <c r="D31" s="485">
        <v>0</v>
      </c>
      <c r="E31" s="485">
        <v>0</v>
      </c>
      <c r="F31" s="485">
        <v>600000</v>
      </c>
      <c r="G31" s="485">
        <v>600000</v>
      </c>
      <c r="H31" s="485">
        <v>600000</v>
      </c>
    </row>
    <row r="32" spans="2:8" ht="15.6">
      <c r="B32" s="362" t="s">
        <v>273</v>
      </c>
      <c r="C32" s="349"/>
      <c r="D32" s="346"/>
      <c r="E32" s="346"/>
      <c r="F32" s="346"/>
      <c r="G32" s="346"/>
      <c r="H32" s="346"/>
    </row>
    <row r="33" spans="2:12" ht="15.6">
      <c r="B33" s="362" t="s">
        <v>274</v>
      </c>
      <c r="C33" s="365"/>
      <c r="D33" s="355"/>
      <c r="E33" s="355"/>
      <c r="F33" s="355">
        <v>3000000</v>
      </c>
      <c r="G33" s="355"/>
      <c r="H33" s="355"/>
    </row>
    <row r="34" spans="2:12">
      <c r="C34" s="298"/>
      <c r="D34" s="299"/>
    </row>
    <row r="35" spans="2:12">
      <c r="E35" s="162"/>
    </row>
    <row r="41" spans="2:12">
      <c r="B41" s="142">
        <v>4837716.2100000009</v>
      </c>
      <c r="L41" s="370"/>
    </row>
    <row r="42" spans="2:12">
      <c r="B42" s="142">
        <v>6800000</v>
      </c>
      <c r="C42" t="s">
        <v>230</v>
      </c>
      <c r="J42" t="s">
        <v>898</v>
      </c>
      <c r="K42" t="s">
        <v>899</v>
      </c>
      <c r="L42" s="370">
        <v>146320</v>
      </c>
    </row>
    <row r="43" spans="2:12">
      <c r="B43" s="142">
        <v>8480849.7899999991</v>
      </c>
      <c r="C43" t="s">
        <v>231</v>
      </c>
      <c r="J43" t="s">
        <v>900</v>
      </c>
      <c r="K43" t="s">
        <v>901</v>
      </c>
      <c r="L43" s="370">
        <f>590*62.95</f>
        <v>37140.5</v>
      </c>
    </row>
    <row r="44" spans="2:12">
      <c r="B44" s="142">
        <v>2390947.54</v>
      </c>
      <c r="C44" t="s">
        <v>232</v>
      </c>
      <c r="L44" s="509">
        <f>SUM(L42:L43)</f>
        <v>183460.5</v>
      </c>
    </row>
    <row r="45" spans="2:12">
      <c r="B45" s="162">
        <f>SUM(B41:B44)</f>
        <v>22509513.539999999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87A0F-6DCD-4963-8F6B-D7A145B119D7}">
  <dimension ref="A1:D49"/>
  <sheetViews>
    <sheetView showGridLines="0" topLeftCell="A4" zoomScaleNormal="100" workbookViewId="0">
      <selection activeCell="C9" sqref="C9"/>
    </sheetView>
  </sheetViews>
  <sheetFormatPr baseColWidth="10" defaultColWidth="8" defaultRowHeight="11.4"/>
  <cols>
    <col min="1" max="1" width="1.33203125" style="537" customWidth="1"/>
    <col min="2" max="2" width="39.5546875" style="537" customWidth="1"/>
    <col min="3" max="3" width="13.33203125" style="537" customWidth="1"/>
    <col min="4" max="4" width="4.88671875" style="537" customWidth="1"/>
    <col min="5" max="16384" width="8" style="537"/>
  </cols>
  <sheetData>
    <row r="1" spans="1:4" s="545" customFormat="1" ht="16.649999999999999" customHeight="1">
      <c r="A1" s="1921" t="s">
        <v>235</v>
      </c>
      <c r="B1" s="1921"/>
      <c r="C1" s="1921"/>
      <c r="D1" s="1921"/>
    </row>
    <row r="2" spans="1:4" s="544" customFormat="1" ht="14.4" customHeight="1">
      <c r="A2" s="1922" t="s">
        <v>236</v>
      </c>
      <c r="B2" s="1922"/>
      <c r="C2" s="1922"/>
      <c r="D2" s="1922"/>
    </row>
    <row r="3" spans="1:4" s="544" customFormat="1" ht="14.4" customHeight="1">
      <c r="A3" s="1922" t="s">
        <v>902</v>
      </c>
      <c r="B3" s="1922"/>
      <c r="C3" s="1922"/>
      <c r="D3" s="1922"/>
    </row>
    <row r="4" spans="1:4" ht="13.35" customHeight="1"/>
    <row r="5" spans="1:4" s="543" customFormat="1" ht="12.15" customHeight="1">
      <c r="A5" s="1923"/>
      <c r="B5" s="1924" t="s">
        <v>238</v>
      </c>
      <c r="C5" s="1925" t="s">
        <v>903</v>
      </c>
      <c r="D5" s="1925"/>
    </row>
    <row r="6" spans="1:4" ht="13.35" customHeight="1"/>
    <row r="7" spans="1:4" s="543" customFormat="1" ht="12.15" customHeight="1">
      <c r="A7" s="1923" t="s">
        <v>239</v>
      </c>
      <c r="B7" s="1923"/>
      <c r="C7" s="1923"/>
      <c r="D7" s="1923"/>
    </row>
    <row r="8" spans="1:4" ht="10.95" customHeight="1">
      <c r="A8" s="1926"/>
      <c r="B8" s="1926" t="s">
        <v>638</v>
      </c>
      <c r="C8" s="1926"/>
      <c r="D8" s="1926"/>
    </row>
    <row r="9" spans="1:4" ht="10.95" customHeight="1">
      <c r="B9" s="539" t="s">
        <v>639</v>
      </c>
      <c r="C9" s="540">
        <v>808642.63</v>
      </c>
      <c r="D9" s="539"/>
    </row>
    <row r="10" spans="1:4" ht="10.95" customHeight="1">
      <c r="B10" s="539" t="s">
        <v>640</v>
      </c>
      <c r="C10" s="540">
        <v>21428.53</v>
      </c>
      <c r="D10" s="539" t="s">
        <v>641</v>
      </c>
    </row>
    <row r="11" spans="1:4" ht="10.95" customHeight="1">
      <c r="B11" s="539" t="s">
        <v>799</v>
      </c>
      <c r="C11" s="540">
        <v>751729.58</v>
      </c>
      <c r="D11" s="539" t="s">
        <v>641</v>
      </c>
    </row>
    <row r="12" spans="1:4" ht="10.95" customHeight="1">
      <c r="B12" s="539" t="s">
        <v>844</v>
      </c>
      <c r="C12" s="540">
        <v>131174.22</v>
      </c>
      <c r="D12" s="539" t="s">
        <v>641</v>
      </c>
    </row>
    <row r="13" spans="1:4" ht="10.95" customHeight="1">
      <c r="B13" s="539" t="s">
        <v>845</v>
      </c>
      <c r="C13" s="540">
        <v>147169.74</v>
      </c>
      <c r="D13" s="539"/>
    </row>
    <row r="14" spans="1:4" ht="10.95" customHeight="1">
      <c r="B14" s="1927" t="s">
        <v>642</v>
      </c>
      <c r="C14" s="1928">
        <f>SUM(C9:C13)</f>
        <v>1860144.7</v>
      </c>
      <c r="D14" s="1927"/>
    </row>
    <row r="15" spans="1:4" ht="10.95" customHeight="1">
      <c r="A15" s="1926"/>
      <c r="B15" s="1926" t="s">
        <v>240</v>
      </c>
      <c r="C15" s="1926"/>
      <c r="D15" s="1926"/>
    </row>
    <row r="16" spans="1:4" ht="10.95" customHeight="1">
      <c r="B16" s="539" t="s">
        <v>241</v>
      </c>
      <c r="C16" s="540">
        <v>704025.8</v>
      </c>
      <c r="D16" s="539"/>
    </row>
    <row r="17" spans="1:4" ht="10.95" customHeight="1">
      <c r="B17" s="1927" t="s">
        <v>242</v>
      </c>
      <c r="C17" s="1928">
        <f>C16</f>
        <v>704025.8</v>
      </c>
      <c r="D17" s="1927"/>
    </row>
    <row r="18" spans="1:4" ht="10.95" customHeight="1">
      <c r="A18" s="1926"/>
      <c r="B18" s="1926" t="s">
        <v>243</v>
      </c>
      <c r="C18" s="1926"/>
      <c r="D18" s="1926"/>
    </row>
    <row r="19" spans="1:4" ht="10.95" customHeight="1">
      <c r="B19" s="539" t="s">
        <v>800</v>
      </c>
      <c r="C19" s="540">
        <v>35072731.009999998</v>
      </c>
      <c r="D19" s="539"/>
    </row>
    <row r="20" spans="1:4" ht="10.95" customHeight="1">
      <c r="B20" s="539" t="s">
        <v>245</v>
      </c>
      <c r="C20" s="540">
        <v>17032973.210000001</v>
      </c>
      <c r="D20" s="539"/>
    </row>
    <row r="21" spans="1:4" ht="10.95" customHeight="1">
      <c r="B21" s="539" t="s">
        <v>801</v>
      </c>
      <c r="C21" s="540">
        <v>12715384.380000001</v>
      </c>
      <c r="D21" s="539"/>
    </row>
    <row r="22" spans="1:4" ht="10.95" customHeight="1">
      <c r="B22" s="539" t="s">
        <v>33</v>
      </c>
      <c r="C22" s="540">
        <v>94172341.829999998</v>
      </c>
      <c r="D22" s="539"/>
    </row>
    <row r="23" spans="1:4" ht="10.95" customHeight="1">
      <c r="B23" s="1927" t="s">
        <v>247</v>
      </c>
      <c r="C23" s="1928">
        <f>SUM(C19:C22)</f>
        <v>158993430.43000001</v>
      </c>
      <c r="D23" s="1927"/>
    </row>
    <row r="24" spans="1:4" ht="10.95" customHeight="1">
      <c r="A24" s="1927" t="s">
        <v>248</v>
      </c>
      <c r="C24" s="1928">
        <f>(0 + ((C14 + C17) + C23))</f>
        <v>161557600.93000001</v>
      </c>
      <c r="D24" s="1927"/>
    </row>
    <row r="25" spans="1:4" ht="13.35" customHeight="1"/>
    <row r="26" spans="1:4" s="543" customFormat="1" ht="12.15" customHeight="1">
      <c r="A26" s="1923" t="s">
        <v>249</v>
      </c>
      <c r="B26" s="1923"/>
      <c r="C26" s="1923"/>
      <c r="D26" s="1923"/>
    </row>
    <row r="27" spans="1:4" ht="10.95" customHeight="1">
      <c r="A27" s="1926"/>
      <c r="B27" s="1926" t="s">
        <v>250</v>
      </c>
      <c r="C27" s="1926"/>
      <c r="D27" s="1926"/>
    </row>
    <row r="28" spans="1:4" ht="10.95" customHeight="1">
      <c r="B28" s="539" t="s">
        <v>251</v>
      </c>
      <c r="C28" s="540">
        <v>299491.31</v>
      </c>
      <c r="D28" s="539"/>
    </row>
    <row r="29" spans="1:4" ht="10.95" customHeight="1">
      <c r="B29" s="539" t="s">
        <v>802</v>
      </c>
      <c r="C29" s="540">
        <v>717461.85</v>
      </c>
      <c r="D29" s="539"/>
    </row>
    <row r="30" spans="1:4" ht="10.95" customHeight="1">
      <c r="B30" s="539" t="s">
        <v>252</v>
      </c>
      <c r="C30" s="540">
        <v>555946.54</v>
      </c>
      <c r="D30" s="539"/>
    </row>
    <row r="31" spans="1:4" ht="10.95" customHeight="1">
      <c r="B31" s="539" t="s">
        <v>803</v>
      </c>
      <c r="C31" s="540">
        <v>22320</v>
      </c>
      <c r="D31" s="539"/>
    </row>
    <row r="32" spans="1:4" ht="10.95" customHeight="1">
      <c r="B32" s="539" t="s">
        <v>804</v>
      </c>
      <c r="C32" s="540">
        <v>52563.19</v>
      </c>
      <c r="D32" s="539"/>
    </row>
    <row r="33" spans="1:3" ht="10.95" customHeight="1">
      <c r="B33" s="539" t="s">
        <v>813</v>
      </c>
      <c r="C33" s="540">
        <v>20248.05</v>
      </c>
    </row>
    <row r="34" spans="1:3" ht="10.95" customHeight="1">
      <c r="B34" s="539" t="s">
        <v>805</v>
      </c>
      <c r="C34" s="540">
        <v>12400</v>
      </c>
    </row>
    <row r="35" spans="1:3" ht="10.95" customHeight="1">
      <c r="B35" s="1927" t="s">
        <v>253</v>
      </c>
      <c r="C35" s="1928">
        <f>SUM(C28:C34)</f>
        <v>1680430.94</v>
      </c>
    </row>
    <row r="36" spans="1:3" ht="10.95" customHeight="1">
      <c r="A36" s="1927" t="s">
        <v>254</v>
      </c>
      <c r="C36" s="1928">
        <f>(0 + C35)</f>
        <v>1680430.94</v>
      </c>
    </row>
    <row r="37" spans="1:3" ht="13.35" customHeight="1"/>
    <row r="38" spans="1:3" ht="10.95" customHeight="1">
      <c r="B38" s="1929" t="s">
        <v>255</v>
      </c>
      <c r="C38" s="1930">
        <f>(C24 - C36)</f>
        <v>159877169.99000001</v>
      </c>
    </row>
    <row r="39" spans="1:3" ht="13.35" customHeight="1"/>
    <row r="40" spans="1:3" s="543" customFormat="1" ht="12.15" customHeight="1">
      <c r="A40" s="1923" t="s">
        <v>256</v>
      </c>
      <c r="B40" s="1923"/>
      <c r="C40" s="1923"/>
    </row>
    <row r="41" spans="1:3" ht="10.95" customHeight="1">
      <c r="B41" s="541" t="s">
        <v>257</v>
      </c>
      <c r="C41" s="542">
        <v>159695773.63999999</v>
      </c>
    </row>
    <row r="42" spans="1:3" ht="10.95" customHeight="1">
      <c r="B42" s="539" t="s">
        <v>647</v>
      </c>
      <c r="C42" s="540">
        <v>41834.22</v>
      </c>
    </row>
    <row r="43" spans="1:3" ht="10.95" customHeight="1">
      <c r="B43" s="539" t="s">
        <v>846</v>
      </c>
      <c r="C43" s="540">
        <v>139562.13</v>
      </c>
    </row>
    <row r="44" spans="1:3" ht="10.95" customHeight="1">
      <c r="A44" s="1927" t="s">
        <v>258</v>
      </c>
      <c r="C44" s="1928">
        <f>SUM(C41:C43)</f>
        <v>159877169.98999998</v>
      </c>
    </row>
    <row r="45" spans="1:3" ht="13.35" customHeight="1"/>
    <row r="46" spans="1:3" ht="13.35" customHeight="1"/>
    <row r="47" spans="1:3" ht="10.95" customHeight="1">
      <c r="A47" s="538" t="s">
        <v>814</v>
      </c>
    </row>
    <row r="48" spans="1:3" ht="10.95" customHeight="1">
      <c r="A48" s="1931" t="s">
        <v>903</v>
      </c>
    </row>
    <row r="49" spans="1:1" ht="10.95" customHeight="1">
      <c r="A49" s="538" t="s">
        <v>904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52AB8-77BF-489E-8C72-BD50AA79CFEA}">
  <dimension ref="A1:G17"/>
  <sheetViews>
    <sheetView workbookViewId="0">
      <selection activeCell="G9" sqref="G9"/>
    </sheetView>
  </sheetViews>
  <sheetFormatPr baseColWidth="10" defaultColWidth="11.44140625" defaultRowHeight="14.4"/>
  <cols>
    <col min="1" max="1" width="35.109375" bestFit="1" customWidth="1"/>
    <col min="2" max="2" width="20.33203125" style="370" customWidth="1"/>
    <col min="3" max="3" width="21.44140625" style="370" customWidth="1"/>
    <col min="4" max="4" width="18.33203125" style="370" bestFit="1" customWidth="1"/>
    <col min="5" max="5" width="16.5546875" style="370" bestFit="1" customWidth="1"/>
    <col min="6" max="6" width="16.6640625" style="370" customWidth="1"/>
    <col min="7" max="7" width="14.6640625" style="370" bestFit="1" customWidth="1"/>
    <col min="8" max="8" width="11.88671875" bestFit="1" customWidth="1"/>
    <col min="9" max="9" width="14.6640625" bestFit="1" customWidth="1"/>
  </cols>
  <sheetData>
    <row r="1" spans="1:6" s="546" customFormat="1" ht="43.2">
      <c r="A1" s="523" t="s">
        <v>458</v>
      </c>
      <c r="B1" s="548" t="s">
        <v>788</v>
      </c>
      <c r="C1" s="548" t="s">
        <v>848</v>
      </c>
      <c r="D1" s="548" t="s">
        <v>885</v>
      </c>
      <c r="E1" s="548" t="s">
        <v>850</v>
      </c>
      <c r="F1" s="548" t="s">
        <v>851</v>
      </c>
    </row>
    <row r="2" spans="1:6">
      <c r="A2" t="s">
        <v>65</v>
      </c>
      <c r="B2" s="370">
        <v>103385169</v>
      </c>
      <c r="C2" s="370">
        <v>0</v>
      </c>
      <c r="D2" s="370">
        <v>103385169</v>
      </c>
      <c r="E2" s="370">
        <v>94172341.829999998</v>
      </c>
      <c r="F2" s="370">
        <v>94172341.829999998</v>
      </c>
    </row>
    <row r="3" spans="1:6">
      <c r="A3" t="s">
        <v>68</v>
      </c>
      <c r="B3" s="370">
        <v>20789999.999999996</v>
      </c>
      <c r="C3" s="370">
        <v>0</v>
      </c>
      <c r="D3" s="370">
        <v>20790000</v>
      </c>
      <c r="E3" s="370">
        <v>22037273.800000001</v>
      </c>
      <c r="F3" s="370">
        <v>21553985.390000001</v>
      </c>
    </row>
    <row r="4" spans="1:6">
      <c r="A4" t="s">
        <v>78</v>
      </c>
      <c r="B4" s="370">
        <v>451758999.99999994</v>
      </c>
      <c r="C4" s="370">
        <v>0</v>
      </c>
      <c r="D4" s="370">
        <v>451758999.99999994</v>
      </c>
      <c r="E4" s="370">
        <v>9219083.5899999999</v>
      </c>
      <c r="F4" s="370">
        <v>9219083.5899999999</v>
      </c>
    </row>
    <row r="5" spans="1:6">
      <c r="A5" t="s">
        <v>90</v>
      </c>
      <c r="B5" s="370">
        <v>1265953920</v>
      </c>
      <c r="C5" s="370">
        <v>0</v>
      </c>
      <c r="D5" s="370">
        <v>1265953920</v>
      </c>
      <c r="E5" s="370">
        <v>0</v>
      </c>
      <c r="F5" s="370">
        <v>0</v>
      </c>
    </row>
    <row r="6" spans="1:6">
      <c r="A6" t="s">
        <v>105</v>
      </c>
      <c r="B6" s="370">
        <v>171771292</v>
      </c>
      <c r="C6" s="370">
        <v>18198088</v>
      </c>
      <c r="D6" s="370">
        <v>189969380</v>
      </c>
      <c r="E6" s="370">
        <v>4299662.03</v>
      </c>
      <c r="F6" s="370">
        <v>4299662.03</v>
      </c>
    </row>
    <row r="7" spans="1:6">
      <c r="A7" t="s">
        <v>108</v>
      </c>
      <c r="B7" s="370">
        <v>34354258</v>
      </c>
      <c r="C7" s="370">
        <v>3639618</v>
      </c>
      <c r="D7" s="370">
        <v>37993876</v>
      </c>
      <c r="E7" s="370">
        <v>0</v>
      </c>
      <c r="F7" s="370">
        <v>0</v>
      </c>
    </row>
    <row r="8" spans="1:6">
      <c r="A8" t="s">
        <v>816</v>
      </c>
      <c r="B8" s="370">
        <v>0</v>
      </c>
      <c r="C8" s="370">
        <v>37993876</v>
      </c>
      <c r="D8" s="370">
        <v>37993876</v>
      </c>
      <c r="E8" s="370">
        <v>0</v>
      </c>
      <c r="F8" s="370">
        <v>0</v>
      </c>
    </row>
    <row r="9" spans="1:6">
      <c r="A9" t="s">
        <v>112</v>
      </c>
      <c r="B9" s="370">
        <v>137417034</v>
      </c>
      <c r="C9" s="370">
        <v>14558470</v>
      </c>
      <c r="D9" s="370">
        <v>151975504</v>
      </c>
      <c r="E9" s="370">
        <v>161175.97</v>
      </c>
      <c r="F9" s="370">
        <v>161175.97</v>
      </c>
    </row>
    <row r="10" spans="1:6">
      <c r="A10" t="s">
        <v>115</v>
      </c>
      <c r="B10" s="370">
        <v>281704919</v>
      </c>
      <c r="C10" s="370">
        <v>26425415</v>
      </c>
      <c r="D10" s="370">
        <v>308130334</v>
      </c>
      <c r="E10" s="370">
        <v>0</v>
      </c>
      <c r="F10" s="370">
        <v>0</v>
      </c>
    </row>
    <row r="11" spans="1:6">
      <c r="A11" t="s">
        <v>119</v>
      </c>
      <c r="B11" s="370">
        <v>67334346</v>
      </c>
      <c r="C11" s="370">
        <v>8463436</v>
      </c>
      <c r="D11" s="370">
        <v>75797782</v>
      </c>
      <c r="E11" s="370">
        <v>490356.1</v>
      </c>
      <c r="F11" s="370">
        <v>490356.1</v>
      </c>
    </row>
    <row r="12" spans="1:6">
      <c r="A12" t="s">
        <v>122</v>
      </c>
      <c r="B12" s="370">
        <v>51531387.949999996</v>
      </c>
      <c r="C12" s="370">
        <v>5459426.0500000045</v>
      </c>
      <c r="D12" s="370">
        <v>56990814</v>
      </c>
      <c r="E12" s="370">
        <v>17329231.640000001</v>
      </c>
      <c r="F12" s="370">
        <v>16381441.08</v>
      </c>
    </row>
    <row r="13" spans="1:6">
      <c r="A13" t="s">
        <v>126</v>
      </c>
      <c r="B13" s="370">
        <v>19238385</v>
      </c>
      <c r="C13" s="370">
        <v>2418121</v>
      </c>
      <c r="D13" s="370">
        <v>21656506</v>
      </c>
      <c r="E13" s="370">
        <v>0</v>
      </c>
      <c r="F13" s="370">
        <v>0</v>
      </c>
    </row>
    <row r="14" spans="1:6">
      <c r="A14" t="s">
        <v>193</v>
      </c>
      <c r="B14" s="370">
        <v>15000000</v>
      </c>
      <c r="C14" s="370">
        <v>15500000</v>
      </c>
      <c r="D14" s="370">
        <v>30500000</v>
      </c>
      <c r="E14" s="370">
        <v>16827427.559999999</v>
      </c>
      <c r="F14" s="370">
        <v>12715384.369999999</v>
      </c>
    </row>
    <row r="15" spans="1:6">
      <c r="A15" t="s">
        <v>133</v>
      </c>
      <c r="B15" s="370">
        <v>19238385</v>
      </c>
      <c r="C15" s="370">
        <v>2418124</v>
      </c>
      <c r="D15" s="370">
        <v>21656509</v>
      </c>
      <c r="E15" s="370">
        <v>0</v>
      </c>
      <c r="F15" s="370">
        <v>0</v>
      </c>
    </row>
    <row r="16" spans="1:6">
      <c r="A16" t="s">
        <v>136</v>
      </c>
      <c r="B16" s="370">
        <v>192383847</v>
      </c>
      <c r="C16" s="370">
        <v>24181246</v>
      </c>
      <c r="D16" s="370">
        <v>216565093</v>
      </c>
      <c r="E16" s="370">
        <v>0</v>
      </c>
      <c r="F16" s="370">
        <v>0</v>
      </c>
    </row>
    <row r="17" spans="2:6">
      <c r="B17" s="432">
        <f>SUM(B2:B16)</f>
        <v>2831861942.9499998</v>
      </c>
      <c r="C17" s="432">
        <f>SUM(C2:C16)</f>
        <v>159255820.05000001</v>
      </c>
      <c r="D17" s="432">
        <f>SUM(D2:D16)</f>
        <v>2991117763</v>
      </c>
      <c r="E17" s="432">
        <f>SUM(E2:E16)</f>
        <v>164536552.51999998</v>
      </c>
      <c r="F17" s="432">
        <f>SUM(F2:F16)</f>
        <v>158993430.36000001</v>
      </c>
    </row>
  </sheetData>
  <autoFilter ref="A1:F1" xr:uid="{DCFAD519-5D8F-4964-9E95-1F3AB7E20DF4}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6E27C-39A0-4A86-A267-CD0E809449BD}">
  <dimension ref="A1:G6"/>
  <sheetViews>
    <sheetView workbookViewId="0">
      <selection activeCell="F13" sqref="F13"/>
    </sheetView>
  </sheetViews>
  <sheetFormatPr baseColWidth="10" defaultColWidth="11.44140625" defaultRowHeight="14.4"/>
  <cols>
    <col min="1" max="1" width="44.6640625" bestFit="1" customWidth="1"/>
    <col min="2" max="2" width="11" bestFit="1" customWidth="1"/>
    <col min="3" max="3" width="11.33203125" style="370" bestFit="1" customWidth="1"/>
    <col min="4" max="4" width="14.5546875" style="370" customWidth="1"/>
    <col min="5" max="5" width="32.5546875" customWidth="1"/>
    <col min="6" max="6" width="32.109375" bestFit="1" customWidth="1"/>
    <col min="7" max="7" width="33.6640625" bestFit="1" customWidth="1"/>
  </cols>
  <sheetData>
    <row r="1" spans="1:7">
      <c r="A1" t="s">
        <v>707</v>
      </c>
      <c r="B1" t="s">
        <v>708</v>
      </c>
      <c r="C1" s="370" t="s">
        <v>164</v>
      </c>
      <c r="D1" s="370" t="s">
        <v>709</v>
      </c>
      <c r="E1" t="s">
        <v>817</v>
      </c>
      <c r="F1" t="s">
        <v>710</v>
      </c>
      <c r="G1" t="s">
        <v>852</v>
      </c>
    </row>
    <row r="2" spans="1:7">
      <c r="A2" t="s">
        <v>735</v>
      </c>
      <c r="B2" s="193">
        <v>45469</v>
      </c>
      <c r="C2" s="370">
        <v>38250</v>
      </c>
      <c r="D2" s="370">
        <v>38250</v>
      </c>
      <c r="E2" t="s">
        <v>821</v>
      </c>
      <c r="F2" t="s">
        <v>853</v>
      </c>
      <c r="G2" t="s">
        <v>853</v>
      </c>
    </row>
    <row r="3" spans="1:7">
      <c r="A3" t="s">
        <v>737</v>
      </c>
      <c r="B3" s="193">
        <v>45429</v>
      </c>
      <c r="C3" s="370">
        <v>40000</v>
      </c>
      <c r="D3" s="370">
        <v>40000</v>
      </c>
      <c r="E3" t="s">
        <v>738</v>
      </c>
      <c r="F3" t="s">
        <v>853</v>
      </c>
      <c r="G3" t="s">
        <v>853</v>
      </c>
    </row>
    <row r="4" spans="1:7">
      <c r="A4" t="s">
        <v>369</v>
      </c>
      <c r="B4" s="193">
        <v>45266</v>
      </c>
      <c r="C4" s="370">
        <v>273000</v>
      </c>
      <c r="D4" s="370">
        <v>273000</v>
      </c>
      <c r="E4" t="s">
        <v>822</v>
      </c>
      <c r="F4" t="s">
        <v>853</v>
      </c>
      <c r="G4" t="s">
        <v>853</v>
      </c>
    </row>
    <row r="5" spans="1:7">
      <c r="A5" t="s">
        <v>795</v>
      </c>
      <c r="B5" s="193">
        <v>45622</v>
      </c>
      <c r="C5" s="370">
        <v>352775.8</v>
      </c>
      <c r="D5" s="370">
        <v>352775.8</v>
      </c>
      <c r="E5" t="s">
        <v>819</v>
      </c>
      <c r="F5" t="s">
        <v>859</v>
      </c>
      <c r="G5" t="s">
        <v>860</v>
      </c>
    </row>
    <row r="6" spans="1:7">
      <c r="D6" s="432">
        <f>SUM(D2:D5)</f>
        <v>704025.8</v>
      </c>
    </row>
  </sheetData>
  <autoFilter ref="A1:G1" xr:uid="{8F833D8D-E3A2-49C0-BA28-FAE8897AAB0B}">
    <sortState xmlns:xlrd2="http://schemas.microsoft.com/office/spreadsheetml/2017/richdata2" ref="A2:G5">
      <sortCondition ref="G1"/>
    </sortState>
  </autoFilter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7E712-9770-4F3E-9AE9-36DD73BC406C}">
  <dimension ref="A1:E15"/>
  <sheetViews>
    <sheetView showGridLines="0" zoomScaleNormal="100" workbookViewId="0">
      <selection activeCell="A23" sqref="A23:A24"/>
    </sheetView>
  </sheetViews>
  <sheetFormatPr baseColWidth="10" defaultColWidth="8" defaultRowHeight="11.4"/>
  <cols>
    <col min="1" max="1" width="55.6640625" style="408" customWidth="1"/>
    <col min="2" max="2" width="12.6640625" style="408" customWidth="1"/>
    <col min="3" max="3" width="24.6640625" style="408" customWidth="1"/>
    <col min="4" max="4" width="9.88671875" style="408" customWidth="1"/>
    <col min="5" max="5" width="37.88671875" style="408" bestFit="1" customWidth="1"/>
    <col min="6" max="16384" width="8" style="408"/>
  </cols>
  <sheetData>
    <row r="1" spans="1:5" s="405" customFormat="1" ht="16.649999999999999" customHeight="1">
      <c r="A1" s="404" t="s">
        <v>771</v>
      </c>
      <c r="B1" s="404"/>
      <c r="C1" s="404"/>
      <c r="D1" s="404"/>
      <c r="E1" s="404"/>
    </row>
    <row r="2" spans="1:5" s="407" customFormat="1" ht="14.4" customHeight="1">
      <c r="A2" s="406" t="s">
        <v>236</v>
      </c>
      <c r="B2" s="406"/>
      <c r="C2" s="406"/>
      <c r="D2" s="406"/>
      <c r="E2" s="406"/>
    </row>
    <row r="3" spans="1:5" s="407" customFormat="1" ht="14.4" customHeight="1">
      <c r="A3" s="406" t="s">
        <v>881</v>
      </c>
      <c r="B3" s="406"/>
      <c r="C3" s="406"/>
      <c r="D3" s="406"/>
      <c r="E3" s="406"/>
    </row>
    <row r="4" spans="1:5" s="407" customFormat="1" ht="14.4" customHeight="1">
      <c r="A4" s="406" t="s">
        <v>724</v>
      </c>
      <c r="B4" s="406"/>
      <c r="C4" s="406"/>
      <c r="D4" s="406"/>
      <c r="E4" s="406"/>
    </row>
    <row r="5" spans="1:5" ht="13.35" customHeight="1"/>
    <row r="6" spans="1:5" s="412" customFormat="1" ht="12.15" customHeight="1">
      <c r="A6" s="410" t="s">
        <v>690</v>
      </c>
      <c r="B6" s="410" t="s">
        <v>689</v>
      </c>
      <c r="C6" s="410" t="s">
        <v>773</v>
      </c>
      <c r="D6" s="411" t="s">
        <v>164</v>
      </c>
      <c r="E6" s="410" t="s">
        <v>862</v>
      </c>
    </row>
    <row r="7" spans="1:5" ht="13.35" customHeight="1"/>
    <row r="8" spans="1:5" s="412" customFormat="1" ht="12.15" customHeight="1">
      <c r="A8" s="409" t="s">
        <v>864</v>
      </c>
      <c r="B8" s="409"/>
      <c r="C8" s="409"/>
      <c r="D8" s="409"/>
      <c r="E8" s="409"/>
    </row>
    <row r="9" spans="1:5" ht="10.95" customHeight="1">
      <c r="A9" s="421" t="s">
        <v>781</v>
      </c>
      <c r="B9" s="429">
        <v>45614</v>
      </c>
      <c r="C9" s="421" t="s">
        <v>782</v>
      </c>
      <c r="D9" s="422">
        <v>74800</v>
      </c>
      <c r="E9" s="421" t="s">
        <v>868</v>
      </c>
    </row>
    <row r="10" spans="1:5" ht="10.95" customHeight="1">
      <c r="A10" s="414" t="s">
        <v>781</v>
      </c>
      <c r="B10" s="430">
        <v>45616</v>
      </c>
      <c r="C10" s="414" t="s">
        <v>783</v>
      </c>
      <c r="D10" s="415">
        <v>18802</v>
      </c>
      <c r="E10" s="414" t="s">
        <v>868</v>
      </c>
    </row>
    <row r="11" spans="1:5" ht="10.95" customHeight="1">
      <c r="A11" s="414" t="s">
        <v>746</v>
      </c>
      <c r="B11" s="430">
        <v>45722</v>
      </c>
      <c r="C11" s="414" t="s">
        <v>905</v>
      </c>
      <c r="D11" s="415">
        <v>42480</v>
      </c>
      <c r="E11" s="414" t="s">
        <v>868</v>
      </c>
    </row>
    <row r="12" spans="1:5" ht="10.95" customHeight="1">
      <c r="A12" s="414" t="s">
        <v>420</v>
      </c>
      <c r="B12" s="430">
        <v>45729</v>
      </c>
      <c r="C12" s="414" t="s">
        <v>906</v>
      </c>
      <c r="D12" s="415">
        <v>163409.31</v>
      </c>
      <c r="E12" s="414" t="s">
        <v>892</v>
      </c>
    </row>
    <row r="13" spans="1:5" ht="10.95" customHeight="1">
      <c r="A13" s="416" t="s">
        <v>895</v>
      </c>
      <c r="B13" s="416"/>
      <c r="C13" s="416"/>
      <c r="D13" s="417">
        <f>SUM(D9:D12)</f>
        <v>299491.31</v>
      </c>
      <c r="E13" s="416"/>
    </row>
    <row r="14" spans="1:5" ht="13.35" customHeight="1"/>
    <row r="15" spans="1:5" ht="10.95" customHeight="1">
      <c r="A15" s="419" t="s">
        <v>164</v>
      </c>
      <c r="B15" s="419"/>
      <c r="C15" s="419"/>
      <c r="D15" s="420">
        <f>+D13</f>
        <v>299491.31</v>
      </c>
      <c r="E15" s="419"/>
    </row>
  </sheetData>
  <pageMargins left="0.7" right="0.7" top="0.75" bottom="0.75" header="0.3" footer="0.3"/>
  <pageSetup paperSize="9" fitToWidth="0" fitToHeight="0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FFDDF-A023-4AE7-95E7-0048F5922649}">
  <sheetPr>
    <tabColor theme="5" tint="0.79998168889431442"/>
  </sheetPr>
  <dimension ref="A1:P47"/>
  <sheetViews>
    <sheetView showGridLines="0" zoomScale="90" zoomScaleNormal="90" workbookViewId="0">
      <selection activeCell="K24" sqref="K24"/>
    </sheetView>
  </sheetViews>
  <sheetFormatPr baseColWidth="10" defaultColWidth="11.44140625" defaultRowHeight="14.4"/>
  <cols>
    <col min="1" max="1" width="10.109375" customWidth="1"/>
    <col min="2" max="2" width="25.6640625" bestFit="1" customWidth="1"/>
    <col min="3" max="4" width="17.44140625" bestFit="1" customWidth="1"/>
    <col min="5" max="5" width="14.33203125" bestFit="1" customWidth="1"/>
    <col min="6" max="6" width="16.5546875" bestFit="1" customWidth="1"/>
    <col min="7" max="7" width="16.33203125" bestFit="1" customWidth="1"/>
    <col min="8" max="8" width="20.88671875" bestFit="1" customWidth="1"/>
    <col min="9" max="9" width="18" bestFit="1" customWidth="1"/>
    <col min="10" max="10" width="16.5546875" bestFit="1" customWidth="1"/>
    <col min="11" max="11" width="18.6640625" customWidth="1"/>
    <col min="12" max="12" width="19.88671875" customWidth="1"/>
    <col min="13" max="13" width="16.109375" customWidth="1"/>
    <col min="14" max="14" width="18.5546875" customWidth="1"/>
    <col min="15" max="15" width="17" customWidth="1"/>
    <col min="16" max="18" width="15.44140625" bestFit="1" customWidth="1"/>
    <col min="19" max="19" width="14.44140625" bestFit="1" customWidth="1"/>
  </cols>
  <sheetData>
    <row r="1" spans="1:16" ht="21.6" customHeight="1">
      <c r="M1" s="2109" t="s">
        <v>185</v>
      </c>
      <c r="N1" s="2109"/>
      <c r="O1" s="2109"/>
      <c r="P1" s="2109"/>
    </row>
    <row r="2" spans="1:16" ht="15" thickBot="1">
      <c r="F2" s="181" t="s">
        <v>197</v>
      </c>
      <c r="G2" s="181"/>
      <c r="H2" s="181"/>
      <c r="I2" s="181"/>
      <c r="J2" s="181"/>
      <c r="K2" s="181" t="s">
        <v>199</v>
      </c>
      <c r="L2" s="181" t="s">
        <v>225</v>
      </c>
      <c r="M2" s="2109"/>
      <c r="N2" s="2109"/>
      <c r="O2" s="2109"/>
      <c r="P2" s="2109"/>
    </row>
    <row r="3" spans="1:16" ht="15.6" customHeight="1">
      <c r="B3" s="160" t="s">
        <v>761</v>
      </c>
      <c r="C3" s="62"/>
      <c r="D3" s="478"/>
      <c r="E3" s="483">
        <v>59</v>
      </c>
      <c r="F3" s="2122" t="s">
        <v>145</v>
      </c>
      <c r="G3" s="2137" t="s">
        <v>650</v>
      </c>
      <c r="H3" s="2137" t="s">
        <v>651</v>
      </c>
      <c r="I3" s="2137" t="s">
        <v>652</v>
      </c>
      <c r="J3" s="2122" t="s">
        <v>227</v>
      </c>
      <c r="K3" s="2124" t="s">
        <v>807</v>
      </c>
      <c r="L3" s="2124" t="s">
        <v>146</v>
      </c>
      <c r="M3" s="183"/>
      <c r="N3" s="183"/>
      <c r="O3" s="183"/>
      <c r="P3" s="183"/>
    </row>
    <row r="4" spans="1:16" ht="25.95" customHeight="1" thickBot="1">
      <c r="A4" s="152"/>
      <c r="B4" s="25" t="s">
        <v>29</v>
      </c>
      <c r="C4" s="25" t="s">
        <v>762</v>
      </c>
      <c r="D4" s="479" t="s">
        <v>763</v>
      </c>
      <c r="E4" s="479" t="s">
        <v>31</v>
      </c>
      <c r="F4" s="2123"/>
      <c r="G4" s="2138"/>
      <c r="H4" s="2138"/>
      <c r="I4" s="2138"/>
      <c r="J4" s="2123"/>
      <c r="K4" s="2125"/>
      <c r="L4" s="2125"/>
      <c r="M4" s="183"/>
      <c r="N4" s="183"/>
      <c r="O4" s="183"/>
      <c r="P4" s="183"/>
    </row>
    <row r="5" spans="1:16">
      <c r="A5">
        <v>1</v>
      </c>
      <c r="B5" s="254" t="s">
        <v>33</v>
      </c>
      <c r="C5" s="256">
        <f>SUM('budget (11)'!D2:D3)</f>
        <v>103385169</v>
      </c>
      <c r="D5" s="480">
        <v>103385169</v>
      </c>
      <c r="E5" s="480">
        <f>D5/E3</f>
        <v>1752291</v>
      </c>
      <c r="F5" s="258">
        <f>+'Finanza 25-03-25'!F2</f>
        <v>94172341.829999998</v>
      </c>
      <c r="G5" s="258">
        <f>+'Finanza 25-03-25'!F2</f>
        <v>94172341.829999998</v>
      </c>
      <c r="H5" s="258">
        <v>0</v>
      </c>
      <c r="I5" s="258"/>
      <c r="J5" s="258">
        <f>+G5-H5+I5</f>
        <v>94172341.829999998</v>
      </c>
      <c r="K5" s="259">
        <f>F5-J5</f>
        <v>0</v>
      </c>
      <c r="L5" s="259">
        <f>+D5-F5</f>
        <v>9212827.1700000018</v>
      </c>
      <c r="M5" s="183"/>
      <c r="N5" s="183"/>
      <c r="O5" s="183"/>
      <c r="P5" s="183"/>
    </row>
    <row r="6" spans="1:16">
      <c r="B6" s="115" t="s">
        <v>35</v>
      </c>
      <c r="C6" s="116">
        <f>SUM('budget (11)'!D11:D24)</f>
        <v>451758999.99999994</v>
      </c>
      <c r="D6" s="481">
        <v>451758999.99999994</v>
      </c>
      <c r="E6" s="481">
        <f>D6/$E$3</f>
        <v>7656932.20338983</v>
      </c>
      <c r="F6" s="132">
        <f>+'Finanza 25-03-25'!E4</f>
        <v>9219083.5899999999</v>
      </c>
      <c r="G6" s="132">
        <f>+'Finanza 25-03-25'!F4</f>
        <v>9219083.5899999999</v>
      </c>
      <c r="H6" s="132"/>
      <c r="I6" s="132"/>
      <c r="J6" s="132">
        <f>+G6-H6+I6</f>
        <v>9219083.5899999999</v>
      </c>
      <c r="K6" s="125">
        <f>F6-J6</f>
        <v>0</v>
      </c>
      <c r="L6" s="125">
        <f>+D6-F6</f>
        <v>442539916.40999997</v>
      </c>
      <c r="M6" s="183"/>
      <c r="N6" s="184"/>
      <c r="O6" s="183"/>
      <c r="P6" s="183"/>
    </row>
    <row r="7" spans="1:16" ht="13.95" customHeight="1">
      <c r="B7" s="112" t="s">
        <v>38</v>
      </c>
      <c r="C7" s="113">
        <f>SUM('budget (11)'!D25:D39)</f>
        <v>1265953920</v>
      </c>
      <c r="D7" s="170">
        <f>1447934796</f>
        <v>1447934796</v>
      </c>
      <c r="E7" s="170">
        <f>D7/$E$3</f>
        <v>24541267.728813559</v>
      </c>
      <c r="F7" s="133">
        <f>+'Finanza 25-03-25'!E5</f>
        <v>0</v>
      </c>
      <c r="G7" s="133">
        <f>+'Finanza 25-03-25'!F5</f>
        <v>0</v>
      </c>
      <c r="H7" s="133"/>
      <c r="I7" s="133"/>
      <c r="J7" s="133">
        <f t="shared" ref="J7:J10" si="0">+G7-H7+I7</f>
        <v>0</v>
      </c>
      <c r="K7" s="127">
        <f t="shared" ref="K7:K21" si="1">F7-J7</f>
        <v>0</v>
      </c>
      <c r="L7" s="127">
        <f>+D7-F7</f>
        <v>1447934796</v>
      </c>
      <c r="M7" s="183"/>
      <c r="N7" s="184"/>
      <c r="O7" s="183"/>
      <c r="P7" s="183"/>
    </row>
    <row r="8" spans="1:16">
      <c r="B8" s="115" t="s">
        <v>764</v>
      </c>
      <c r="C8" s="118">
        <v>0</v>
      </c>
      <c r="D8" s="171">
        <v>37993876</v>
      </c>
      <c r="E8" s="171">
        <f>D8/$E$3</f>
        <v>643964</v>
      </c>
      <c r="F8" s="134">
        <f>+'Finanza 25-03-25'!E8</f>
        <v>0</v>
      </c>
      <c r="G8" s="134">
        <f>+'Finanza 25-03-25'!F8</f>
        <v>0</v>
      </c>
      <c r="H8" s="134"/>
      <c r="I8" s="134"/>
      <c r="J8" s="134"/>
      <c r="K8" s="129"/>
      <c r="L8" s="129"/>
      <c r="M8" s="183"/>
      <c r="N8" s="184"/>
      <c r="O8" s="183"/>
      <c r="P8" s="183"/>
    </row>
    <row r="9" spans="1:16" ht="13.95" customHeight="1">
      <c r="B9" s="112" t="s">
        <v>148</v>
      </c>
      <c r="C9" s="113">
        <f>SUM('budget (11)'!D40:D41)</f>
        <v>171771292</v>
      </c>
      <c r="D9" s="170">
        <v>189969380</v>
      </c>
      <c r="E9" s="170">
        <f>D9/$E$3</f>
        <v>3219820</v>
      </c>
      <c r="F9" s="133">
        <f>+'Finanza 25-03-25'!E6</f>
        <v>4299662.03</v>
      </c>
      <c r="G9" s="133">
        <f>+'Finanza 25-03-25'!F6</f>
        <v>4299662.03</v>
      </c>
      <c r="H9" s="133"/>
      <c r="I9" s="133"/>
      <c r="J9" s="133">
        <f>+G9-H9+I9</f>
        <v>4299662.03</v>
      </c>
      <c r="K9" s="127">
        <f>F9-J9</f>
        <v>0</v>
      </c>
      <c r="L9" s="127">
        <f>+D9-F9</f>
        <v>185669717.97</v>
      </c>
      <c r="M9" s="183"/>
      <c r="N9" s="184"/>
      <c r="O9" s="183"/>
      <c r="P9" s="183"/>
    </row>
    <row r="10" spans="1:16">
      <c r="B10" s="115" t="s">
        <v>40</v>
      </c>
      <c r="C10" s="118">
        <f>SUM('budget (11)'!D42)</f>
        <v>34354258</v>
      </c>
      <c r="D10" s="171">
        <v>37993876</v>
      </c>
      <c r="E10" s="171">
        <f>D10/$E$3</f>
        <v>643964</v>
      </c>
      <c r="F10" s="134">
        <f>+'Finanza 25-03-25'!E7</f>
        <v>0</v>
      </c>
      <c r="G10" s="134">
        <f>+'Finanza 25-03-25'!F7</f>
        <v>0</v>
      </c>
      <c r="H10" s="134"/>
      <c r="I10" s="134"/>
      <c r="J10" s="134">
        <f t="shared" si="0"/>
        <v>0</v>
      </c>
      <c r="K10" s="129">
        <f t="shared" si="1"/>
        <v>0</v>
      </c>
      <c r="L10" s="129">
        <f>+D10-F10</f>
        <v>37993876</v>
      </c>
      <c r="M10" s="183"/>
      <c r="N10" s="184"/>
      <c r="O10" s="183"/>
      <c r="P10" s="183"/>
    </row>
    <row r="11" spans="1:16">
      <c r="B11" s="254" t="s">
        <v>41</v>
      </c>
      <c r="C11" s="261">
        <f t="shared" ref="C11:I11" si="2">SUM(C6:C10)</f>
        <v>1923838470</v>
      </c>
      <c r="D11" s="261">
        <f>SUM(D6:D10)</f>
        <v>2165650928</v>
      </c>
      <c r="E11" s="261">
        <f>SUM(E6:E10)</f>
        <v>36705947.93220339</v>
      </c>
      <c r="F11" s="262">
        <f t="shared" si="2"/>
        <v>13518745.620000001</v>
      </c>
      <c r="G11" s="262">
        <f t="shared" si="2"/>
        <v>13518745.620000001</v>
      </c>
      <c r="H11" s="262">
        <f t="shared" si="2"/>
        <v>0</v>
      </c>
      <c r="I11" s="262">
        <f t="shared" si="2"/>
        <v>0</v>
      </c>
      <c r="J11" s="262">
        <f>SUM(J6:J10)</f>
        <v>13518745.620000001</v>
      </c>
      <c r="K11" s="262">
        <f>SUM(K6:K10)</f>
        <v>0</v>
      </c>
      <c r="L11" s="262">
        <f>SUM(L6:L10)</f>
        <v>2114138306.3799999</v>
      </c>
      <c r="M11" s="183"/>
      <c r="N11" s="184"/>
      <c r="O11" s="183"/>
      <c r="P11" s="183"/>
    </row>
    <row r="12" spans="1:16">
      <c r="B12" s="112" t="s">
        <v>42</v>
      </c>
      <c r="C12" s="163">
        <f>SUM('budget (11)'!D43)</f>
        <v>137417034</v>
      </c>
      <c r="D12" s="175">
        <v>151975504</v>
      </c>
      <c r="E12" s="175">
        <f>D12/$E$3</f>
        <v>2575856</v>
      </c>
      <c r="F12" s="179">
        <f>+'Finanza 25-03-25'!E9</f>
        <v>161175.97</v>
      </c>
      <c r="G12" s="179">
        <f>+'Finanza 25-03-25'!F9</f>
        <v>161175.97</v>
      </c>
      <c r="H12" s="179"/>
      <c r="I12" s="179"/>
      <c r="J12" s="179">
        <f>+G12-H12+I12</f>
        <v>161175.97</v>
      </c>
      <c r="K12" s="179">
        <f t="shared" si="1"/>
        <v>0</v>
      </c>
      <c r="L12" s="179">
        <f>+D12-F12</f>
        <v>151814328.03</v>
      </c>
      <c r="M12" s="183"/>
      <c r="N12" s="184"/>
      <c r="O12" s="183"/>
      <c r="P12" s="183"/>
    </row>
    <row r="13" spans="1:16">
      <c r="B13" s="115" t="s">
        <v>43</v>
      </c>
      <c r="C13" s="165">
        <f>SUM('budget (11)'!D45:D46)</f>
        <v>281704919</v>
      </c>
      <c r="D13" s="176">
        <v>308130334</v>
      </c>
      <c r="E13" s="176">
        <f>D13/$E$3</f>
        <v>5222548.0338983051</v>
      </c>
      <c r="F13" s="178">
        <f>+'Finanza 25-03-25'!E10</f>
        <v>0</v>
      </c>
      <c r="G13" s="178">
        <f>+'Finanza 25-03-25'!F10</f>
        <v>0</v>
      </c>
      <c r="H13" s="178"/>
      <c r="I13" s="178"/>
      <c r="J13" s="178">
        <f t="shared" ref="J13:J16" si="3">+G13-H13+I13</f>
        <v>0</v>
      </c>
      <c r="K13" s="178">
        <f>F13-J13</f>
        <v>0</v>
      </c>
      <c r="L13" s="178">
        <f>+D13-F13</f>
        <v>308130334</v>
      </c>
      <c r="M13" s="183"/>
      <c r="N13" s="184"/>
      <c r="O13" s="183"/>
      <c r="P13" s="183"/>
    </row>
    <row r="14" spans="1:16">
      <c r="B14" s="112" t="s">
        <v>44</v>
      </c>
      <c r="C14" s="163">
        <f>SUM('budget (11)'!D47)</f>
        <v>67334346</v>
      </c>
      <c r="D14" s="175">
        <v>75797782</v>
      </c>
      <c r="E14" s="175">
        <f>D14/$E$3</f>
        <v>1284708.1694915255</v>
      </c>
      <c r="F14" s="179">
        <f>+'Finanza 25-03-25'!E11</f>
        <v>490356.1</v>
      </c>
      <c r="G14" s="179">
        <f>+'Finanza 25-03-25'!F11</f>
        <v>490356.1</v>
      </c>
      <c r="H14" s="179"/>
      <c r="I14" s="179"/>
      <c r="J14" s="179">
        <f t="shared" si="3"/>
        <v>490356.1</v>
      </c>
      <c r="K14" s="179">
        <f t="shared" si="1"/>
        <v>0</v>
      </c>
      <c r="L14" s="179">
        <f>+D14-F14</f>
        <v>75307425.900000006</v>
      </c>
      <c r="M14" s="183"/>
      <c r="N14" s="184"/>
      <c r="O14" s="183"/>
      <c r="P14" s="183"/>
    </row>
    <row r="15" spans="1:16">
      <c r="A15">
        <v>1</v>
      </c>
      <c r="B15" s="115" t="s">
        <v>45</v>
      </c>
      <c r="C15" s="165">
        <f>SUM('budget (11)'!D48:D49)</f>
        <v>51531387.949999996</v>
      </c>
      <c r="D15" s="176">
        <v>56990814</v>
      </c>
      <c r="E15" s="176">
        <f>D15/$E$3</f>
        <v>965946</v>
      </c>
      <c r="F15" s="178">
        <f>+'Finanza 25-03-25'!E12</f>
        <v>17329231.640000001</v>
      </c>
      <c r="G15" s="178">
        <f>+'Finanza 25-03-25'!F12</f>
        <v>16381441.08</v>
      </c>
      <c r="H15" s="178">
        <f>+'CXP 25-03-25'!D13</f>
        <v>299491.31</v>
      </c>
      <c r="I15" s="178"/>
      <c r="J15" s="178">
        <f>+G15-H15+I15</f>
        <v>16081949.77</v>
      </c>
      <c r="K15" s="178">
        <f>F15-J15</f>
        <v>1247281.870000001</v>
      </c>
      <c r="L15" s="178">
        <f>+D15-F15</f>
        <v>39661582.359999999</v>
      </c>
      <c r="M15" s="183"/>
      <c r="N15" s="184"/>
      <c r="O15" s="183"/>
      <c r="P15" s="183"/>
    </row>
    <row r="16" spans="1:16">
      <c r="B16" s="112" t="s">
        <v>46</v>
      </c>
      <c r="C16" s="163">
        <f>SUM('budget (11)'!D50)</f>
        <v>19238385</v>
      </c>
      <c r="D16" s="175">
        <v>21656506</v>
      </c>
      <c r="E16" s="175">
        <f>D16/$E$3</f>
        <v>367059.42372881353</v>
      </c>
      <c r="F16" s="179">
        <f>+'Finanza 25-03-25'!E13</f>
        <v>0</v>
      </c>
      <c r="G16" s="179">
        <f>+'Finanza 25-03-25'!F13</f>
        <v>0</v>
      </c>
      <c r="H16" s="179"/>
      <c r="I16" s="179"/>
      <c r="J16" s="179">
        <f t="shared" si="3"/>
        <v>0</v>
      </c>
      <c r="K16" s="179">
        <f t="shared" si="1"/>
        <v>0</v>
      </c>
      <c r="L16" s="179">
        <f>+D16-F16</f>
        <v>21656506</v>
      </c>
      <c r="M16" s="183"/>
      <c r="N16" s="184"/>
      <c r="O16" s="183"/>
      <c r="P16" s="183"/>
    </row>
    <row r="17" spans="2:16">
      <c r="B17" s="254" t="s">
        <v>47</v>
      </c>
      <c r="C17" s="261">
        <f t="shared" ref="C17:K17" si="4">SUM(C12:C16)</f>
        <v>557226071.95000005</v>
      </c>
      <c r="D17" s="261">
        <f t="shared" si="4"/>
        <v>614550940</v>
      </c>
      <c r="E17" s="261">
        <f>SUM(E12:E16)</f>
        <v>10416117.627118645</v>
      </c>
      <c r="F17" s="262">
        <f>SUM(F12:F16)</f>
        <v>17980763.710000001</v>
      </c>
      <c r="G17" s="262">
        <f t="shared" si="4"/>
        <v>17032973.149999999</v>
      </c>
      <c r="H17" s="262">
        <f t="shared" si="4"/>
        <v>299491.31</v>
      </c>
      <c r="I17" s="262">
        <f t="shared" si="4"/>
        <v>0</v>
      </c>
      <c r="J17" s="262">
        <f t="shared" si="4"/>
        <v>16733481.84</v>
      </c>
      <c r="K17" s="262">
        <f t="shared" si="4"/>
        <v>1247281.870000001</v>
      </c>
      <c r="L17" s="262">
        <f t="shared" ref="L17" si="5">SUM(L12:L16)</f>
        <v>596570176.28999996</v>
      </c>
      <c r="M17" s="183"/>
      <c r="N17" s="184"/>
      <c r="O17" s="183"/>
      <c r="P17" s="183"/>
    </row>
    <row r="18" spans="2:16">
      <c r="B18" s="112" t="s">
        <v>48</v>
      </c>
      <c r="C18" s="401">
        <f>SUM('budget (11)'!D51:D52)</f>
        <v>15000000</v>
      </c>
      <c r="D18" s="482">
        <v>30500000</v>
      </c>
      <c r="E18" s="482">
        <f>D18/$E$3</f>
        <v>516949.15254237287</v>
      </c>
      <c r="F18" s="402">
        <f>+'Finanza 25-03-25'!E14</f>
        <v>16827427.559999999</v>
      </c>
      <c r="G18" s="402">
        <f>+'Finanza 25-03-25'!F14</f>
        <v>12715384.369999999</v>
      </c>
      <c r="H18" s="402"/>
      <c r="I18" s="402">
        <f>+'Anticipos 02.25'!D5</f>
        <v>352775.8</v>
      </c>
      <c r="J18" s="402">
        <f>+G18-H18+I18</f>
        <v>13068160.17</v>
      </c>
      <c r="K18" s="179">
        <f>F18-J18</f>
        <v>3759267.3899999987</v>
      </c>
      <c r="L18" s="179">
        <f>+D18-F18</f>
        <v>13672572.440000001</v>
      </c>
      <c r="M18" s="183"/>
      <c r="N18" s="184"/>
      <c r="O18" s="183"/>
      <c r="P18" s="185"/>
    </row>
    <row r="19" spans="2:16">
      <c r="B19" s="115" t="s">
        <v>49</v>
      </c>
      <c r="C19" s="165">
        <f>SUM('budget (11)'!D4:D10)</f>
        <v>20789999.999999996</v>
      </c>
      <c r="D19" s="176">
        <v>20789999.999999996</v>
      </c>
      <c r="E19" s="176">
        <f>D19/$E$3</f>
        <v>352372.88135593216</v>
      </c>
      <c r="F19" s="178">
        <f>+'Finanza 25-03-25'!E3</f>
        <v>22037273.800000001</v>
      </c>
      <c r="G19" s="178">
        <f>+'Finanza 25-03-25'!F3</f>
        <v>21553985.390000001</v>
      </c>
      <c r="H19" s="178"/>
      <c r="I19" s="178">
        <f>+'Anticipos 02.25'!D2+'Anticipos 02.25'!D3+'Anticipos 02.25'!D4</f>
        <v>351250</v>
      </c>
      <c r="J19" s="178">
        <f>+G19-H19+I19</f>
        <v>21905235.390000001</v>
      </c>
      <c r="K19" s="178">
        <f>F19-J19</f>
        <v>132038.41000000015</v>
      </c>
      <c r="L19" s="178">
        <f>+D19-F19</f>
        <v>-1247273.8000000045</v>
      </c>
      <c r="M19" s="183"/>
      <c r="N19" s="184"/>
      <c r="O19" s="183"/>
      <c r="P19" s="183"/>
    </row>
    <row r="20" spans="2:16">
      <c r="B20" s="112" t="s">
        <v>50</v>
      </c>
      <c r="C20" s="163">
        <f>SUM('budget (11)'!D54)</f>
        <v>192383847</v>
      </c>
      <c r="D20" s="175">
        <v>216565093</v>
      </c>
      <c r="E20" s="175">
        <f>D20/$E$3</f>
        <v>3670594.7966101696</v>
      </c>
      <c r="F20" s="179">
        <f>+'Finanza 25-03-25'!E16</f>
        <v>0</v>
      </c>
      <c r="G20" s="179">
        <f>+'Finanza 25-03-25'!F16</f>
        <v>0</v>
      </c>
      <c r="H20" s="179"/>
      <c r="I20" s="179"/>
      <c r="J20" s="179">
        <f t="shared" ref="J20:J21" si="6">+G20-H20+I20</f>
        <v>0</v>
      </c>
      <c r="K20" s="179">
        <f t="shared" si="1"/>
        <v>0</v>
      </c>
      <c r="L20" s="179">
        <f>+D20-F20</f>
        <v>216565093</v>
      </c>
      <c r="M20" s="183"/>
      <c r="N20" s="184"/>
      <c r="O20" s="183"/>
      <c r="P20" s="183"/>
    </row>
    <row r="21" spans="2:16">
      <c r="B21" s="115" t="s">
        <v>51</v>
      </c>
      <c r="C21" s="165">
        <f>SUM('budget (11)'!D53)</f>
        <v>19238385</v>
      </c>
      <c r="D21" s="176">
        <v>21656509</v>
      </c>
      <c r="E21" s="176">
        <f>D21/$E$3</f>
        <v>367059.4745762712</v>
      </c>
      <c r="F21" s="178">
        <f>+'Finanza 25-03-25'!E15</f>
        <v>0</v>
      </c>
      <c r="G21" s="178">
        <f>+'Finanza 25-03-25'!F15</f>
        <v>0</v>
      </c>
      <c r="H21" s="178"/>
      <c r="I21" s="178"/>
      <c r="J21" s="178">
        <f t="shared" si="6"/>
        <v>0</v>
      </c>
      <c r="K21" s="178">
        <f t="shared" si="1"/>
        <v>0</v>
      </c>
      <c r="L21" s="178">
        <f>+D21-F21</f>
        <v>21656509</v>
      </c>
      <c r="M21" s="183"/>
      <c r="N21" s="184"/>
      <c r="O21" s="183"/>
      <c r="P21" s="183"/>
    </row>
    <row r="22" spans="2:16">
      <c r="B22" s="254" t="s">
        <v>52</v>
      </c>
      <c r="C22" s="261">
        <f t="shared" ref="C22:L22" si="7">SUM(C18:C21)</f>
        <v>247412232</v>
      </c>
      <c r="D22" s="261">
        <f t="shared" si="7"/>
        <v>289511602</v>
      </c>
      <c r="E22" s="261">
        <f t="shared" si="7"/>
        <v>4906976.3050847454</v>
      </c>
      <c r="F22" s="262">
        <f t="shared" si="7"/>
        <v>38864701.359999999</v>
      </c>
      <c r="G22" s="262">
        <f t="shared" si="7"/>
        <v>34269369.759999998</v>
      </c>
      <c r="H22" s="262">
        <f t="shared" si="7"/>
        <v>0</v>
      </c>
      <c r="I22" s="262">
        <f t="shared" si="7"/>
        <v>704025.8</v>
      </c>
      <c r="J22" s="262">
        <f t="shared" si="7"/>
        <v>34973395.560000002</v>
      </c>
      <c r="K22" s="262">
        <f t="shared" si="7"/>
        <v>3891305.7999999989</v>
      </c>
      <c r="L22" s="262">
        <f t="shared" si="7"/>
        <v>250646900.63999999</v>
      </c>
      <c r="M22" s="183"/>
      <c r="N22" s="184"/>
      <c r="O22" s="183"/>
      <c r="P22" s="183"/>
    </row>
    <row r="23" spans="2:16" ht="18.600000000000001" thickBot="1">
      <c r="B23" s="333" t="s">
        <v>229</v>
      </c>
      <c r="C23" s="331">
        <f>C5+C11+C17+C22</f>
        <v>2831861942.9499998</v>
      </c>
      <c r="D23" s="331">
        <f>D5+D11+D17+D22</f>
        <v>3173098639</v>
      </c>
      <c r="E23" s="331">
        <f>E5+E11+E17+E22</f>
        <v>53781332.864406779</v>
      </c>
      <c r="F23" s="329">
        <f t="shared" ref="F23:L23" si="8">F22+F17+F11+F5</f>
        <v>164536552.51999998</v>
      </c>
      <c r="G23" s="329">
        <f t="shared" si="8"/>
        <v>158993430.36000001</v>
      </c>
      <c r="H23" s="329">
        <f t="shared" si="8"/>
        <v>299491.31</v>
      </c>
      <c r="I23" s="329">
        <f t="shared" si="8"/>
        <v>704025.8</v>
      </c>
      <c r="J23" s="329">
        <f>J22+J17+J11+J5</f>
        <v>159397964.85000002</v>
      </c>
      <c r="K23" s="329">
        <f>K22+K17+K11+K5</f>
        <v>5138587.67</v>
      </c>
      <c r="L23" s="329">
        <f t="shared" si="8"/>
        <v>2970568210.48</v>
      </c>
      <c r="M23" s="183"/>
      <c r="N23" s="184"/>
      <c r="O23" s="183"/>
      <c r="P23" s="183"/>
    </row>
    <row r="24" spans="2:16" ht="15" thickBot="1">
      <c r="F24" s="369">
        <f>+'Finanza 25-03-25'!E17</f>
        <v>164536552.51999998</v>
      </c>
      <c r="G24" s="369">
        <f>+'Finanza 25-03-25'!F17</f>
        <v>158993430.36000001</v>
      </c>
      <c r="H24" s="369"/>
      <c r="I24" s="369"/>
      <c r="J24" s="369"/>
      <c r="K24" s="320">
        <f>+'Compromiso 15-04-25'!G37</f>
        <v>11853194.701120002</v>
      </c>
      <c r="L24" s="368"/>
    </row>
    <row r="25" spans="2:16" ht="15" thickBot="1">
      <c r="D25" s="320"/>
      <c r="F25" s="368">
        <f>+F23-F24</f>
        <v>0</v>
      </c>
      <c r="G25" s="368">
        <f>+G23-G24</f>
        <v>0</v>
      </c>
      <c r="H25" s="434" t="s">
        <v>653</v>
      </c>
      <c r="I25" s="435">
        <f>+'BCE 25-03-25'!C41</f>
        <v>159695773.63999999</v>
      </c>
      <c r="J25" s="368">
        <v>160000000</v>
      </c>
      <c r="K25" s="142">
        <f>+K23-K24</f>
        <v>-6714607.0311200023</v>
      </c>
      <c r="L25" s="108"/>
      <c r="N25" s="186" t="s">
        <v>189</v>
      </c>
      <c r="O25" s="190">
        <v>2831861942.3920002</v>
      </c>
    </row>
    <row r="26" spans="2:16" ht="15" thickBot="1">
      <c r="D26" s="370"/>
      <c r="E26" s="320"/>
      <c r="F26" s="474"/>
      <c r="H26" s="436" t="s">
        <v>654</v>
      </c>
      <c r="I26" s="437">
        <f>-'BCE 25-03-25'!C9-'BCE 25-03-25'!C10-'BCE 25-03-25'!C12-'BCE 25-03-25'!C13-'BCE 25-03-25'!C11</f>
        <v>-1860144.7000000002</v>
      </c>
      <c r="J26" s="108">
        <f>J25-J23</f>
        <v>602035.14999997616</v>
      </c>
      <c r="K26" s="320"/>
      <c r="N26" s="188" t="s">
        <v>190</v>
      </c>
      <c r="O26" s="189">
        <f>C23</f>
        <v>2831861942.9499998</v>
      </c>
    </row>
    <row r="27" spans="2:16" ht="15" thickBot="1">
      <c r="C27" s="489"/>
      <c r="D27" s="370"/>
      <c r="F27" s="474"/>
      <c r="H27" s="441" t="s">
        <v>655</v>
      </c>
      <c r="I27" s="442">
        <f>+'BCE 25-03-25'!C30+'BCE 25-03-25'!C31+'BCE 25-03-25'!C32+'BCE 25-03-25'!C33+'BCE 25-03-25'!C34</f>
        <v>663477.78</v>
      </c>
      <c r="J27" s="445">
        <f>+K23</f>
        <v>5138587.67</v>
      </c>
      <c r="K27" s="320"/>
      <c r="N27" s="187" t="s">
        <v>191</v>
      </c>
      <c r="O27" s="191">
        <f>O25-O26</f>
        <v>-0.55799961090087891</v>
      </c>
    </row>
    <row r="28" spans="2:16">
      <c r="C28" s="489"/>
      <c r="D28" s="370"/>
      <c r="F28" s="474"/>
      <c r="H28" s="441" t="s">
        <v>808</v>
      </c>
      <c r="I28" s="442">
        <f>+'BCE 25-03-25'!C29</f>
        <v>717461.85</v>
      </c>
      <c r="J28" s="445"/>
      <c r="K28" s="320"/>
      <c r="N28" s="183"/>
      <c r="O28" s="508"/>
    </row>
    <row r="29" spans="2:16">
      <c r="C29" s="489"/>
      <c r="D29" s="370"/>
      <c r="F29" s="474"/>
      <c r="H29" s="441" t="s">
        <v>896</v>
      </c>
      <c r="I29" s="442">
        <v>0</v>
      </c>
      <c r="J29" s="445"/>
      <c r="K29" s="320"/>
      <c r="N29" s="183"/>
      <c r="O29" s="508"/>
    </row>
    <row r="30" spans="2:16">
      <c r="C30" s="489"/>
      <c r="D30" s="370"/>
      <c r="F30" s="474"/>
      <c r="H30" s="441" t="s">
        <v>888</v>
      </c>
      <c r="I30" s="442">
        <v>0</v>
      </c>
      <c r="J30" s="445"/>
      <c r="K30" s="320"/>
      <c r="N30" s="183"/>
      <c r="O30" s="508"/>
    </row>
    <row r="31" spans="2:16" ht="15" thickBot="1">
      <c r="C31" s="369"/>
      <c r="D31" s="370"/>
      <c r="H31" s="438" t="s">
        <v>656</v>
      </c>
      <c r="I31" s="439">
        <f>SUM(I25:I30)</f>
        <v>159216568.56999999</v>
      </c>
      <c r="J31" s="445">
        <f>J26-J27</f>
        <v>-4536552.5200000238</v>
      </c>
    </row>
    <row r="32" spans="2:16">
      <c r="C32" s="161"/>
      <c r="D32" s="370"/>
      <c r="H32" s="440" t="s">
        <v>657</v>
      </c>
      <c r="I32" s="445">
        <f>+J23</f>
        <v>159397964.85000002</v>
      </c>
    </row>
    <row r="33" spans="1:16">
      <c r="H33" s="443" t="s">
        <v>658</v>
      </c>
      <c r="I33" s="443">
        <f>+I31-I32</f>
        <v>-181396.28000003099</v>
      </c>
      <c r="J33" s="444">
        <f>+'BCE 25-03-25'!C42+'BCE 25-03-25'!C43</f>
        <v>181396.35</v>
      </c>
      <c r="K33" s="444">
        <f>+I33+J33</f>
        <v>6.9999969011405483E-2</v>
      </c>
    </row>
    <row r="34" spans="1:16">
      <c r="A34" s="192"/>
      <c r="B34" s="192"/>
      <c r="C34" s="192"/>
      <c r="D34" s="192"/>
      <c r="E34" s="192"/>
      <c r="F34" s="192"/>
      <c r="G34" s="192"/>
      <c r="H34" s="192"/>
      <c r="I34" s="192"/>
      <c r="J34" s="192"/>
      <c r="K34" s="192"/>
      <c r="L34" s="192"/>
      <c r="M34" s="192"/>
      <c r="N34" s="192"/>
      <c r="O34" s="192"/>
      <c r="P34" s="192"/>
    </row>
    <row r="36" spans="1:16">
      <c r="B36" s="254" t="s">
        <v>47</v>
      </c>
    </row>
    <row r="37" spans="1:16">
      <c r="B37" s="112" t="s">
        <v>48</v>
      </c>
    </row>
    <row r="38" spans="1:16">
      <c r="B38" s="115" t="s">
        <v>49</v>
      </c>
    </row>
    <row r="39" spans="1:16">
      <c r="B39" s="112" t="s">
        <v>50</v>
      </c>
    </row>
    <row r="40" spans="1:16">
      <c r="B40" s="115" t="s">
        <v>51</v>
      </c>
    </row>
    <row r="41" spans="1:16">
      <c r="B41" s="254" t="s">
        <v>52</v>
      </c>
    </row>
    <row r="42" spans="1:16" ht="18.600000000000001" thickBot="1">
      <c r="B42" s="333" t="s">
        <v>229</v>
      </c>
    </row>
    <row r="44" spans="1:16" ht="15" thickBot="1"/>
    <row r="45" spans="1:16">
      <c r="B45" s="335" t="s">
        <v>234</v>
      </c>
      <c r="C45" s="336">
        <v>160000000</v>
      </c>
      <c r="D45" s="336"/>
      <c r="E45" s="336"/>
    </row>
    <row r="46" spans="1:16">
      <c r="B46" s="112" t="s">
        <v>153</v>
      </c>
      <c r="C46" s="403">
        <f>J23+J27</f>
        <v>164536552.52000001</v>
      </c>
      <c r="D46" s="403"/>
      <c r="E46" s="403">
        <f>C46/C45</f>
        <v>1.02835345325</v>
      </c>
    </row>
    <row r="47" spans="1:16" ht="15" thickBot="1">
      <c r="B47" s="339" t="s">
        <v>154</v>
      </c>
      <c r="C47" s="340">
        <f>C45-C46</f>
        <v>-4536552.5200000107</v>
      </c>
      <c r="D47" s="340"/>
      <c r="E47" s="340">
        <f>C47/C45</f>
        <v>-2.8353453250000066E-2</v>
      </c>
    </row>
  </sheetData>
  <mergeCells count="8">
    <mergeCell ref="M1:P2"/>
    <mergeCell ref="F3:F4"/>
    <mergeCell ref="G3:G4"/>
    <mergeCell ref="H3:H4"/>
    <mergeCell ref="I3:I4"/>
    <mergeCell ref="J3:J4"/>
    <mergeCell ref="K3:K4"/>
    <mergeCell ref="L3:L4"/>
  </mergeCells>
  <conditionalFormatting sqref="M6:M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M9">
    <cfRule type="iconSet" priority="1">
      <iconSet iconSet="3Arrows">
        <cfvo type="percent" val="0"/>
        <cfvo type="percent" val="45"/>
        <cfvo type="percent" val="80"/>
      </iconSet>
    </cfRule>
  </conditionalFormatting>
  <conditionalFormatting sqref="M13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M15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M19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M21">
    <cfRule type="iconSet" priority="2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8F7FA-5320-4276-996E-8F74D6D9DCF2}">
  <dimension ref="B2:H37"/>
  <sheetViews>
    <sheetView showGridLines="0" topLeftCell="A10" zoomScale="90" zoomScaleNormal="90" workbookViewId="0">
      <selection activeCell="E25" sqref="E25"/>
    </sheetView>
  </sheetViews>
  <sheetFormatPr baseColWidth="10" defaultColWidth="11.44140625" defaultRowHeight="14.4"/>
  <cols>
    <col min="1" max="1" width="18.6640625" customWidth="1"/>
    <col min="2" max="2" width="39.88671875" bestFit="1" customWidth="1"/>
    <col min="3" max="3" width="18.44140625" bestFit="1" customWidth="1"/>
    <col min="4" max="4" width="18" bestFit="1" customWidth="1"/>
    <col min="5" max="5" width="17.44140625" bestFit="1" customWidth="1"/>
    <col min="6" max="6" width="18.6640625" customWidth="1"/>
    <col min="7" max="7" width="18.5546875" customWidth="1"/>
    <col min="8" max="8" width="17.5546875" bestFit="1" customWidth="1"/>
    <col min="10" max="10" width="15.5546875" bestFit="1" customWidth="1"/>
    <col min="11" max="11" width="14.33203125" bestFit="1" customWidth="1"/>
    <col min="12" max="12" width="13.6640625" bestFit="1" customWidth="1"/>
  </cols>
  <sheetData>
    <row r="2" spans="2:8">
      <c r="D2">
        <v>59.9</v>
      </c>
    </row>
    <row r="3" spans="2:8">
      <c r="B3" s="142">
        <v>160000000</v>
      </c>
      <c r="C3" s="162">
        <f>B3-C4</f>
        <v>65967960.159999996</v>
      </c>
      <c r="D3" s="162">
        <f>C3-(SUM(D5:D8))</f>
        <v>41084982.207438283</v>
      </c>
    </row>
    <row r="4" spans="2:8" ht="15" thickBot="1">
      <c r="B4" s="284" t="s">
        <v>259</v>
      </c>
      <c r="C4" s="142">
        <v>94032039.840000004</v>
      </c>
      <c r="D4" s="142"/>
    </row>
    <row r="5" spans="2:8" ht="15.6" thickTop="1" thickBot="1">
      <c r="B5" s="284" t="s">
        <v>260</v>
      </c>
      <c r="C5" s="142"/>
      <c r="D5" s="162">
        <f>D10*$D$2</f>
        <v>9215810.2113617156</v>
      </c>
    </row>
    <row r="6" spans="2:8" ht="15.6" thickTop="1" thickBot="1">
      <c r="B6" s="285" t="s">
        <v>261</v>
      </c>
      <c r="C6" s="142"/>
      <c r="D6" s="162">
        <f t="shared" ref="D6:D7" si="0">D11*$D$2</f>
        <v>781278.0959999999</v>
      </c>
    </row>
    <row r="7" spans="2:8" ht="15.6" thickTop="1" thickBot="1">
      <c r="B7" s="285" t="s">
        <v>149</v>
      </c>
      <c r="C7" s="142"/>
      <c r="D7" s="162">
        <f t="shared" si="0"/>
        <v>11511123.645199999</v>
      </c>
    </row>
    <row r="8" spans="2:8" ht="15.6" thickTop="1" thickBot="1">
      <c r="B8" s="285" t="s">
        <v>262</v>
      </c>
      <c r="C8" s="142"/>
      <c r="D8" s="162">
        <f>D13*$D$2</f>
        <v>3374766</v>
      </c>
    </row>
    <row r="9" spans="2:8" ht="15" thickTop="1"/>
    <row r="10" spans="2:8">
      <c r="D10" s="142">
        <v>153853.25895428573</v>
      </c>
    </row>
    <row r="11" spans="2:8">
      <c r="D11" s="142">
        <v>13043.039999999999</v>
      </c>
    </row>
    <row r="12" spans="2:8">
      <c r="D12" s="142">
        <v>192172.348</v>
      </c>
    </row>
    <row r="13" spans="2:8">
      <c r="D13" s="142">
        <v>56340</v>
      </c>
    </row>
    <row r="16" spans="2:8" ht="31.2">
      <c r="B16" s="342"/>
      <c r="C16" s="343" t="s">
        <v>263</v>
      </c>
      <c r="D16" s="344" t="s">
        <v>907</v>
      </c>
      <c r="E16" s="343">
        <v>45748</v>
      </c>
      <c r="F16" s="343">
        <v>45778</v>
      </c>
      <c r="G16" s="343">
        <v>45809</v>
      </c>
      <c r="H16" s="343">
        <v>45839</v>
      </c>
    </row>
    <row r="17" spans="2:8" ht="15.6">
      <c r="B17" s="345" t="s">
        <v>265</v>
      </c>
      <c r="C17" s="346">
        <v>160000000</v>
      </c>
      <c r="D17" s="347"/>
      <c r="E17" s="347"/>
      <c r="F17" s="347"/>
      <c r="G17" s="347"/>
      <c r="H17" s="347"/>
    </row>
    <row r="18" spans="2:8" ht="15.6">
      <c r="B18" s="345" t="s">
        <v>266</v>
      </c>
      <c r="C18" s="152"/>
      <c r="D18" s="348">
        <f>C17-D19</f>
        <v>602035.15000000596</v>
      </c>
      <c r="E18" s="348" t="e">
        <f>D18-E19</f>
        <v>#REF!</v>
      </c>
      <c r="F18" s="348" t="e">
        <f>E18-F19</f>
        <v>#REF!</v>
      </c>
      <c r="G18" s="348" t="e">
        <f t="shared" ref="G18:H18" si="1">F18-G19</f>
        <v>#REF!</v>
      </c>
      <c r="H18" s="348" t="e">
        <f t="shared" si="1"/>
        <v>#REF!</v>
      </c>
    </row>
    <row r="19" spans="2:8" ht="15.6">
      <c r="B19" s="345" t="s">
        <v>267</v>
      </c>
      <c r="C19" s="349"/>
      <c r="D19" s="346">
        <f>SUM(D21:D33)</f>
        <v>159397964.84999999</v>
      </c>
      <c r="E19" s="346" t="e">
        <f>SUM(E21:E33)</f>
        <v>#REF!</v>
      </c>
      <c r="F19" s="346">
        <f>SUM(F21:F33)</f>
        <v>24515225.640000001</v>
      </c>
      <c r="G19" s="346">
        <f t="shared" ref="G19:H19" si="2">SUM(G21:G33)</f>
        <v>19622000</v>
      </c>
      <c r="H19" s="346">
        <f t="shared" si="2"/>
        <v>19622000</v>
      </c>
    </row>
    <row r="20" spans="2:8" ht="2.4" customHeight="1">
      <c r="B20" s="350"/>
      <c r="C20" s="351"/>
      <c r="D20" s="352"/>
      <c r="E20" s="352"/>
      <c r="F20" s="352"/>
      <c r="G20" s="352"/>
      <c r="H20" s="352"/>
    </row>
    <row r="21" spans="2:8" ht="15.6">
      <c r="B21" s="353" t="s">
        <v>259</v>
      </c>
      <c r="C21" s="354"/>
      <c r="D21" s="355">
        <f>+'PRESENTACIÓN 25-03-25'!J5</f>
        <v>94172341.829999998</v>
      </c>
      <c r="E21" s="355">
        <f>+'PRESENTACIÓN 11-24'!K5</f>
        <v>0</v>
      </c>
      <c r="F21" s="355"/>
      <c r="G21" s="355"/>
      <c r="H21" s="355"/>
    </row>
    <row r="22" spans="2:8" ht="15.6">
      <c r="B22" s="356" t="s">
        <v>260</v>
      </c>
      <c r="C22" s="349"/>
      <c r="D22" s="346">
        <f>+'PRESENTACIÓN 25-03-25'!J19</f>
        <v>21905235.390000001</v>
      </c>
      <c r="E22" s="346">
        <v>650000</v>
      </c>
      <c r="F22" s="346">
        <f>+'Compromiso 15-04-25'!G23</f>
        <v>240388.66999999998</v>
      </c>
      <c r="G22" s="346"/>
      <c r="H22" s="346"/>
    </row>
    <row r="23" spans="2:8" ht="15.6">
      <c r="B23" s="356" t="s">
        <v>766</v>
      </c>
      <c r="C23" s="354"/>
      <c r="D23" s="355">
        <f>+'PRESENTACIÓN 25-03-25'!J18</f>
        <v>13068160.17</v>
      </c>
      <c r="E23" s="355"/>
      <c r="F23" s="355">
        <f>+'Compromiso 15-04-25'!G29</f>
        <v>4462836.9700000007</v>
      </c>
      <c r="G23" s="355"/>
      <c r="H23" s="355"/>
    </row>
    <row r="24" spans="2:8" ht="15.6">
      <c r="B24" s="356" t="s">
        <v>271</v>
      </c>
      <c r="C24" s="349"/>
      <c r="D24" s="357">
        <f>+'PRESENTACIÓN 25-03-25'!J6</f>
        <v>9219083.5899999999</v>
      </c>
      <c r="E24" s="346">
        <v>10000000</v>
      </c>
      <c r="F24" s="346">
        <v>10000000</v>
      </c>
      <c r="G24" s="346">
        <v>10000000</v>
      </c>
      <c r="H24" s="346">
        <v>10000000</v>
      </c>
    </row>
    <row r="25" spans="2:8" ht="15.6">
      <c r="B25" s="356" t="s">
        <v>449</v>
      </c>
      <c r="C25" s="354"/>
      <c r="D25" s="355">
        <f>+'PRESENTACIÓN 25-03-25'!J15</f>
        <v>16081949.77</v>
      </c>
      <c r="E25" s="355" t="e">
        <f>+'Compromiso 15-04-25'!H13+'Compromiso 15-04-25'!#REF!</f>
        <v>#REF!</v>
      </c>
      <c r="F25" s="355">
        <f>1650000+'Compromiso 15-04-25'!I2</f>
        <v>1840000</v>
      </c>
      <c r="G25" s="355">
        <v>1650000</v>
      </c>
      <c r="H25" s="355">
        <v>1650000</v>
      </c>
    </row>
    <row r="26" spans="2:8" ht="15.6">
      <c r="B26" s="356" t="s">
        <v>810</v>
      </c>
      <c r="C26" s="349"/>
      <c r="D26" s="346">
        <f>+'PRESENTACIÓN 25-03-25'!J14</f>
        <v>490356.1</v>
      </c>
      <c r="E26" s="346">
        <f>590*63.7</f>
        <v>37583</v>
      </c>
      <c r="F26" s="346"/>
      <c r="G26" s="346"/>
      <c r="H26" s="346"/>
    </row>
    <row r="27" spans="2:8" ht="3.6" customHeight="1">
      <c r="B27" s="359"/>
      <c r="C27" s="360"/>
      <c r="D27" s="361"/>
      <c r="E27" s="361"/>
      <c r="F27" s="361"/>
      <c r="G27" s="361"/>
      <c r="H27" s="361"/>
    </row>
    <row r="28" spans="2:8" ht="15.6">
      <c r="B28" s="362" t="s">
        <v>767</v>
      </c>
      <c r="C28" s="484"/>
      <c r="D28" s="485">
        <f>+'PRESENTACIÓN 25-03-25'!J9+'PRESENTACIÓN 25-03-25'!J12</f>
        <v>4460838</v>
      </c>
      <c r="E28" s="485">
        <f>2000000*2</f>
        <v>4000000</v>
      </c>
      <c r="F28" s="485">
        <v>2000000</v>
      </c>
      <c r="G28" s="485">
        <v>2000000</v>
      </c>
      <c r="H28" s="485">
        <v>2000000</v>
      </c>
    </row>
    <row r="29" spans="2:8" ht="15.6">
      <c r="B29" s="362" t="s">
        <v>768</v>
      </c>
      <c r="C29" s="484"/>
      <c r="D29" s="485">
        <v>0</v>
      </c>
      <c r="E29" s="485">
        <f>1500000*2</f>
        <v>3000000</v>
      </c>
      <c r="F29" s="485">
        <v>1500000</v>
      </c>
      <c r="G29" s="485">
        <v>1500000</v>
      </c>
      <c r="H29" s="485">
        <v>1500000</v>
      </c>
    </row>
    <row r="30" spans="2:8" ht="15.6">
      <c r="B30" s="486" t="s">
        <v>769</v>
      </c>
      <c r="C30" s="487"/>
      <c r="D30" s="488">
        <f>+'PRESENTACIÓN 02-25'!J13</f>
        <v>0</v>
      </c>
      <c r="E30" s="488">
        <f>650000*2</f>
        <v>1300000</v>
      </c>
      <c r="F30" s="488">
        <v>650000</v>
      </c>
      <c r="G30" s="488">
        <v>650000</v>
      </c>
      <c r="H30" s="488">
        <v>650000</v>
      </c>
    </row>
    <row r="31" spans="2:8" ht="15.6">
      <c r="B31" s="362" t="s">
        <v>770</v>
      </c>
      <c r="C31" s="484"/>
      <c r="D31" s="485">
        <v>0</v>
      </c>
      <c r="E31" s="485"/>
      <c r="F31" s="485">
        <f>60000*63.7</f>
        <v>3822000</v>
      </c>
      <c r="G31" s="485">
        <f t="shared" ref="G31:H31" si="3">60000*63.7</f>
        <v>3822000</v>
      </c>
      <c r="H31" s="485">
        <f t="shared" si="3"/>
        <v>3822000</v>
      </c>
    </row>
    <row r="32" spans="2:8" ht="15.6">
      <c r="B32" s="362" t="s">
        <v>273</v>
      </c>
      <c r="C32" s="349"/>
      <c r="D32" s="346"/>
      <c r="E32" s="346"/>
      <c r="F32" s="346"/>
      <c r="G32" s="346"/>
      <c r="H32" s="346"/>
    </row>
    <row r="33" spans="2:7" ht="15.6">
      <c r="B33" s="362" t="s">
        <v>274</v>
      </c>
      <c r="C33" s="365"/>
      <c r="D33" s="355"/>
      <c r="E33" s="552">
        <v>3000000</v>
      </c>
      <c r="G33" s="355"/>
    </row>
    <row r="34" spans="2:7">
      <c r="C34" s="298"/>
      <c r="D34" s="299"/>
    </row>
    <row r="35" spans="2:7">
      <c r="E35" s="162"/>
    </row>
    <row r="36" spans="2:7">
      <c r="F36" s="162">
        <f>SUM(F28:F30)</f>
        <v>4150000</v>
      </c>
      <c r="G36" s="162">
        <f>+G28+G29</f>
        <v>3500000</v>
      </c>
    </row>
    <row r="37" spans="2:7">
      <c r="E37" s="162"/>
      <c r="G37">
        <f>+G36*0.18</f>
        <v>630000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8129E-10B7-4FEF-AEB9-00A9E89788D2}">
  <dimension ref="A1:J49"/>
  <sheetViews>
    <sheetView showGridLines="0" zoomScaleNormal="100" workbookViewId="0">
      <selection activeCell="F16" sqref="F16"/>
    </sheetView>
  </sheetViews>
  <sheetFormatPr baseColWidth="10" defaultColWidth="8" defaultRowHeight="11.4"/>
  <cols>
    <col min="1" max="1" width="1.33203125" style="555" customWidth="1"/>
    <col min="2" max="2" width="39.5546875" style="555" customWidth="1"/>
    <col min="3" max="3" width="13.33203125" style="555" customWidth="1"/>
    <col min="4" max="4" width="4.88671875" style="555" customWidth="1"/>
    <col min="5" max="9" width="8" style="555"/>
    <col min="10" max="10" width="13" style="582" bestFit="1" customWidth="1"/>
    <col min="11" max="16384" width="8" style="555"/>
  </cols>
  <sheetData>
    <row r="1" spans="1:4" s="553" customFormat="1" ht="16.649999999999999" customHeight="1">
      <c r="A1" s="1932" t="s">
        <v>235</v>
      </c>
      <c r="B1" s="1932"/>
      <c r="C1" s="1932"/>
      <c r="D1" s="1932"/>
    </row>
    <row r="2" spans="1:4" s="554" customFormat="1" ht="14.4" customHeight="1">
      <c r="A2" s="1933" t="s">
        <v>236</v>
      </c>
      <c r="B2" s="1933"/>
      <c r="C2" s="1933"/>
      <c r="D2" s="1933"/>
    </row>
    <row r="3" spans="1:4" s="554" customFormat="1" ht="14.4" customHeight="1">
      <c r="A3" s="1933" t="s">
        <v>908</v>
      </c>
      <c r="B3" s="1933"/>
      <c r="C3" s="1933"/>
      <c r="D3" s="1933"/>
    </row>
    <row r="4" spans="1:4" ht="13.35" customHeight="1"/>
    <row r="5" spans="1:4" s="556" customFormat="1" ht="12.15" customHeight="1">
      <c r="A5" s="1934"/>
      <c r="B5" s="1935" t="s">
        <v>238</v>
      </c>
      <c r="C5" s="620" t="s">
        <v>909</v>
      </c>
      <c r="D5" s="620"/>
    </row>
    <row r="6" spans="1:4" ht="13.35" customHeight="1"/>
    <row r="7" spans="1:4" s="556" customFormat="1" ht="12.15" customHeight="1">
      <c r="A7" s="1934" t="s">
        <v>239</v>
      </c>
      <c r="B7" s="1934"/>
      <c r="C7" s="1934"/>
      <c r="D7" s="1934"/>
    </row>
    <row r="8" spans="1:4" ht="10.95" customHeight="1">
      <c r="A8" s="1936"/>
      <c r="B8" s="1936" t="s">
        <v>638</v>
      </c>
      <c r="C8" s="1936"/>
      <c r="D8" s="1936"/>
    </row>
    <row r="9" spans="1:4" ht="10.95" customHeight="1">
      <c r="B9" s="557" t="s">
        <v>639</v>
      </c>
      <c r="C9" s="558">
        <v>767629.96</v>
      </c>
      <c r="D9" s="557"/>
    </row>
    <row r="10" spans="1:4" ht="10.95" customHeight="1">
      <c r="B10" s="557" t="s">
        <v>640</v>
      </c>
      <c r="C10" s="558">
        <v>21326.28</v>
      </c>
      <c r="D10" s="557" t="s">
        <v>641</v>
      </c>
    </row>
    <row r="11" spans="1:4" ht="10.95" customHeight="1">
      <c r="B11" s="557" t="s">
        <v>799</v>
      </c>
      <c r="C11" s="558">
        <v>747944.38</v>
      </c>
      <c r="D11" s="557" t="s">
        <v>641</v>
      </c>
    </row>
    <row r="12" spans="1:4" ht="10.95" customHeight="1">
      <c r="B12" s="557" t="s">
        <v>844</v>
      </c>
      <c r="C12" s="558">
        <v>130524.4</v>
      </c>
      <c r="D12" s="557" t="s">
        <v>641</v>
      </c>
    </row>
    <row r="13" spans="1:4" ht="10.95" customHeight="1">
      <c r="B13" s="557" t="s">
        <v>845</v>
      </c>
      <c r="C13" s="558">
        <v>146944.74</v>
      </c>
      <c r="D13" s="557"/>
    </row>
    <row r="14" spans="1:4" ht="10.95" customHeight="1">
      <c r="B14" s="1937" t="s">
        <v>642</v>
      </c>
      <c r="C14" s="1938">
        <f>SUM(C9:C13)</f>
        <v>1814369.76</v>
      </c>
      <c r="D14" s="1937"/>
    </row>
    <row r="15" spans="1:4" ht="10.95" customHeight="1">
      <c r="A15" s="1936"/>
      <c r="B15" s="1936" t="s">
        <v>240</v>
      </c>
      <c r="C15" s="1936"/>
      <c r="D15" s="1936"/>
    </row>
    <row r="16" spans="1:4" ht="10.95" customHeight="1">
      <c r="B16" s="557" t="s">
        <v>241</v>
      </c>
      <c r="C16" s="558">
        <v>714025.8</v>
      </c>
      <c r="D16" s="557"/>
    </row>
    <row r="17" spans="1:4" ht="10.95" customHeight="1">
      <c r="B17" s="1937" t="s">
        <v>242</v>
      </c>
      <c r="C17" s="1938">
        <f>C16</f>
        <v>714025.8</v>
      </c>
      <c r="D17" s="1937"/>
    </row>
    <row r="18" spans="1:4" ht="10.95" customHeight="1">
      <c r="A18" s="1936"/>
      <c r="B18" s="1936" t="s">
        <v>243</v>
      </c>
      <c r="C18" s="1936"/>
      <c r="D18" s="1936"/>
    </row>
    <row r="19" spans="1:4" ht="10.95" customHeight="1">
      <c r="B19" s="557" t="s">
        <v>800</v>
      </c>
      <c r="C19" s="558">
        <v>35072731.009999998</v>
      </c>
      <c r="D19" s="557"/>
    </row>
    <row r="20" spans="1:4" ht="10.95" customHeight="1">
      <c r="B20" s="557" t="s">
        <v>245</v>
      </c>
      <c r="C20" s="558">
        <v>17468989.66</v>
      </c>
      <c r="D20" s="557"/>
    </row>
    <row r="21" spans="1:4" ht="10.95" customHeight="1">
      <c r="B21" s="557" t="s">
        <v>801</v>
      </c>
      <c r="C21" s="558">
        <v>12844129.76</v>
      </c>
      <c r="D21" s="557"/>
    </row>
    <row r="22" spans="1:4" ht="10.95" customHeight="1">
      <c r="B22" s="557" t="s">
        <v>33</v>
      </c>
      <c r="C22" s="558">
        <v>94172341.829999998</v>
      </c>
      <c r="D22" s="557"/>
    </row>
    <row r="23" spans="1:4" ht="10.95" customHeight="1">
      <c r="B23" s="1937" t="s">
        <v>247</v>
      </c>
      <c r="C23" s="1938">
        <f>SUM(C19:C22)</f>
        <v>159558192.25999999</v>
      </c>
      <c r="D23" s="1937"/>
    </row>
    <row r="24" spans="1:4" ht="10.95" customHeight="1">
      <c r="A24" s="1937" t="s">
        <v>248</v>
      </c>
      <c r="C24" s="1938">
        <f>(0 + ((C14 + C17) + C23))</f>
        <v>162086587.81999999</v>
      </c>
      <c r="D24" s="1937"/>
    </row>
    <row r="25" spans="1:4" ht="13.35" customHeight="1"/>
    <row r="26" spans="1:4" s="556" customFormat="1" ht="12.15" customHeight="1">
      <c r="A26" s="1934" t="s">
        <v>249</v>
      </c>
      <c r="B26" s="1934"/>
      <c r="C26" s="1934"/>
      <c r="D26" s="1934"/>
    </row>
    <row r="27" spans="1:4" ht="10.95" customHeight="1">
      <c r="A27" s="1936"/>
      <c r="B27" s="1936" t="s">
        <v>250</v>
      </c>
      <c r="C27" s="1936"/>
      <c r="D27" s="1936"/>
    </row>
    <row r="28" spans="1:4" ht="10.95" customHeight="1">
      <c r="B28" s="557" t="s">
        <v>251</v>
      </c>
      <c r="C28" s="558">
        <v>821773.14</v>
      </c>
      <c r="D28" s="557"/>
    </row>
    <row r="29" spans="1:4" ht="10.95" customHeight="1">
      <c r="B29" s="557" t="s">
        <v>802</v>
      </c>
      <c r="C29" s="558">
        <v>717461.85</v>
      </c>
      <c r="D29" s="557"/>
    </row>
    <row r="30" spans="1:4" ht="10.95" customHeight="1">
      <c r="B30" s="557" t="s">
        <v>252</v>
      </c>
      <c r="C30" s="558">
        <v>565946.54</v>
      </c>
      <c r="D30" s="557"/>
    </row>
    <row r="31" spans="1:4" ht="10.95" customHeight="1">
      <c r="B31" s="557" t="s">
        <v>803</v>
      </c>
      <c r="C31" s="558">
        <v>22320</v>
      </c>
      <c r="D31" s="557"/>
    </row>
    <row r="32" spans="1:4" ht="10.95" customHeight="1">
      <c r="B32" s="557" t="s">
        <v>804</v>
      </c>
      <c r="C32" s="558">
        <v>52563.19</v>
      </c>
      <c r="D32" s="557"/>
    </row>
    <row r="33" spans="1:3" ht="10.95" customHeight="1">
      <c r="B33" s="557" t="s">
        <v>813</v>
      </c>
      <c r="C33" s="558">
        <v>20248.05</v>
      </c>
    </row>
    <row r="34" spans="1:3" ht="10.95" customHeight="1">
      <c r="B34" s="557" t="s">
        <v>805</v>
      </c>
      <c r="C34" s="558">
        <v>12400</v>
      </c>
    </row>
    <row r="35" spans="1:3" ht="10.95" customHeight="1">
      <c r="B35" s="1937" t="s">
        <v>253</v>
      </c>
      <c r="C35" s="1938">
        <f>SUM(C28:C34)</f>
        <v>2212712.77</v>
      </c>
    </row>
    <row r="36" spans="1:3" ht="10.95" customHeight="1">
      <c r="A36" s="1937" t="s">
        <v>254</v>
      </c>
      <c r="C36" s="1938">
        <f>(0 + C35)</f>
        <v>2212712.77</v>
      </c>
    </row>
    <row r="37" spans="1:3" ht="13.35" customHeight="1"/>
    <row r="38" spans="1:3" ht="10.95" customHeight="1">
      <c r="B38" s="1939" t="s">
        <v>255</v>
      </c>
      <c r="C38" s="1940">
        <f>(C24 - C36)</f>
        <v>159873875.04999998</v>
      </c>
    </row>
    <row r="39" spans="1:3" ht="13.35" customHeight="1"/>
    <row r="40" spans="1:3" s="556" customFormat="1" ht="12.15" customHeight="1">
      <c r="A40" s="1934" t="s">
        <v>256</v>
      </c>
      <c r="B40" s="1934"/>
      <c r="C40" s="1934"/>
    </row>
    <row r="41" spans="1:3" ht="10.95" customHeight="1">
      <c r="B41" s="559" t="s">
        <v>257</v>
      </c>
      <c r="C41" s="560">
        <v>159695773.63999999</v>
      </c>
    </row>
    <row r="42" spans="1:3" ht="10.95" customHeight="1">
      <c r="B42" s="557" t="s">
        <v>647</v>
      </c>
      <c r="C42" s="558">
        <v>38539.279999999999</v>
      </c>
    </row>
    <row r="43" spans="1:3" ht="10.95" customHeight="1">
      <c r="B43" s="557" t="s">
        <v>846</v>
      </c>
      <c r="C43" s="558">
        <v>139562.13</v>
      </c>
    </row>
    <row r="44" spans="1:3" ht="10.95" customHeight="1">
      <c r="A44" s="1937" t="s">
        <v>258</v>
      </c>
      <c r="C44" s="1938">
        <f>SUM(C41:C43)</f>
        <v>159873875.04999998</v>
      </c>
    </row>
    <row r="45" spans="1:3" ht="13.35" customHeight="1"/>
    <row r="46" spans="1:3" ht="13.35" customHeight="1"/>
    <row r="47" spans="1:3" ht="10.95" customHeight="1">
      <c r="A47" s="561" t="s">
        <v>814</v>
      </c>
    </row>
    <row r="48" spans="1:3" ht="10.95" customHeight="1">
      <c r="A48" s="1941" t="s">
        <v>909</v>
      </c>
    </row>
    <row r="49" spans="1:1" ht="10.95" customHeight="1">
      <c r="A49" s="561" t="s">
        <v>910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D2FB6-621B-44DD-82FA-B0EAE637EDA0}">
  <dimension ref="A1:H17"/>
  <sheetViews>
    <sheetView workbookViewId="0">
      <selection activeCell="F12" sqref="F12"/>
    </sheetView>
  </sheetViews>
  <sheetFormatPr baseColWidth="10" defaultColWidth="11.44140625" defaultRowHeight="14.4"/>
  <cols>
    <col min="1" max="1" width="35.109375" bestFit="1" customWidth="1"/>
    <col min="2" max="2" width="20.33203125" style="370" customWidth="1"/>
    <col min="3" max="3" width="21.44140625" style="370" customWidth="1"/>
    <col min="4" max="4" width="18.33203125" style="370" bestFit="1" customWidth="1"/>
    <col min="5" max="5" width="16.5546875" style="370" bestFit="1" customWidth="1"/>
    <col min="6" max="6" width="16.6640625" style="549" customWidth="1"/>
    <col min="7" max="7" width="14.6640625" style="370" bestFit="1" customWidth="1"/>
    <col min="8" max="8" width="11.88671875" bestFit="1" customWidth="1"/>
    <col min="9" max="9" width="14.6640625" bestFit="1" customWidth="1"/>
  </cols>
  <sheetData>
    <row r="1" spans="1:8" s="546" customFormat="1" ht="43.2">
      <c r="A1" s="523" t="s">
        <v>458</v>
      </c>
      <c r="B1" s="548" t="s">
        <v>788</v>
      </c>
      <c r="C1" s="548" t="s">
        <v>848</v>
      </c>
      <c r="D1" s="548" t="s">
        <v>885</v>
      </c>
      <c r="E1" s="548" t="s">
        <v>850</v>
      </c>
      <c r="F1" s="548" t="s">
        <v>851</v>
      </c>
      <c r="G1" s="547"/>
    </row>
    <row r="2" spans="1:8">
      <c r="A2" t="s">
        <v>65</v>
      </c>
      <c r="B2" s="370">
        <v>103385169</v>
      </c>
      <c r="C2" s="370">
        <v>0</v>
      </c>
      <c r="D2" s="370">
        <v>103385169</v>
      </c>
      <c r="E2" s="370">
        <v>94172341.829999998</v>
      </c>
      <c r="F2" s="549">
        <v>94172341.829999998</v>
      </c>
    </row>
    <row r="3" spans="1:8">
      <c r="A3" t="s">
        <v>68</v>
      </c>
      <c r="B3" s="370">
        <v>20789999.999999996</v>
      </c>
      <c r="C3" s="370">
        <v>0</v>
      </c>
      <c r="D3" s="370">
        <v>20790000</v>
      </c>
      <c r="E3" s="370">
        <v>22037273.800000001</v>
      </c>
      <c r="F3" s="549">
        <v>21553985.390000001</v>
      </c>
    </row>
    <row r="4" spans="1:8">
      <c r="A4" t="s">
        <v>78</v>
      </c>
      <c r="B4" s="370">
        <v>451758999.99999994</v>
      </c>
      <c r="C4" s="370">
        <v>0</v>
      </c>
      <c r="D4" s="370">
        <v>451758999.99999994</v>
      </c>
      <c r="E4" s="370">
        <f>9340189.93-76856.34-44250</f>
        <v>9219083.5899999999</v>
      </c>
      <c r="F4" s="549">
        <v>9219083.5899999999</v>
      </c>
    </row>
    <row r="5" spans="1:8">
      <c r="A5" t="s">
        <v>90</v>
      </c>
      <c r="B5" s="370">
        <v>1265953920</v>
      </c>
      <c r="C5" s="370">
        <v>0</v>
      </c>
      <c r="D5" s="370">
        <v>1265953920</v>
      </c>
      <c r="F5" s="549">
        <v>0</v>
      </c>
    </row>
    <row r="6" spans="1:8">
      <c r="A6" t="s">
        <v>105</v>
      </c>
      <c r="B6" s="370">
        <v>171771292</v>
      </c>
      <c r="C6" s="370">
        <v>18198088</v>
      </c>
      <c r="D6" s="370">
        <v>189969380</v>
      </c>
      <c r="E6" s="370">
        <f>6659662.03-2360000</f>
        <v>4299662.03</v>
      </c>
      <c r="F6" s="549">
        <v>4299662.03</v>
      </c>
    </row>
    <row r="7" spans="1:8">
      <c r="A7" t="s">
        <v>108</v>
      </c>
      <c r="B7" s="370">
        <v>34354258</v>
      </c>
      <c r="C7" s="370">
        <v>3639618</v>
      </c>
      <c r="D7" s="370">
        <v>37993876</v>
      </c>
      <c r="F7" s="549">
        <v>0</v>
      </c>
      <c r="H7">
        <v>677173.63</v>
      </c>
    </row>
    <row r="8" spans="1:8">
      <c r="A8" t="s">
        <v>816</v>
      </c>
      <c r="B8" s="370">
        <v>0</v>
      </c>
      <c r="C8" s="370">
        <v>37993876</v>
      </c>
      <c r="D8" s="370">
        <v>37993876</v>
      </c>
      <c r="F8" s="549">
        <v>0</v>
      </c>
    </row>
    <row r="9" spans="1:8">
      <c r="A9" t="s">
        <v>112</v>
      </c>
      <c r="B9" s="370">
        <v>137417034</v>
      </c>
      <c r="C9" s="370">
        <v>14558470</v>
      </c>
      <c r="D9" s="370">
        <v>151975504</v>
      </c>
      <c r="E9" s="370">
        <f>1931175.97-1770000</f>
        <v>161175.96999999997</v>
      </c>
      <c r="F9" s="549">
        <v>161175.97</v>
      </c>
    </row>
    <row r="10" spans="1:8">
      <c r="A10" t="s">
        <v>115</v>
      </c>
      <c r="B10" s="370">
        <v>281704919</v>
      </c>
      <c r="C10" s="370">
        <v>26425415</v>
      </c>
      <c r="D10" s="370">
        <v>308130334</v>
      </c>
      <c r="E10" s="370">
        <f>2477295.75-677173.63</f>
        <v>1800122.12</v>
      </c>
      <c r="F10" s="549">
        <v>1800122.12</v>
      </c>
    </row>
    <row r="11" spans="1:8">
      <c r="A11" t="s">
        <v>119</v>
      </c>
      <c r="B11" s="370">
        <v>67334346</v>
      </c>
      <c r="C11" s="370">
        <v>8463436</v>
      </c>
      <c r="D11" s="370">
        <v>75797782</v>
      </c>
      <c r="E11" s="370">
        <v>527779.86</v>
      </c>
      <c r="F11" s="549">
        <v>490356.1</v>
      </c>
    </row>
    <row r="12" spans="1:8">
      <c r="A12" t="s">
        <v>122</v>
      </c>
      <c r="B12" s="370">
        <v>51531387.949999996</v>
      </c>
      <c r="C12" s="370">
        <v>5459426.0500000045</v>
      </c>
      <c r="D12" s="370">
        <v>56990814</v>
      </c>
      <c r="E12" s="370">
        <f>19260222.39-149742-114460-677173.63-24657.53-167745.43-1632376.69</f>
        <v>16494067.110000001</v>
      </c>
      <c r="F12" s="549">
        <v>15017335.41</v>
      </c>
    </row>
    <row r="13" spans="1:8">
      <c r="A13" t="s">
        <v>126</v>
      </c>
      <c r="B13" s="370">
        <v>19238385</v>
      </c>
      <c r="C13" s="370">
        <v>2418121</v>
      </c>
      <c r="D13" s="370">
        <v>21656506</v>
      </c>
      <c r="F13" s="549">
        <v>0</v>
      </c>
    </row>
    <row r="14" spans="1:8">
      <c r="A14" t="s">
        <v>193</v>
      </c>
      <c r="B14" s="370">
        <v>15000000</v>
      </c>
      <c r="C14" s="370">
        <v>15500000</v>
      </c>
      <c r="D14" s="370">
        <v>30500000</v>
      </c>
      <c r="E14" s="370">
        <v>16966172.940000001</v>
      </c>
      <c r="F14" s="549">
        <v>12844129.75</v>
      </c>
    </row>
    <row r="15" spans="1:8">
      <c r="A15" t="s">
        <v>133</v>
      </c>
      <c r="B15" s="370">
        <v>19238385</v>
      </c>
      <c r="C15" s="370">
        <v>2418124</v>
      </c>
      <c r="D15" s="370">
        <v>21656509</v>
      </c>
      <c r="F15" s="549">
        <v>0</v>
      </c>
    </row>
    <row r="16" spans="1:8">
      <c r="A16" t="s">
        <v>136</v>
      </c>
      <c r="B16" s="370">
        <v>192383847</v>
      </c>
      <c r="C16" s="370">
        <v>24181246</v>
      </c>
      <c r="D16" s="370">
        <v>216565093</v>
      </c>
      <c r="F16" s="549">
        <v>0</v>
      </c>
    </row>
    <row r="17" spans="2:6">
      <c r="B17" s="432">
        <f>SUM(B2:B16)</f>
        <v>2831861942.9499998</v>
      </c>
      <c r="C17" s="432">
        <f>SUM(C2:C16)</f>
        <v>159255820.05000001</v>
      </c>
      <c r="D17" s="432">
        <f>SUM(D2:D16)</f>
        <v>2991117763</v>
      </c>
      <c r="E17" s="432">
        <f>SUM(E2:E16)</f>
        <v>165677679.25</v>
      </c>
      <c r="F17" s="550">
        <f>SUM(F2:F16)</f>
        <v>159558192.19</v>
      </c>
    </row>
  </sheetData>
  <autoFilter ref="A1:F1" xr:uid="{DCFAD519-5D8F-4964-9E95-1F3AB7E20DF4}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47AAC-F3D3-4E73-8313-4FFB741F69C8}">
  <dimension ref="A1:G7"/>
  <sheetViews>
    <sheetView workbookViewId="0">
      <selection activeCell="E17" sqref="E17"/>
    </sheetView>
  </sheetViews>
  <sheetFormatPr baseColWidth="10" defaultColWidth="11.44140625" defaultRowHeight="14.4"/>
  <cols>
    <col min="1" max="1" width="44.6640625" bestFit="1" customWidth="1"/>
    <col min="2" max="2" width="11" bestFit="1" customWidth="1"/>
    <col min="3" max="3" width="11.33203125" style="370" bestFit="1" customWidth="1"/>
    <col min="4" max="4" width="14.5546875" style="370" customWidth="1"/>
    <col min="5" max="5" width="32.5546875" customWidth="1"/>
    <col min="6" max="6" width="32.109375" bestFit="1" customWidth="1"/>
    <col min="7" max="7" width="33.6640625" bestFit="1" customWidth="1"/>
  </cols>
  <sheetData>
    <row r="1" spans="1:7">
      <c r="A1" t="s">
        <v>707</v>
      </c>
      <c r="B1" t="s">
        <v>708</v>
      </c>
      <c r="C1" s="370" t="s">
        <v>164</v>
      </c>
      <c r="D1" s="370" t="s">
        <v>709</v>
      </c>
      <c r="E1" t="s">
        <v>817</v>
      </c>
      <c r="F1" t="s">
        <v>710</v>
      </c>
      <c r="G1" t="s">
        <v>852</v>
      </c>
    </row>
    <row r="2" spans="1:7">
      <c r="A2" t="s">
        <v>735</v>
      </c>
      <c r="B2" s="193">
        <v>45469</v>
      </c>
      <c r="C2" s="370">
        <v>38250</v>
      </c>
      <c r="D2" s="370">
        <v>38250</v>
      </c>
      <c r="E2" t="s">
        <v>821</v>
      </c>
      <c r="F2" t="s">
        <v>853</v>
      </c>
      <c r="G2" t="s">
        <v>853</v>
      </c>
    </row>
    <row r="3" spans="1:7">
      <c r="A3" t="s">
        <v>737</v>
      </c>
      <c r="B3" s="193">
        <v>45429</v>
      </c>
      <c r="C3" s="370">
        <v>40000</v>
      </c>
      <c r="D3" s="370">
        <v>40000</v>
      </c>
      <c r="E3" t="s">
        <v>738</v>
      </c>
      <c r="F3" t="s">
        <v>853</v>
      </c>
      <c r="G3" t="s">
        <v>853</v>
      </c>
    </row>
    <row r="4" spans="1:7">
      <c r="A4" t="s">
        <v>369</v>
      </c>
      <c r="B4" s="193">
        <v>45266</v>
      </c>
      <c r="C4" s="370">
        <v>273000</v>
      </c>
      <c r="D4" s="370">
        <v>273000</v>
      </c>
      <c r="E4" t="s">
        <v>911</v>
      </c>
      <c r="F4" t="s">
        <v>853</v>
      </c>
      <c r="G4" t="s">
        <v>853</v>
      </c>
    </row>
    <row r="5" spans="1:7">
      <c r="A5" t="s">
        <v>795</v>
      </c>
      <c r="B5" s="193">
        <v>45622</v>
      </c>
      <c r="C5" s="370">
        <v>352775.8</v>
      </c>
      <c r="D5" s="370">
        <v>352775.8</v>
      </c>
      <c r="E5" t="s">
        <v>912</v>
      </c>
      <c r="F5" t="s">
        <v>859</v>
      </c>
      <c r="G5" t="s">
        <v>860</v>
      </c>
    </row>
    <row r="6" spans="1:7">
      <c r="A6" t="s">
        <v>400</v>
      </c>
      <c r="B6" s="193">
        <v>45747</v>
      </c>
      <c r="C6" s="370">
        <v>10000</v>
      </c>
      <c r="D6" s="370">
        <v>10000</v>
      </c>
      <c r="E6" t="s">
        <v>913</v>
      </c>
      <c r="F6" t="s">
        <v>859</v>
      </c>
      <c r="G6" t="s">
        <v>860</v>
      </c>
    </row>
    <row r="7" spans="1:7">
      <c r="D7" s="432">
        <f>SUM(D2:D6)</f>
        <v>714025.8</v>
      </c>
    </row>
  </sheetData>
  <autoFilter ref="A1:G1" xr:uid="{8F833D8D-E3A2-49C0-BA28-FAE8897AAB0B}">
    <sortState xmlns:xlrd2="http://schemas.microsoft.com/office/spreadsheetml/2017/richdata2" ref="A2:G5">
      <sortCondition ref="G1"/>
    </sortState>
  </autoFilter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69EF2-53EA-48BE-AF00-9F5FE2BAF362}">
  <dimension ref="A1:F19"/>
  <sheetViews>
    <sheetView showGridLines="0" zoomScaleNormal="100" workbookViewId="0">
      <selection activeCell="B24" sqref="B24"/>
    </sheetView>
  </sheetViews>
  <sheetFormatPr baseColWidth="10" defaultColWidth="8" defaultRowHeight="11.4"/>
  <cols>
    <col min="1" max="1" width="49.33203125" style="408" customWidth="1"/>
    <col min="2" max="2" width="11.88671875" style="408" bestFit="1" customWidth="1"/>
    <col min="3" max="3" width="10.6640625" style="408" bestFit="1" customWidth="1"/>
    <col min="4" max="4" width="17.109375" style="408" bestFit="1" customWidth="1"/>
    <col min="5" max="5" width="9.5546875" style="408" bestFit="1" customWidth="1"/>
    <col min="6" max="6" width="40" style="408" bestFit="1" customWidth="1"/>
    <col min="7" max="16384" width="8" style="408"/>
  </cols>
  <sheetData>
    <row r="1" spans="1:6" s="405" customFormat="1" ht="16.649999999999999" customHeight="1">
      <c r="A1" s="404" t="s">
        <v>771</v>
      </c>
      <c r="B1" s="404"/>
      <c r="C1" s="404"/>
      <c r="D1" s="404"/>
      <c r="E1" s="404"/>
      <c r="F1" s="404"/>
    </row>
    <row r="2" spans="1:6" s="407" customFormat="1" ht="14.4" customHeight="1">
      <c r="A2" s="406" t="s">
        <v>236</v>
      </c>
      <c r="B2" s="406"/>
      <c r="C2" s="406"/>
      <c r="D2" s="406"/>
      <c r="E2" s="406"/>
      <c r="F2" s="406"/>
    </row>
    <row r="3" spans="1:6" s="407" customFormat="1" ht="14.4" customHeight="1">
      <c r="A3" s="406" t="s">
        <v>908</v>
      </c>
      <c r="B3" s="406"/>
      <c r="C3" s="406"/>
      <c r="D3" s="406"/>
      <c r="E3" s="406"/>
      <c r="F3" s="406"/>
    </row>
    <row r="4" spans="1:6" s="407" customFormat="1" ht="14.4" customHeight="1">
      <c r="A4" s="406" t="s">
        <v>724</v>
      </c>
      <c r="B4" s="406"/>
      <c r="C4" s="406"/>
      <c r="D4" s="406"/>
      <c r="E4" s="406"/>
      <c r="F4" s="406"/>
    </row>
    <row r="5" spans="1:6" ht="13.35" customHeight="1"/>
    <row r="6" spans="1:6" s="412" customFormat="1" ht="12.15" customHeight="1">
      <c r="A6" s="410" t="s">
        <v>690</v>
      </c>
      <c r="B6" s="410" t="s">
        <v>689</v>
      </c>
      <c r="C6" s="410" t="s">
        <v>823</v>
      </c>
      <c r="D6" s="410" t="s">
        <v>773</v>
      </c>
      <c r="E6" s="411" t="s">
        <v>164</v>
      </c>
      <c r="F6" s="410" t="s">
        <v>862</v>
      </c>
    </row>
    <row r="7" spans="1:6" ht="13.35" customHeight="1"/>
    <row r="8" spans="1:6" s="412" customFormat="1" ht="12.15" customHeight="1">
      <c r="A8" s="409" t="s">
        <v>864</v>
      </c>
      <c r="B8" s="409"/>
      <c r="C8" s="409"/>
      <c r="D8" s="409"/>
      <c r="E8" s="409"/>
      <c r="F8" s="409"/>
    </row>
    <row r="9" spans="1:6" ht="10.95" customHeight="1">
      <c r="A9" s="421" t="s">
        <v>781</v>
      </c>
      <c r="B9" s="429">
        <v>45614</v>
      </c>
      <c r="C9" s="429">
        <v>45615</v>
      </c>
      <c r="D9" s="421" t="s">
        <v>782</v>
      </c>
      <c r="E9" s="422">
        <v>74800</v>
      </c>
      <c r="F9" s="421" t="s">
        <v>868</v>
      </c>
    </row>
    <row r="10" spans="1:6" ht="10.95" customHeight="1">
      <c r="A10" s="414" t="s">
        <v>781</v>
      </c>
      <c r="B10" s="430">
        <v>45616</v>
      </c>
      <c r="C10" s="430">
        <v>45616</v>
      </c>
      <c r="D10" s="414" t="s">
        <v>783</v>
      </c>
      <c r="E10" s="415">
        <v>18802</v>
      </c>
      <c r="F10" s="414" t="s">
        <v>868</v>
      </c>
    </row>
    <row r="11" spans="1:6" ht="10.95" customHeight="1">
      <c r="A11" s="414" t="s">
        <v>420</v>
      </c>
      <c r="B11" s="430">
        <v>45719</v>
      </c>
      <c r="C11" s="430">
        <v>45729</v>
      </c>
      <c r="D11" s="414" t="s">
        <v>906</v>
      </c>
      <c r="E11" s="415">
        <v>187959.76</v>
      </c>
      <c r="F11" s="414" t="s">
        <v>892</v>
      </c>
    </row>
    <row r="12" spans="1:6" ht="10.95" customHeight="1">
      <c r="A12" s="414" t="s">
        <v>914</v>
      </c>
      <c r="B12" s="430">
        <v>45741</v>
      </c>
      <c r="C12" s="430">
        <v>45741</v>
      </c>
      <c r="D12" s="414" t="s">
        <v>915</v>
      </c>
      <c r="E12" s="415">
        <v>411466</v>
      </c>
      <c r="F12" s="414" t="s">
        <v>868</v>
      </c>
    </row>
    <row r="13" spans="1:6" ht="10.95" customHeight="1">
      <c r="A13" s="416" t="s">
        <v>895</v>
      </c>
      <c r="B13" s="416"/>
      <c r="C13" s="416"/>
      <c r="D13" s="416"/>
      <c r="E13" s="417">
        <f>SUM(E9:E12)</f>
        <v>693027.76</v>
      </c>
      <c r="F13" s="416"/>
    </row>
    <row r="14" spans="1:6" ht="13.35" customHeight="1"/>
    <row r="15" spans="1:6" s="412" customFormat="1" ht="12.15" customHeight="1">
      <c r="A15" s="409" t="s">
        <v>916</v>
      </c>
      <c r="B15" s="409"/>
      <c r="C15" s="409"/>
      <c r="D15" s="409"/>
      <c r="E15" s="409"/>
      <c r="F15" s="409"/>
    </row>
    <row r="16" spans="1:6" ht="10.95" customHeight="1">
      <c r="A16" s="421" t="s">
        <v>917</v>
      </c>
      <c r="B16" s="429">
        <v>45734</v>
      </c>
      <c r="C16" s="429">
        <v>45749</v>
      </c>
      <c r="D16" s="421" t="s">
        <v>918</v>
      </c>
      <c r="E16" s="422">
        <v>128745.38</v>
      </c>
      <c r="F16" s="421" t="s">
        <v>919</v>
      </c>
    </row>
    <row r="17" spans="1:6" ht="10.95" customHeight="1">
      <c r="A17" s="416" t="s">
        <v>920</v>
      </c>
      <c r="B17" s="416"/>
      <c r="C17" s="416"/>
      <c r="D17" s="416"/>
      <c r="E17" s="417">
        <f>E16</f>
        <v>128745.38</v>
      </c>
      <c r="F17" s="416"/>
    </row>
    <row r="18" spans="1:6" ht="13.35" customHeight="1"/>
    <row r="19" spans="1:6" ht="10.95" customHeight="1">
      <c r="A19" s="419" t="s">
        <v>164</v>
      </c>
      <c r="B19" s="419"/>
      <c r="C19" s="419"/>
      <c r="D19" s="419"/>
      <c r="E19" s="420">
        <f>SUM(E13,E17)</f>
        <v>821773.14</v>
      </c>
      <c r="F19" s="419"/>
    </row>
  </sheetData>
  <pageMargins left="0.7" right="0.7" top="0.75" bottom="0.75" header="0.3" footer="0.3"/>
  <pageSetup paperSize="9" fitToWidth="0" fitToHeight="0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390B2-D411-42FE-B55D-2A230890F69D}">
  <dimension ref="A1:K37"/>
  <sheetViews>
    <sheetView topLeftCell="A24" workbookViewId="0">
      <selection activeCell="B5" sqref="B5"/>
    </sheetView>
  </sheetViews>
  <sheetFormatPr baseColWidth="10" defaultColWidth="11.44140625" defaultRowHeight="14.4"/>
  <cols>
    <col min="1" max="1" width="9.6640625" bestFit="1" customWidth="1"/>
    <col min="2" max="2" width="48.33203125" customWidth="1"/>
    <col min="3" max="3" width="41.5546875" customWidth="1"/>
    <col min="4" max="4" width="16.5546875" style="549" customWidth="1"/>
    <col min="5" max="5" width="13" style="549" bestFit="1" customWidth="1"/>
    <col min="6" max="6" width="15.33203125" style="549" customWidth="1"/>
    <col min="7" max="7" width="19.109375" style="549" customWidth="1"/>
    <col min="8" max="9" width="13" bestFit="1" customWidth="1"/>
  </cols>
  <sheetData>
    <row r="1" spans="1:11" s="182" customFormat="1" ht="30" customHeight="1">
      <c r="A1" s="563" t="s">
        <v>921</v>
      </c>
      <c r="B1" s="563" t="s">
        <v>922</v>
      </c>
      <c r="C1" s="563" t="s">
        <v>923</v>
      </c>
      <c r="D1" s="564" t="s">
        <v>924</v>
      </c>
      <c r="E1" s="564" t="s">
        <v>925</v>
      </c>
      <c r="F1" s="564" t="s">
        <v>926</v>
      </c>
      <c r="G1" s="564" t="s">
        <v>927</v>
      </c>
      <c r="H1" s="565">
        <v>45748</v>
      </c>
      <c r="I1" s="565">
        <v>45778</v>
      </c>
      <c r="J1" s="565">
        <v>45809</v>
      </c>
      <c r="K1" s="565">
        <v>45839</v>
      </c>
    </row>
    <row r="2" spans="1:11">
      <c r="A2" t="s">
        <v>928</v>
      </c>
      <c r="B2" t="s">
        <v>420</v>
      </c>
      <c r="C2" s="421" t="s">
        <v>892</v>
      </c>
      <c r="D2" s="549">
        <v>1984344.72</v>
      </c>
      <c r="E2" s="370">
        <v>1103051.94</v>
      </c>
      <c r="F2" s="370">
        <v>1103051.94</v>
      </c>
      <c r="G2" s="549">
        <v>881292.78</v>
      </c>
      <c r="H2" s="549">
        <v>190000</v>
      </c>
      <c r="I2" s="509">
        <v>190000</v>
      </c>
      <c r="J2" s="509">
        <v>190000</v>
      </c>
      <c r="K2" s="509">
        <f>+G2-H2-I2-J2</f>
        <v>311292.78000000003</v>
      </c>
    </row>
    <row r="3" spans="1:11">
      <c r="A3" t="s">
        <v>929</v>
      </c>
      <c r="B3" t="s">
        <v>781</v>
      </c>
      <c r="C3" s="421" t="s">
        <v>868</v>
      </c>
      <c r="D3" s="549">
        <v>32627</v>
      </c>
      <c r="E3" s="549">
        <v>32627</v>
      </c>
      <c r="F3" s="549">
        <v>13825</v>
      </c>
      <c r="G3" s="549">
        <v>18802</v>
      </c>
      <c r="H3" s="509">
        <f>+G3</f>
        <v>18802</v>
      </c>
    </row>
    <row r="4" spans="1:11">
      <c r="A4" t="s">
        <v>930</v>
      </c>
      <c r="B4" t="s">
        <v>781</v>
      </c>
      <c r="C4" s="414" t="s">
        <v>868</v>
      </c>
      <c r="D4" s="549">
        <v>129800</v>
      </c>
      <c r="E4" s="549">
        <v>129800</v>
      </c>
      <c r="F4" s="549">
        <v>55000</v>
      </c>
      <c r="G4" s="549">
        <v>74800</v>
      </c>
      <c r="H4" s="509">
        <f>+G4</f>
        <v>74800</v>
      </c>
    </row>
    <row r="5" spans="1:11">
      <c r="A5" t="s">
        <v>931</v>
      </c>
      <c r="B5" t="s">
        <v>746</v>
      </c>
      <c r="C5" s="421" t="s">
        <v>868</v>
      </c>
      <c r="D5" s="549">
        <v>127440</v>
      </c>
      <c r="E5" s="549">
        <v>127440</v>
      </c>
      <c r="F5" s="370">
        <v>84960</v>
      </c>
      <c r="G5" s="549">
        <v>42480</v>
      </c>
      <c r="H5" s="509">
        <f t="shared" ref="H5:H6" si="0">+G5</f>
        <v>42480</v>
      </c>
    </row>
    <row r="6" spans="1:11">
      <c r="A6" t="s">
        <v>932</v>
      </c>
      <c r="B6" t="s">
        <v>756</v>
      </c>
      <c r="C6" s="421" t="s">
        <v>868</v>
      </c>
      <c r="D6" s="549">
        <v>264792</v>
      </c>
      <c r="E6" s="549">
        <v>176528</v>
      </c>
      <c r="F6" s="549">
        <v>176528</v>
      </c>
      <c r="G6" s="549">
        <v>88264</v>
      </c>
      <c r="H6" s="509">
        <f t="shared" si="0"/>
        <v>88264</v>
      </c>
    </row>
    <row r="7" spans="1:11">
      <c r="A7" t="s">
        <v>933</v>
      </c>
      <c r="B7" t="s">
        <v>914</v>
      </c>
      <c r="C7" s="421" t="s">
        <v>858</v>
      </c>
      <c r="D7" s="549">
        <v>411466</v>
      </c>
      <c r="E7" s="549">
        <v>411466</v>
      </c>
      <c r="F7" s="549">
        <v>0</v>
      </c>
      <c r="G7" s="549">
        <v>411466</v>
      </c>
      <c r="H7" s="509">
        <f t="shared" ref="H7:H12" si="1">+G7</f>
        <v>411466</v>
      </c>
    </row>
    <row r="8" spans="1:11">
      <c r="A8" t="s">
        <v>934</v>
      </c>
      <c r="B8" t="s">
        <v>935</v>
      </c>
      <c r="C8" s="421" t="s">
        <v>858</v>
      </c>
      <c r="D8" s="549">
        <v>114460</v>
      </c>
      <c r="E8" s="549">
        <v>114460</v>
      </c>
      <c r="F8" s="549">
        <v>0</v>
      </c>
      <c r="G8" s="549">
        <v>114460</v>
      </c>
      <c r="H8" s="509">
        <f t="shared" si="1"/>
        <v>114460</v>
      </c>
    </row>
    <row r="9" spans="1:11">
      <c r="A9" t="s">
        <v>936</v>
      </c>
      <c r="B9" t="s">
        <v>937</v>
      </c>
      <c r="C9" s="421" t="s">
        <v>858</v>
      </c>
      <c r="D9" s="549">
        <v>24657.53</v>
      </c>
      <c r="E9" s="549">
        <v>24657.53</v>
      </c>
      <c r="F9" s="549">
        <v>0</v>
      </c>
      <c r="G9" s="549">
        <v>24657.53</v>
      </c>
      <c r="H9" s="509">
        <f t="shared" si="1"/>
        <v>24657.53</v>
      </c>
    </row>
    <row r="10" spans="1:11">
      <c r="A10" t="s">
        <v>938</v>
      </c>
      <c r="B10" t="s">
        <v>740</v>
      </c>
      <c r="C10" s="421" t="s">
        <v>855</v>
      </c>
      <c r="D10" s="549">
        <v>273279.15000000002</v>
      </c>
      <c r="E10" s="549">
        <v>0</v>
      </c>
      <c r="F10" s="549">
        <v>0</v>
      </c>
      <c r="G10" s="549">
        <v>273279.15000000002</v>
      </c>
      <c r="I10" s="509">
        <f>+G10</f>
        <v>273279.15000000002</v>
      </c>
    </row>
    <row r="11" spans="1:11">
      <c r="A11" t="s">
        <v>939</v>
      </c>
      <c r="B11" t="s">
        <v>389</v>
      </c>
      <c r="C11" s="421" t="s">
        <v>940</v>
      </c>
      <c r="D11" s="549">
        <v>149742</v>
      </c>
      <c r="E11" s="549">
        <v>149742</v>
      </c>
      <c r="F11" s="549">
        <v>0</v>
      </c>
      <c r="G11" s="549">
        <v>149742</v>
      </c>
      <c r="H11" s="509">
        <f t="shared" si="1"/>
        <v>149742</v>
      </c>
    </row>
    <row r="12" spans="1:11">
      <c r="A12" t="s">
        <v>941</v>
      </c>
      <c r="B12" t="s">
        <v>715</v>
      </c>
      <c r="C12" s="421" t="s">
        <v>942</v>
      </c>
      <c r="D12" s="549">
        <v>167745.43</v>
      </c>
      <c r="E12" s="549">
        <v>167745.43</v>
      </c>
      <c r="F12" s="549">
        <v>0</v>
      </c>
      <c r="G12" s="549">
        <v>167745.43</v>
      </c>
      <c r="H12" s="509">
        <f t="shared" si="1"/>
        <v>167745.43</v>
      </c>
    </row>
    <row r="13" spans="1:11">
      <c r="C13" s="421"/>
      <c r="D13" s="550">
        <f t="shared" ref="D13:K13" si="2">SUM(D2:D12)</f>
        <v>3680353.8299999996</v>
      </c>
      <c r="E13" s="550">
        <f t="shared" si="2"/>
        <v>2437517.9</v>
      </c>
      <c r="F13" s="550">
        <f t="shared" si="2"/>
        <v>1433364.94</v>
      </c>
      <c r="G13" s="550">
        <f t="shared" si="2"/>
        <v>2246988.89</v>
      </c>
      <c r="H13" s="550">
        <f t="shared" si="2"/>
        <v>1282416.96</v>
      </c>
      <c r="I13" s="550">
        <f t="shared" si="2"/>
        <v>463279.15</v>
      </c>
      <c r="J13" s="550">
        <f t="shared" si="2"/>
        <v>190000</v>
      </c>
      <c r="K13" s="550">
        <f t="shared" si="2"/>
        <v>311292.78000000003</v>
      </c>
    </row>
    <row r="14" spans="1:11">
      <c r="C14" s="421"/>
    </row>
    <row r="15" spans="1:11">
      <c r="A15" t="s">
        <v>943</v>
      </c>
      <c r="B15" t="s">
        <v>778</v>
      </c>
      <c r="C15" s="551" t="s">
        <v>944</v>
      </c>
      <c r="D15" s="549">
        <v>677173.63</v>
      </c>
      <c r="E15" s="549">
        <v>677173.63</v>
      </c>
      <c r="F15" s="549">
        <v>0</v>
      </c>
      <c r="G15" s="549">
        <v>677173.63</v>
      </c>
      <c r="H15" s="370">
        <v>677173.63</v>
      </c>
      <c r="I15" s="509"/>
    </row>
    <row r="16" spans="1:11">
      <c r="C16" s="551"/>
      <c r="D16" s="550">
        <f t="shared" ref="D16:K16" si="3">SUM(D15:D15)</f>
        <v>677173.63</v>
      </c>
      <c r="E16" s="550">
        <f t="shared" si="3"/>
        <v>677173.63</v>
      </c>
      <c r="F16" s="550">
        <f t="shared" si="3"/>
        <v>0</v>
      </c>
      <c r="G16" s="550">
        <f t="shared" si="3"/>
        <v>677173.63</v>
      </c>
      <c r="H16" s="550">
        <f t="shared" si="3"/>
        <v>677173.63</v>
      </c>
      <c r="I16" s="550">
        <f t="shared" si="3"/>
        <v>0</v>
      </c>
      <c r="J16" s="550">
        <f t="shared" si="3"/>
        <v>0</v>
      </c>
      <c r="K16" s="550">
        <f t="shared" si="3"/>
        <v>0</v>
      </c>
    </row>
    <row r="19" spans="1:11">
      <c r="A19" t="s">
        <v>367</v>
      </c>
      <c r="B19" t="s">
        <v>369</v>
      </c>
      <c r="C19" s="551" t="s">
        <v>853</v>
      </c>
      <c r="D19" s="549">
        <v>278099.52</v>
      </c>
      <c r="E19" s="549">
        <v>0</v>
      </c>
      <c r="F19" s="549">
        <v>273000</v>
      </c>
      <c r="G19" s="549">
        <v>5099.5200000000004</v>
      </c>
      <c r="I19" s="509">
        <f>+G19</f>
        <v>5099.5200000000004</v>
      </c>
    </row>
    <row r="20" spans="1:11">
      <c r="A20" t="s">
        <v>821</v>
      </c>
      <c r="B20" t="s">
        <v>735</v>
      </c>
      <c r="C20" s="551" t="s">
        <v>853</v>
      </c>
      <c r="D20" s="549">
        <v>100300</v>
      </c>
      <c r="E20" s="549">
        <v>0</v>
      </c>
      <c r="F20" s="549">
        <v>38250</v>
      </c>
      <c r="G20" s="549">
        <v>62050</v>
      </c>
      <c r="I20" s="509">
        <f t="shared" ref="I20:I21" si="4">+G20</f>
        <v>62050</v>
      </c>
    </row>
    <row r="21" spans="1:11">
      <c r="A21" t="s">
        <v>738</v>
      </c>
      <c r="B21" t="s">
        <v>737</v>
      </c>
      <c r="C21" s="551" t="s">
        <v>853</v>
      </c>
      <c r="D21" s="549">
        <v>104888.89</v>
      </c>
      <c r="E21" s="549">
        <v>0</v>
      </c>
      <c r="F21" s="549">
        <v>40000</v>
      </c>
      <c r="G21" s="549">
        <v>64888.89</v>
      </c>
      <c r="I21" s="509">
        <f t="shared" si="4"/>
        <v>64888.89</v>
      </c>
    </row>
    <row r="22" spans="1:11">
      <c r="B22" t="s">
        <v>945</v>
      </c>
      <c r="C22" s="551" t="s">
        <v>853</v>
      </c>
      <c r="D22" s="549">
        <v>108350.26</v>
      </c>
      <c r="G22" s="549">
        <v>108350.26</v>
      </c>
      <c r="I22" s="549">
        <v>108350.26</v>
      </c>
    </row>
    <row r="23" spans="1:11">
      <c r="C23" s="551"/>
      <c r="D23" s="550">
        <f>SUM(D19:D22)</f>
        <v>591638.67000000004</v>
      </c>
      <c r="E23" s="550">
        <f t="shared" ref="E23:K23" si="5">SUM(E19:E22)</f>
        <v>0</v>
      </c>
      <c r="F23" s="550">
        <f t="shared" si="5"/>
        <v>351250</v>
      </c>
      <c r="G23" s="550">
        <f t="shared" si="5"/>
        <v>240388.66999999998</v>
      </c>
      <c r="H23" s="550">
        <f t="shared" si="5"/>
        <v>0</v>
      </c>
      <c r="I23" s="550">
        <f>SUM(I19:I22)</f>
        <v>240388.66999999998</v>
      </c>
      <c r="J23" s="550">
        <f t="shared" si="5"/>
        <v>0</v>
      </c>
      <c r="K23" s="550">
        <f t="shared" si="5"/>
        <v>0</v>
      </c>
    </row>
    <row r="24" spans="1:11">
      <c r="C24" s="551"/>
    </row>
    <row r="25" spans="1:11">
      <c r="A25" t="s">
        <v>946</v>
      </c>
      <c r="B25" t="s">
        <v>795</v>
      </c>
      <c r="C25" s="551" t="s">
        <v>860</v>
      </c>
      <c r="D25" s="549">
        <v>370000.8</v>
      </c>
      <c r="E25" s="549">
        <v>0</v>
      </c>
      <c r="F25" s="549">
        <v>352775.8</v>
      </c>
      <c r="G25" s="549">
        <v>17225</v>
      </c>
      <c r="I25" s="509">
        <f>+G25</f>
        <v>17225</v>
      </c>
    </row>
    <row r="26" spans="1:11">
      <c r="A26" t="s">
        <v>947</v>
      </c>
      <c r="B26" t="s">
        <v>948</v>
      </c>
      <c r="C26" t="s">
        <v>860</v>
      </c>
      <c r="D26" s="549">
        <v>1155000</v>
      </c>
      <c r="E26" s="549">
        <v>0</v>
      </c>
      <c r="F26" s="549">
        <v>0</v>
      </c>
      <c r="G26" s="549">
        <v>1155000</v>
      </c>
      <c r="I26" s="509">
        <f t="shared" ref="I26:I27" si="6">+G26</f>
        <v>1155000</v>
      </c>
    </row>
    <row r="27" spans="1:11">
      <c r="A27" t="s">
        <v>949</v>
      </c>
      <c r="B27" t="s">
        <v>950</v>
      </c>
      <c r="C27" t="s">
        <v>860</v>
      </c>
      <c r="D27" s="549">
        <v>2587042.39</v>
      </c>
      <c r="E27" s="549">
        <v>0</v>
      </c>
      <c r="F27" s="549">
        <v>0</v>
      </c>
      <c r="G27" s="549">
        <v>2587042.39</v>
      </c>
      <c r="I27" s="509">
        <f t="shared" si="6"/>
        <v>2587042.39</v>
      </c>
    </row>
    <row r="28" spans="1:11">
      <c r="B28" t="s">
        <v>945</v>
      </c>
      <c r="C28" s="551" t="s">
        <v>853</v>
      </c>
      <c r="D28" s="549">
        <v>703569.58000000007</v>
      </c>
      <c r="G28" s="549">
        <v>703569.58000000007</v>
      </c>
      <c r="I28" s="549">
        <v>703569.58000000007</v>
      </c>
    </row>
    <row r="29" spans="1:11">
      <c r="D29" s="550">
        <f>SUM(D25:D28)</f>
        <v>4815612.7700000005</v>
      </c>
      <c r="E29" s="550">
        <f t="shared" ref="E29:K29" si="7">SUM(E25:E28)</f>
        <v>0</v>
      </c>
      <c r="F29" s="550">
        <f t="shared" si="7"/>
        <v>352775.8</v>
      </c>
      <c r="G29" s="550">
        <f t="shared" si="7"/>
        <v>4462836.9700000007</v>
      </c>
      <c r="H29" s="550">
        <f t="shared" si="7"/>
        <v>0</v>
      </c>
      <c r="I29" s="550">
        <f>SUM(I25:I28)</f>
        <v>4462836.9700000007</v>
      </c>
      <c r="J29" s="550">
        <f t="shared" si="7"/>
        <v>0</v>
      </c>
      <c r="K29" s="550">
        <f t="shared" si="7"/>
        <v>0</v>
      </c>
    </row>
    <row r="30" spans="1:11">
      <c r="D30" s="550"/>
      <c r="E30" s="550"/>
      <c r="F30" s="550"/>
      <c r="G30" s="550"/>
    </row>
    <row r="31" spans="1:11">
      <c r="A31" t="s">
        <v>951</v>
      </c>
      <c r="B31" t="s">
        <v>715</v>
      </c>
      <c r="C31" t="s">
        <v>952</v>
      </c>
      <c r="D31" s="562">
        <v>2455806.5411200002</v>
      </c>
      <c r="E31" s="562">
        <v>2360000</v>
      </c>
      <c r="F31" s="562">
        <v>0</v>
      </c>
      <c r="G31" s="562">
        <v>2455806.5411200002</v>
      </c>
      <c r="H31" s="509">
        <f>+E31</f>
        <v>2360000</v>
      </c>
      <c r="I31" s="509">
        <v>95806.541120000009</v>
      </c>
    </row>
    <row r="32" spans="1:11">
      <c r="D32" s="550">
        <f>SUM(D31)</f>
        <v>2455806.5411200002</v>
      </c>
      <c r="E32" s="550">
        <f t="shared" ref="E32:H32" si="8">SUM(E31)</f>
        <v>2360000</v>
      </c>
      <c r="F32" s="550">
        <f t="shared" si="8"/>
        <v>0</v>
      </c>
      <c r="G32" s="550">
        <f t="shared" si="8"/>
        <v>2455806.5411200002</v>
      </c>
      <c r="H32" s="550">
        <f t="shared" si="8"/>
        <v>2360000</v>
      </c>
      <c r="I32" s="550">
        <f t="shared" ref="I32" si="9">SUM(I31)</f>
        <v>95806.541120000009</v>
      </c>
      <c r="J32" s="550">
        <f t="shared" ref="J32" si="10">SUM(J31)</f>
        <v>0</v>
      </c>
      <c r="K32" s="550">
        <f t="shared" ref="K32" si="11">SUM(K31)</f>
        <v>0</v>
      </c>
    </row>
    <row r="34" spans="1:11">
      <c r="A34" t="s">
        <v>953</v>
      </c>
      <c r="B34" t="s">
        <v>295</v>
      </c>
      <c r="C34" t="s">
        <v>954</v>
      </c>
      <c r="D34" s="562">
        <v>1770000</v>
      </c>
      <c r="E34" s="562">
        <v>1770000</v>
      </c>
      <c r="F34" s="562">
        <v>0</v>
      </c>
      <c r="G34" s="562">
        <v>1770000</v>
      </c>
      <c r="H34" s="509">
        <f>+G34</f>
        <v>1770000</v>
      </c>
    </row>
    <row r="35" spans="1:11">
      <c r="D35" s="550">
        <f>SUM(D34)</f>
        <v>1770000</v>
      </c>
      <c r="E35" s="550">
        <f t="shared" ref="E35" si="12">SUM(E34)</f>
        <v>1770000</v>
      </c>
      <c r="F35" s="550">
        <f t="shared" ref="F35" si="13">SUM(F34)</f>
        <v>0</v>
      </c>
      <c r="G35" s="550">
        <f t="shared" ref="G35:H35" si="14">SUM(G34)</f>
        <v>1770000</v>
      </c>
      <c r="H35" s="550">
        <f t="shared" si="14"/>
        <v>1770000</v>
      </c>
      <c r="I35" s="550">
        <f t="shared" ref="I35" si="15">SUM(I34)</f>
        <v>0</v>
      </c>
      <c r="J35" s="550">
        <f t="shared" ref="J35" si="16">SUM(J34)</f>
        <v>0</v>
      </c>
      <c r="K35" s="550">
        <f t="shared" ref="K35" si="17">SUM(K34)</f>
        <v>0</v>
      </c>
    </row>
    <row r="36" spans="1:11">
      <c r="D36" s="550"/>
      <c r="E36" s="550"/>
      <c r="F36" s="550"/>
      <c r="G36" s="550"/>
    </row>
    <row r="37" spans="1:11">
      <c r="D37" s="466">
        <f t="shared" ref="D37:K37" si="18">+D13+D23+D29+D32+D35+D16</f>
        <v>13990585.441120001</v>
      </c>
      <c r="E37" s="466">
        <f t="shared" si="18"/>
        <v>7244691.5300000003</v>
      </c>
      <c r="F37" s="466">
        <f t="shared" si="18"/>
        <v>2137390.7399999998</v>
      </c>
      <c r="G37" s="466">
        <f t="shared" si="18"/>
        <v>11853194.701120002</v>
      </c>
      <c r="H37" s="466">
        <f t="shared" si="18"/>
        <v>6089590.5899999999</v>
      </c>
      <c r="I37" s="466">
        <f t="shared" si="18"/>
        <v>5262311.3311200012</v>
      </c>
      <c r="J37" s="466">
        <f t="shared" si="18"/>
        <v>190000</v>
      </c>
      <c r="K37" s="466">
        <f t="shared" si="18"/>
        <v>311292.78000000003</v>
      </c>
    </row>
  </sheetData>
  <autoFilter ref="A1:G27" xr:uid="{B476BD85-C6FA-4E55-B5C7-4E5C0E3C74AF}">
    <sortState xmlns:xlrd2="http://schemas.microsoft.com/office/spreadsheetml/2017/richdata2" ref="A2:G28">
      <sortCondition ref="C1:C27"/>
    </sortState>
  </autoFilter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DF151-9B86-428C-BC65-3C08E653BBD5}">
  <sheetPr>
    <tabColor theme="5" tint="0.79998168889431442"/>
  </sheetPr>
  <dimension ref="A1:P47"/>
  <sheetViews>
    <sheetView showGridLines="0" topLeftCell="A14" zoomScaleNormal="100" workbookViewId="0">
      <selection activeCell="F15" sqref="F15"/>
    </sheetView>
  </sheetViews>
  <sheetFormatPr baseColWidth="10" defaultColWidth="11.44140625" defaultRowHeight="14.4"/>
  <cols>
    <col min="1" max="1" width="10.109375" customWidth="1"/>
    <col min="2" max="2" width="25.6640625" bestFit="1" customWidth="1"/>
    <col min="3" max="4" width="17.44140625" bestFit="1" customWidth="1"/>
    <col min="5" max="5" width="14.88671875" bestFit="1" customWidth="1"/>
    <col min="6" max="6" width="16.5546875" bestFit="1" customWidth="1"/>
    <col min="7" max="7" width="16.33203125" bestFit="1" customWidth="1"/>
    <col min="8" max="8" width="20.88671875" bestFit="1" customWidth="1"/>
    <col min="9" max="9" width="18" bestFit="1" customWidth="1"/>
    <col min="10" max="10" width="16.5546875" bestFit="1" customWidth="1"/>
    <col min="11" max="11" width="18.6640625" customWidth="1"/>
    <col min="12" max="12" width="19.88671875" customWidth="1"/>
    <col min="13" max="13" width="16.109375" customWidth="1"/>
    <col min="14" max="14" width="18.5546875" customWidth="1"/>
    <col min="15" max="15" width="17" customWidth="1"/>
    <col min="16" max="18" width="15.44140625" bestFit="1" customWidth="1"/>
    <col min="19" max="19" width="14.44140625" bestFit="1" customWidth="1"/>
  </cols>
  <sheetData>
    <row r="1" spans="1:16" ht="21.6" customHeight="1">
      <c r="M1" s="2109" t="s">
        <v>185</v>
      </c>
      <c r="N1" s="2109"/>
      <c r="O1" s="2109"/>
      <c r="P1" s="2109"/>
    </row>
    <row r="2" spans="1:16" ht="15" thickBot="1">
      <c r="F2" s="181" t="s">
        <v>197</v>
      </c>
      <c r="G2" s="181"/>
      <c r="H2" s="181"/>
      <c r="I2" s="181"/>
      <c r="J2" s="181"/>
      <c r="K2" s="181" t="s">
        <v>199</v>
      </c>
      <c r="L2" s="181" t="s">
        <v>225</v>
      </c>
      <c r="M2" s="2109"/>
      <c r="N2" s="2109"/>
      <c r="O2" s="2109"/>
      <c r="P2" s="2109"/>
    </row>
    <row r="3" spans="1:16" ht="15.6" customHeight="1">
      <c r="B3" s="160" t="s">
        <v>761</v>
      </c>
      <c r="C3" s="62"/>
      <c r="D3" s="478"/>
      <c r="E3" s="483">
        <v>59</v>
      </c>
      <c r="F3" s="2122" t="s">
        <v>145</v>
      </c>
      <c r="G3" s="2137" t="s">
        <v>650</v>
      </c>
      <c r="H3" s="2137" t="s">
        <v>651</v>
      </c>
      <c r="I3" s="2137" t="s">
        <v>652</v>
      </c>
      <c r="J3" s="2122" t="s">
        <v>227</v>
      </c>
      <c r="K3" s="2124" t="s">
        <v>807</v>
      </c>
      <c r="L3" s="2124" t="s">
        <v>146</v>
      </c>
      <c r="M3" s="183"/>
      <c r="N3" s="183"/>
      <c r="O3" s="183"/>
      <c r="P3" s="183"/>
    </row>
    <row r="4" spans="1:16" ht="25.95" customHeight="1" thickBot="1">
      <c r="A4" s="152"/>
      <c r="B4" s="25" t="s">
        <v>29</v>
      </c>
      <c r="C4" s="25" t="s">
        <v>762</v>
      </c>
      <c r="D4" s="479" t="s">
        <v>763</v>
      </c>
      <c r="E4" s="479" t="s">
        <v>31</v>
      </c>
      <c r="F4" s="2123"/>
      <c r="G4" s="2138"/>
      <c r="H4" s="2138"/>
      <c r="I4" s="2138"/>
      <c r="J4" s="2123"/>
      <c r="K4" s="2125"/>
      <c r="L4" s="2125"/>
      <c r="M4" s="183"/>
      <c r="N4" s="183"/>
      <c r="O4" s="183"/>
      <c r="P4" s="183"/>
    </row>
    <row r="5" spans="1:16">
      <c r="A5">
        <v>1</v>
      </c>
      <c r="B5" s="254" t="s">
        <v>33</v>
      </c>
      <c r="C5" s="256">
        <f>SUM('budget (11)'!D2:D3)</f>
        <v>103385169</v>
      </c>
      <c r="D5" s="480">
        <v>103385169</v>
      </c>
      <c r="E5" s="573">
        <f>D5/E3</f>
        <v>1752291</v>
      </c>
      <c r="F5" s="258">
        <f>+'Finanza 03-25'!F2</f>
        <v>94172341.829999998</v>
      </c>
      <c r="G5" s="258">
        <f>+'Finanza 03-25'!F2</f>
        <v>94172341.829999998</v>
      </c>
      <c r="H5" s="258">
        <v>0</v>
      </c>
      <c r="I5" s="258"/>
      <c r="J5" s="258">
        <f>+G5-H5+I5</f>
        <v>94172341.829999998</v>
      </c>
      <c r="K5" s="259">
        <f>F5-J5</f>
        <v>0</v>
      </c>
      <c r="L5" s="259">
        <f>+D5-F5</f>
        <v>9212827.1700000018</v>
      </c>
      <c r="M5" s="183"/>
      <c r="N5" s="183"/>
      <c r="O5" s="183"/>
      <c r="P5" s="183"/>
    </row>
    <row r="6" spans="1:16">
      <c r="B6" s="115" t="s">
        <v>35</v>
      </c>
      <c r="C6" s="116">
        <f>SUM('budget (11)'!D11:D24)</f>
        <v>451758999.99999994</v>
      </c>
      <c r="D6" s="481">
        <v>451758999.99999994</v>
      </c>
      <c r="E6" s="574">
        <f>D6/$E$3</f>
        <v>7656932.20338983</v>
      </c>
      <c r="F6" s="132">
        <f>+'Finanza 03-25'!E4</f>
        <v>9219083.5899999999</v>
      </c>
      <c r="G6" s="132">
        <f>+'Finanza 03-25'!F4</f>
        <v>9219083.5899999999</v>
      </c>
      <c r="H6" s="132"/>
      <c r="I6" s="132"/>
      <c r="J6" s="132">
        <f>+G6-H6+I6</f>
        <v>9219083.5899999999</v>
      </c>
      <c r="K6" s="125">
        <f>F6-J6</f>
        <v>0</v>
      </c>
      <c r="L6" s="125">
        <f>+D6-F6</f>
        <v>442539916.40999997</v>
      </c>
      <c r="M6" s="183"/>
      <c r="N6" s="184"/>
      <c r="O6" s="183"/>
      <c r="P6" s="183"/>
    </row>
    <row r="7" spans="1:16" ht="13.95" customHeight="1">
      <c r="B7" s="112" t="s">
        <v>38</v>
      </c>
      <c r="C7" s="113">
        <f>SUM('budget (11)'!D25:D39)</f>
        <v>1265953920</v>
      </c>
      <c r="D7" s="170">
        <f>1447934796</f>
        <v>1447934796</v>
      </c>
      <c r="E7" s="575">
        <f>D7/$E$3</f>
        <v>24541267.728813559</v>
      </c>
      <c r="F7" s="133">
        <f>+'Finanza 03-25'!E5</f>
        <v>0</v>
      </c>
      <c r="G7" s="133">
        <f>+'Finanza 03-25'!F5</f>
        <v>0</v>
      </c>
      <c r="H7" s="133"/>
      <c r="I7" s="133"/>
      <c r="J7" s="133">
        <f t="shared" ref="J7:J10" si="0">+G7-H7+I7</f>
        <v>0</v>
      </c>
      <c r="K7" s="127">
        <f t="shared" ref="K7:K21" si="1">F7-J7</f>
        <v>0</v>
      </c>
      <c r="L7" s="127">
        <f>+D7-F7</f>
        <v>1447934796</v>
      </c>
      <c r="M7" s="183"/>
      <c r="N7" s="184"/>
      <c r="O7" s="183"/>
      <c r="P7" s="183"/>
    </row>
    <row r="8" spans="1:16">
      <c r="B8" s="115" t="s">
        <v>764</v>
      </c>
      <c r="C8" s="118">
        <v>0</v>
      </c>
      <c r="D8" s="171">
        <v>37993876</v>
      </c>
      <c r="E8" s="576">
        <f>D8/$E$3</f>
        <v>643964</v>
      </c>
      <c r="F8" s="134">
        <f>+'Finanza 03-25'!E8</f>
        <v>0</v>
      </c>
      <c r="G8" s="134">
        <f>+'Finanza 03-25'!F8</f>
        <v>0</v>
      </c>
      <c r="H8" s="134"/>
      <c r="I8" s="134"/>
      <c r="J8" s="134"/>
      <c r="K8" s="129"/>
      <c r="L8" s="129"/>
      <c r="M8" s="183"/>
      <c r="N8" s="184"/>
      <c r="O8" s="183"/>
      <c r="P8" s="183"/>
    </row>
    <row r="9" spans="1:16" ht="13.95" customHeight="1">
      <c r="B9" s="112" t="s">
        <v>148</v>
      </c>
      <c r="C9" s="113">
        <f>SUM('budget (11)'!D40:D41)</f>
        <v>171771292</v>
      </c>
      <c r="D9" s="170">
        <v>189969380</v>
      </c>
      <c r="E9" s="575">
        <f>D9/$E$3</f>
        <v>3219820</v>
      </c>
      <c r="F9" s="133">
        <f>+'Finanza 03-25'!E6</f>
        <v>4299662.03</v>
      </c>
      <c r="G9" s="133">
        <f>+'Finanza 03-25'!F6</f>
        <v>4299662.03</v>
      </c>
      <c r="H9" s="133"/>
      <c r="I9" s="133"/>
      <c r="J9" s="133">
        <f>+G9-H9+I9</f>
        <v>4299662.03</v>
      </c>
      <c r="K9" s="127">
        <f>F9-J9</f>
        <v>0</v>
      </c>
      <c r="L9" s="127">
        <f>+D9-F9</f>
        <v>185669717.97</v>
      </c>
      <c r="M9" s="183"/>
      <c r="N9" s="184"/>
      <c r="O9" s="183"/>
      <c r="P9" s="183"/>
    </row>
    <row r="10" spans="1:16">
      <c r="B10" s="115" t="s">
        <v>40</v>
      </c>
      <c r="C10" s="118">
        <f>SUM('budget (11)'!D42)</f>
        <v>34354258</v>
      </c>
      <c r="D10" s="171">
        <v>37993876</v>
      </c>
      <c r="E10" s="576">
        <f>D10/$E$3</f>
        <v>643964</v>
      </c>
      <c r="F10" s="134">
        <f>+'Finanza 03-25'!E7</f>
        <v>0</v>
      </c>
      <c r="G10" s="134">
        <f>+'Finanza 03-25'!F7</f>
        <v>0</v>
      </c>
      <c r="H10" s="134"/>
      <c r="I10" s="134"/>
      <c r="J10" s="134">
        <f t="shared" si="0"/>
        <v>0</v>
      </c>
      <c r="K10" s="129">
        <f t="shared" si="1"/>
        <v>0</v>
      </c>
      <c r="L10" s="129">
        <f>+D10-F10</f>
        <v>37993876</v>
      </c>
      <c r="M10" s="183"/>
      <c r="N10" s="184"/>
      <c r="O10" s="183"/>
      <c r="P10" s="183"/>
    </row>
    <row r="11" spans="1:16">
      <c r="B11" s="254" t="s">
        <v>41</v>
      </c>
      <c r="C11" s="261">
        <f t="shared" ref="C11:I11" si="2">SUM(C6:C10)</f>
        <v>1923838470</v>
      </c>
      <c r="D11" s="261">
        <f>SUM(D6:D10)</f>
        <v>2165650928</v>
      </c>
      <c r="E11" s="577">
        <f>SUM(E6:E10)</f>
        <v>36705947.93220339</v>
      </c>
      <c r="F11" s="262">
        <f t="shared" si="2"/>
        <v>13518745.620000001</v>
      </c>
      <c r="G11" s="262">
        <f t="shared" si="2"/>
        <v>13518745.620000001</v>
      </c>
      <c r="H11" s="262">
        <f t="shared" si="2"/>
        <v>0</v>
      </c>
      <c r="I11" s="262">
        <f t="shared" si="2"/>
        <v>0</v>
      </c>
      <c r="J11" s="262">
        <f>SUM(J6:J10)</f>
        <v>13518745.620000001</v>
      </c>
      <c r="K11" s="262">
        <f>SUM(K6:K10)</f>
        <v>0</v>
      </c>
      <c r="L11" s="262">
        <f>SUM(L6:L10)</f>
        <v>2114138306.3799999</v>
      </c>
      <c r="M11" s="183"/>
      <c r="N11" s="184"/>
      <c r="O11" s="183"/>
      <c r="P11" s="183"/>
    </row>
    <row r="12" spans="1:16">
      <c r="B12" s="112" t="s">
        <v>42</v>
      </c>
      <c r="C12" s="163">
        <f>SUM('budget (11)'!D43)</f>
        <v>137417034</v>
      </c>
      <c r="D12" s="175">
        <v>151975504</v>
      </c>
      <c r="E12" s="578">
        <f>D12/$E$3</f>
        <v>2575856</v>
      </c>
      <c r="F12" s="179">
        <f>+'Finanza 03-25'!E9</f>
        <v>161175.96999999997</v>
      </c>
      <c r="G12" s="179">
        <f>+'Finanza 03-25'!F9</f>
        <v>161175.97</v>
      </c>
      <c r="H12" s="179"/>
      <c r="I12" s="179"/>
      <c r="J12" s="179">
        <f>+G12-H12+I12</f>
        <v>161175.97</v>
      </c>
      <c r="K12" s="179">
        <f t="shared" si="1"/>
        <v>0</v>
      </c>
      <c r="L12" s="179">
        <f>+D12-F12</f>
        <v>151814328.03</v>
      </c>
      <c r="M12" s="183"/>
      <c r="N12" s="184"/>
      <c r="O12" s="183"/>
      <c r="P12" s="183"/>
    </row>
    <row r="13" spans="1:16">
      <c r="B13" s="115" t="s">
        <v>43</v>
      </c>
      <c r="C13" s="165">
        <f>SUM('budget (11)'!D45:D46)</f>
        <v>281704919</v>
      </c>
      <c r="D13" s="176">
        <v>308130334</v>
      </c>
      <c r="E13" s="579">
        <f>D13/$E$3</f>
        <v>5222548.0338983051</v>
      </c>
      <c r="F13" s="178">
        <f>+'Finanza 03-25'!E10</f>
        <v>1800122.12</v>
      </c>
      <c r="G13" s="178">
        <f>+'Finanza 03-25'!F10</f>
        <v>1800122.12</v>
      </c>
      <c r="H13" s="178"/>
      <c r="I13" s="178"/>
      <c r="J13" s="178">
        <f t="shared" ref="J13:J16" si="3">+G13-H13+I13</f>
        <v>1800122.12</v>
      </c>
      <c r="K13" s="178">
        <f>F13-J13</f>
        <v>0</v>
      </c>
      <c r="L13" s="178">
        <f>+D13-F13</f>
        <v>306330211.88</v>
      </c>
      <c r="M13" s="183"/>
      <c r="N13" s="184"/>
      <c r="O13" s="183"/>
      <c r="P13" s="183"/>
    </row>
    <row r="14" spans="1:16">
      <c r="B14" s="112" t="s">
        <v>44</v>
      </c>
      <c r="C14" s="163">
        <f>SUM('budget (11)'!D47)</f>
        <v>67334346</v>
      </c>
      <c r="D14" s="175">
        <v>75797782</v>
      </c>
      <c r="E14" s="578">
        <f>D14/$E$3</f>
        <v>1284708.1694915255</v>
      </c>
      <c r="F14" s="179">
        <f>+'Finanza 03-25'!E11</f>
        <v>527779.86</v>
      </c>
      <c r="G14" s="179">
        <f>+'Finanza 03-25'!F11</f>
        <v>490356.1</v>
      </c>
      <c r="H14" s="179"/>
      <c r="I14" s="179"/>
      <c r="J14" s="179">
        <f t="shared" si="3"/>
        <v>490356.1</v>
      </c>
      <c r="K14" s="179">
        <f t="shared" si="1"/>
        <v>37423.760000000009</v>
      </c>
      <c r="L14" s="179">
        <f>+D14-F14</f>
        <v>75270002.140000001</v>
      </c>
      <c r="M14" s="183"/>
      <c r="N14" s="184"/>
      <c r="O14" s="183"/>
      <c r="P14" s="183"/>
    </row>
    <row r="15" spans="1:16">
      <c r="A15">
        <v>1</v>
      </c>
      <c r="B15" s="115" t="s">
        <v>45</v>
      </c>
      <c r="C15" s="165">
        <f>SUM('budget (11)'!D48:D49)</f>
        <v>51531387.949999996</v>
      </c>
      <c r="D15" s="176">
        <v>56990814</v>
      </c>
      <c r="E15" s="579">
        <f>D15/$E$3</f>
        <v>965946</v>
      </c>
      <c r="F15" s="178">
        <f>+'Finanza 03-25'!E12</f>
        <v>16494067.110000001</v>
      </c>
      <c r="G15" s="178">
        <f>+'Finanza 03-25'!F12</f>
        <v>15017335.41</v>
      </c>
      <c r="H15" s="178">
        <f>+'CXP 03-25'!E13</f>
        <v>693027.76</v>
      </c>
      <c r="I15" s="178"/>
      <c r="J15" s="178">
        <f>+G15-H15+I15</f>
        <v>14324307.65</v>
      </c>
      <c r="K15" s="178">
        <f>F15-J15</f>
        <v>2169759.4600000009</v>
      </c>
      <c r="L15" s="178">
        <f>+D15-F15</f>
        <v>40496746.890000001</v>
      </c>
      <c r="M15" s="183"/>
      <c r="N15" s="184"/>
      <c r="O15" s="183"/>
      <c r="P15" s="183"/>
    </row>
    <row r="16" spans="1:16">
      <c r="B16" s="112" t="s">
        <v>46</v>
      </c>
      <c r="C16" s="163">
        <f>SUM('budget (11)'!D50)</f>
        <v>19238385</v>
      </c>
      <c r="D16" s="175">
        <v>21656506</v>
      </c>
      <c r="E16" s="578">
        <f>D16/$E$3</f>
        <v>367059.42372881353</v>
      </c>
      <c r="F16" s="179">
        <f>+'Finanza 03-25'!E13</f>
        <v>0</v>
      </c>
      <c r="G16" s="179">
        <f>+'Finanza 03-25'!F13</f>
        <v>0</v>
      </c>
      <c r="H16" s="179"/>
      <c r="I16" s="179"/>
      <c r="J16" s="179">
        <f t="shared" si="3"/>
        <v>0</v>
      </c>
      <c r="K16" s="179">
        <f t="shared" si="1"/>
        <v>0</v>
      </c>
      <c r="L16" s="179">
        <f>+D16-F16</f>
        <v>21656506</v>
      </c>
      <c r="M16" s="183"/>
      <c r="N16" s="184"/>
      <c r="O16" s="183"/>
      <c r="P16" s="183"/>
    </row>
    <row r="17" spans="2:16">
      <c r="B17" s="254" t="s">
        <v>47</v>
      </c>
      <c r="C17" s="261">
        <f t="shared" ref="C17:K17" si="4">SUM(C12:C16)</f>
        <v>557226071.95000005</v>
      </c>
      <c r="D17" s="261">
        <f t="shared" si="4"/>
        <v>614550940</v>
      </c>
      <c r="E17" s="577">
        <f>SUM(E12:E16)</f>
        <v>10416117.627118645</v>
      </c>
      <c r="F17" s="262">
        <f>SUM(F12:F16)</f>
        <v>18983145.060000002</v>
      </c>
      <c r="G17" s="262">
        <f t="shared" si="4"/>
        <v>17468989.600000001</v>
      </c>
      <c r="H17" s="262">
        <f t="shared" si="4"/>
        <v>693027.76</v>
      </c>
      <c r="I17" s="262">
        <f t="shared" si="4"/>
        <v>0</v>
      </c>
      <c r="J17" s="262">
        <f t="shared" si="4"/>
        <v>16775961.84</v>
      </c>
      <c r="K17" s="262">
        <f t="shared" si="4"/>
        <v>2207183.2200000007</v>
      </c>
      <c r="L17" s="262">
        <f t="shared" ref="L17" si="5">SUM(L12:L16)</f>
        <v>595567794.93999994</v>
      </c>
      <c r="M17" s="183"/>
      <c r="N17" s="184"/>
      <c r="O17" s="183"/>
      <c r="P17" s="183"/>
    </row>
    <row r="18" spans="2:16">
      <c r="B18" s="112" t="s">
        <v>48</v>
      </c>
      <c r="C18" s="401">
        <f>SUM('budget (11)'!D51:D52)</f>
        <v>15000000</v>
      </c>
      <c r="D18" s="482">
        <v>30500000</v>
      </c>
      <c r="E18" s="580">
        <f>D18/$E$3</f>
        <v>516949.15254237287</v>
      </c>
      <c r="F18" s="402">
        <f>+'Finanza 03-25'!E14</f>
        <v>16966172.940000001</v>
      </c>
      <c r="G18" s="402">
        <f>+'Finanza 03-25'!F14</f>
        <v>12844129.75</v>
      </c>
      <c r="H18" s="402">
        <f>+'CXP 03-25'!E17</f>
        <v>128745.38</v>
      </c>
      <c r="I18" s="402">
        <f>+'Anticipos 03-25'!D5+'Anticipos 03-25'!D6</f>
        <v>362775.8</v>
      </c>
      <c r="J18" s="402">
        <f>+G18-H18+I18</f>
        <v>13078160.17</v>
      </c>
      <c r="K18" s="179">
        <f>F18-J18</f>
        <v>3888012.7700000014</v>
      </c>
      <c r="L18" s="179">
        <f>+D18-F18</f>
        <v>13533827.059999999</v>
      </c>
      <c r="M18" s="183"/>
      <c r="N18" s="184"/>
      <c r="O18" s="183"/>
      <c r="P18" s="185"/>
    </row>
    <row r="19" spans="2:16">
      <c r="B19" s="115" t="s">
        <v>49</v>
      </c>
      <c r="C19" s="165">
        <f>SUM('budget (11)'!D4:D10)</f>
        <v>20789999.999999996</v>
      </c>
      <c r="D19" s="176">
        <v>20789999.999999996</v>
      </c>
      <c r="E19" s="579">
        <f>D19/$E$3</f>
        <v>352372.88135593216</v>
      </c>
      <c r="F19" s="178">
        <f>+'Finanza 03-25'!E3</f>
        <v>22037273.800000001</v>
      </c>
      <c r="G19" s="178">
        <f>+'Finanza 03-25'!F3</f>
        <v>21553985.390000001</v>
      </c>
      <c r="H19" s="178"/>
      <c r="I19" s="178">
        <f>+'Anticipos 03-25'!D2+'Anticipos 03-25'!D3+'Anticipos 03-25'!D4</f>
        <v>351250</v>
      </c>
      <c r="J19" s="178">
        <f>+G19-H19+I19</f>
        <v>21905235.390000001</v>
      </c>
      <c r="K19" s="178">
        <f>F19-J19</f>
        <v>132038.41000000015</v>
      </c>
      <c r="L19" s="178">
        <f>+D19-F19</f>
        <v>-1247273.8000000045</v>
      </c>
      <c r="M19" s="183"/>
      <c r="N19" s="184"/>
      <c r="O19" s="183"/>
      <c r="P19" s="183"/>
    </row>
    <row r="20" spans="2:16">
      <c r="B20" s="112" t="s">
        <v>50</v>
      </c>
      <c r="C20" s="163">
        <f>SUM('budget (11)'!D54)</f>
        <v>192383847</v>
      </c>
      <c r="D20" s="175">
        <v>216565093</v>
      </c>
      <c r="E20" s="578">
        <f>D20/$E$3</f>
        <v>3670594.7966101696</v>
      </c>
      <c r="F20" s="179">
        <f>+'Finanza 03-25'!E16</f>
        <v>0</v>
      </c>
      <c r="G20" s="179">
        <f>+'Finanza 03-25'!F16</f>
        <v>0</v>
      </c>
      <c r="H20" s="179"/>
      <c r="I20" s="179"/>
      <c r="J20" s="179">
        <f t="shared" ref="J20:J21" si="6">+G20-H20+I20</f>
        <v>0</v>
      </c>
      <c r="K20" s="179">
        <f t="shared" si="1"/>
        <v>0</v>
      </c>
      <c r="L20" s="179">
        <f>+D20-F20</f>
        <v>216565093</v>
      </c>
      <c r="M20" s="183"/>
      <c r="N20" s="184"/>
      <c r="O20" s="183"/>
      <c r="P20" s="183"/>
    </row>
    <row r="21" spans="2:16">
      <c r="B21" s="115" t="s">
        <v>51</v>
      </c>
      <c r="C21" s="165">
        <f>SUM('budget (11)'!D53)</f>
        <v>19238385</v>
      </c>
      <c r="D21" s="176">
        <v>21656509</v>
      </c>
      <c r="E21" s="579">
        <f>D21/$E$3</f>
        <v>367059.4745762712</v>
      </c>
      <c r="F21" s="178">
        <f>+'Finanza 03-25'!E15</f>
        <v>0</v>
      </c>
      <c r="G21" s="178">
        <f>+'Finanza 03-25'!F15</f>
        <v>0</v>
      </c>
      <c r="H21" s="178"/>
      <c r="I21" s="178"/>
      <c r="J21" s="178">
        <f t="shared" si="6"/>
        <v>0</v>
      </c>
      <c r="K21" s="178">
        <f t="shared" si="1"/>
        <v>0</v>
      </c>
      <c r="L21" s="178">
        <f>+D21-F21</f>
        <v>21656509</v>
      </c>
      <c r="M21" s="183"/>
      <c r="N21" s="184"/>
      <c r="O21" s="183"/>
      <c r="P21" s="183"/>
    </row>
    <row r="22" spans="2:16">
      <c r="B22" s="254" t="s">
        <v>52</v>
      </c>
      <c r="C22" s="261">
        <f t="shared" ref="C22:L22" si="7">SUM(C18:C21)</f>
        <v>247412232</v>
      </c>
      <c r="D22" s="261">
        <f t="shared" si="7"/>
        <v>289511602</v>
      </c>
      <c r="E22" s="577">
        <f t="shared" si="7"/>
        <v>4906976.3050847454</v>
      </c>
      <c r="F22" s="262">
        <f t="shared" si="7"/>
        <v>39003446.740000002</v>
      </c>
      <c r="G22" s="262">
        <f t="shared" si="7"/>
        <v>34398115.140000001</v>
      </c>
      <c r="H22" s="262">
        <f t="shared" si="7"/>
        <v>128745.38</v>
      </c>
      <c r="I22" s="262">
        <f t="shared" si="7"/>
        <v>714025.8</v>
      </c>
      <c r="J22" s="262">
        <f t="shared" si="7"/>
        <v>34983395.560000002</v>
      </c>
      <c r="K22" s="262">
        <f t="shared" si="7"/>
        <v>4020051.1800000016</v>
      </c>
      <c r="L22" s="262">
        <f t="shared" si="7"/>
        <v>250508155.25999999</v>
      </c>
      <c r="M22" s="183"/>
      <c r="N22" s="184"/>
      <c r="O22" s="183"/>
      <c r="P22" s="183"/>
    </row>
    <row r="23" spans="2:16" ht="18.600000000000001" thickBot="1">
      <c r="B23" s="333" t="s">
        <v>229</v>
      </c>
      <c r="C23" s="331">
        <f>C5+C11+C17+C22</f>
        <v>2831861942.9499998</v>
      </c>
      <c r="D23" s="331">
        <f>D5+D11+D17+D22</f>
        <v>3173098639</v>
      </c>
      <c r="E23" s="581">
        <f>E5+E11+E17+E22</f>
        <v>53781332.864406779</v>
      </c>
      <c r="F23" s="329">
        <f t="shared" ref="F23:L23" si="8">F22+F17+F11+F5</f>
        <v>165677679.25</v>
      </c>
      <c r="G23" s="329">
        <f t="shared" si="8"/>
        <v>159558192.19</v>
      </c>
      <c r="H23" s="329">
        <f t="shared" si="8"/>
        <v>821773.14</v>
      </c>
      <c r="I23" s="329">
        <f t="shared" si="8"/>
        <v>714025.8</v>
      </c>
      <c r="J23" s="329">
        <f>J22+J17+J11+J5</f>
        <v>159450444.85000002</v>
      </c>
      <c r="K23" s="329">
        <f>K22+K17+K11+K5</f>
        <v>6227234.4000000022</v>
      </c>
      <c r="L23" s="329">
        <f t="shared" si="8"/>
        <v>2969427083.75</v>
      </c>
      <c r="M23" s="183"/>
      <c r="N23" s="184"/>
      <c r="O23" s="183"/>
      <c r="P23" s="183"/>
    </row>
    <row r="24" spans="2:16" ht="15" thickBot="1">
      <c r="F24" s="369">
        <f>+'Finanza 25-03-25'!E17</f>
        <v>164536552.51999998</v>
      </c>
      <c r="G24" s="369">
        <f>+'Finanza 25-03-25'!F17</f>
        <v>158993430.36000001</v>
      </c>
      <c r="H24" s="369"/>
      <c r="I24" s="369"/>
      <c r="J24" s="369"/>
      <c r="K24" s="320"/>
      <c r="L24" s="368"/>
    </row>
    <row r="25" spans="2:16" ht="15" thickBot="1">
      <c r="D25" s="320"/>
      <c r="F25" s="368">
        <f>+F23-F24</f>
        <v>1141126.7300000191</v>
      </c>
      <c r="G25" s="368">
        <f>+G23-G24</f>
        <v>564761.82999998331</v>
      </c>
      <c r="H25" s="434" t="s">
        <v>653</v>
      </c>
      <c r="I25" s="435">
        <f>+'BCE 25-03-25'!C41</f>
        <v>159695773.63999999</v>
      </c>
      <c r="J25" s="368">
        <v>160000000</v>
      </c>
      <c r="K25" s="142"/>
      <c r="L25" s="108"/>
      <c r="N25" s="186" t="s">
        <v>189</v>
      </c>
      <c r="O25" s="190">
        <v>2831861942.3920002</v>
      </c>
    </row>
    <row r="26" spans="2:16" ht="15" thickBot="1">
      <c r="D26" s="370"/>
      <c r="E26" s="320"/>
      <c r="F26" s="474"/>
      <c r="H26" s="436" t="s">
        <v>654</v>
      </c>
      <c r="I26" s="437">
        <f>-'BCE 03-25'!C14</f>
        <v>-1814369.76</v>
      </c>
      <c r="J26" s="108">
        <f>J25-J23</f>
        <v>549555.14999997616</v>
      </c>
      <c r="K26" s="320"/>
      <c r="N26" s="188" t="s">
        <v>190</v>
      </c>
      <c r="O26" s="189">
        <f>C23</f>
        <v>2831861942.9499998</v>
      </c>
    </row>
    <row r="27" spans="2:16" ht="15" thickBot="1">
      <c r="C27" s="489"/>
      <c r="D27" s="370"/>
      <c r="F27" s="474"/>
      <c r="H27" s="441" t="s">
        <v>655</v>
      </c>
      <c r="I27" s="442">
        <f>+'BCE 03-25'!C30+'BCE 03-25'!C31+'BCE 03-25'!C32+'BCE 03-25'!C33+'BCE 03-25'!C34</f>
        <v>673477.78</v>
      </c>
      <c r="J27" s="445">
        <f>+K23</f>
        <v>6227234.4000000022</v>
      </c>
      <c r="K27" s="320"/>
      <c r="N27" s="187" t="s">
        <v>191</v>
      </c>
      <c r="O27" s="191">
        <f>O25-O26</f>
        <v>-0.55799961090087891</v>
      </c>
    </row>
    <row r="28" spans="2:16">
      <c r="C28" s="489"/>
      <c r="D28" s="370"/>
      <c r="F28" s="474"/>
      <c r="H28" s="441" t="s">
        <v>808</v>
      </c>
      <c r="I28" s="442">
        <f>+'BCE 03-25'!C29</f>
        <v>717461.85</v>
      </c>
      <c r="J28" s="445"/>
      <c r="K28" s="320"/>
      <c r="N28" s="183"/>
      <c r="O28" s="508"/>
    </row>
    <row r="29" spans="2:16">
      <c r="C29" s="489"/>
      <c r="D29" s="370"/>
      <c r="F29" s="474"/>
      <c r="H29" s="441" t="s">
        <v>896</v>
      </c>
      <c r="I29" s="442">
        <v>0</v>
      </c>
      <c r="J29" s="445"/>
      <c r="K29" s="320"/>
      <c r="N29" s="183"/>
      <c r="O29" s="508"/>
    </row>
    <row r="30" spans="2:16">
      <c r="C30" s="489"/>
      <c r="D30" s="370"/>
      <c r="F30" s="474"/>
      <c r="H30" s="441" t="s">
        <v>888</v>
      </c>
      <c r="I30" s="442">
        <v>0</v>
      </c>
      <c r="J30" s="445"/>
      <c r="K30" s="320"/>
      <c r="N30" s="183"/>
      <c r="O30" s="508"/>
    </row>
    <row r="31" spans="2:16" ht="15" thickBot="1">
      <c r="C31" s="369"/>
      <c r="D31" s="370"/>
      <c r="H31" s="438" t="s">
        <v>656</v>
      </c>
      <c r="I31" s="439">
        <f>SUM(I25:I30)</f>
        <v>159272343.50999999</v>
      </c>
      <c r="J31" s="445">
        <f>J26-J27</f>
        <v>-5677679.2500000261</v>
      </c>
    </row>
    <row r="32" spans="2:16">
      <c r="C32" s="161"/>
      <c r="D32" s="370"/>
      <c r="H32" s="440" t="s">
        <v>657</v>
      </c>
      <c r="I32" s="445">
        <f>+J23</f>
        <v>159450444.85000002</v>
      </c>
    </row>
    <row r="33" spans="1:16">
      <c r="H33" s="443" t="s">
        <v>658</v>
      </c>
      <c r="I33" s="443">
        <f>+I31-I32</f>
        <v>-178101.34000003338</v>
      </c>
      <c r="J33" s="444">
        <f>+'BCE 03-25'!C42+'BCE 03-25'!C43</f>
        <v>178101.41</v>
      </c>
      <c r="K33" s="444">
        <f>+I33+J33</f>
        <v>6.9999966624891385E-2</v>
      </c>
    </row>
    <row r="34" spans="1:16">
      <c r="A34" s="192"/>
      <c r="B34" s="192"/>
      <c r="C34" s="192"/>
      <c r="D34" s="192"/>
      <c r="E34" s="192"/>
      <c r="F34" s="192"/>
      <c r="G34" s="192"/>
      <c r="H34" s="192"/>
      <c r="I34" s="192"/>
      <c r="J34" s="192"/>
      <c r="K34" s="192"/>
      <c r="L34" s="192"/>
      <c r="M34" s="192"/>
      <c r="N34" s="192"/>
      <c r="O34" s="192"/>
      <c r="P34" s="192"/>
    </row>
    <row r="36" spans="1:16">
      <c r="B36" s="254" t="s">
        <v>47</v>
      </c>
    </row>
    <row r="37" spans="1:16">
      <c r="B37" s="112" t="s">
        <v>48</v>
      </c>
    </row>
    <row r="38" spans="1:16">
      <c r="B38" s="115" t="s">
        <v>49</v>
      </c>
    </row>
    <row r="39" spans="1:16">
      <c r="B39" s="112" t="s">
        <v>50</v>
      </c>
    </row>
    <row r="40" spans="1:16">
      <c r="B40" s="115" t="s">
        <v>51</v>
      </c>
    </row>
    <row r="41" spans="1:16">
      <c r="B41" s="254" t="s">
        <v>52</v>
      </c>
    </row>
    <row r="42" spans="1:16" ht="18.600000000000001" thickBot="1">
      <c r="B42" s="333" t="s">
        <v>229</v>
      </c>
    </row>
    <row r="44" spans="1:16" ht="15" thickBot="1"/>
    <row r="45" spans="1:16">
      <c r="B45" s="335" t="s">
        <v>234</v>
      </c>
      <c r="C45" s="336">
        <v>160000000</v>
      </c>
      <c r="D45" s="336"/>
      <c r="E45" s="336"/>
    </row>
    <row r="46" spans="1:16">
      <c r="B46" s="112" t="s">
        <v>153</v>
      </c>
      <c r="C46" s="403">
        <f>J23+J27</f>
        <v>165677679.25000003</v>
      </c>
      <c r="D46" s="403"/>
      <c r="E46" s="403">
        <f>C46/C45</f>
        <v>1.0354854953125001</v>
      </c>
    </row>
    <row r="47" spans="1:16" ht="15" thickBot="1">
      <c r="B47" s="339" t="s">
        <v>154</v>
      </c>
      <c r="C47" s="340">
        <f>C45-C46</f>
        <v>-5677679.2500000298</v>
      </c>
      <c r="D47" s="340"/>
      <c r="E47" s="340">
        <f>C47/C45</f>
        <v>-3.5485495312500184E-2</v>
      </c>
    </row>
  </sheetData>
  <mergeCells count="8">
    <mergeCell ref="M1:P2"/>
    <mergeCell ref="F3:F4"/>
    <mergeCell ref="G3:G4"/>
    <mergeCell ref="H3:H4"/>
    <mergeCell ref="I3:I4"/>
    <mergeCell ref="J3:J4"/>
    <mergeCell ref="K3:K4"/>
    <mergeCell ref="L3:L4"/>
  </mergeCells>
  <conditionalFormatting sqref="M6:M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M9">
    <cfRule type="iconSet" priority="1">
      <iconSet iconSet="3Arrows">
        <cfvo type="percent" val="0"/>
        <cfvo type="percent" val="45"/>
        <cfvo type="percent" val="80"/>
      </iconSet>
    </cfRule>
  </conditionalFormatting>
  <conditionalFormatting sqref="M13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M15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M19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M21">
    <cfRule type="iconSet" priority="2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5697A-28D4-483E-8CAC-4DF941884643}">
  <dimension ref="A1:K39"/>
  <sheetViews>
    <sheetView workbookViewId="0">
      <selection activeCell="G42" sqref="G42"/>
    </sheetView>
  </sheetViews>
  <sheetFormatPr baseColWidth="10" defaultColWidth="11.44140625" defaultRowHeight="14.4"/>
  <cols>
    <col min="1" max="1" width="9.6640625" bestFit="1" customWidth="1"/>
    <col min="2" max="2" width="39.33203125" customWidth="1"/>
    <col min="3" max="3" width="31.109375" customWidth="1"/>
    <col min="4" max="4" width="16.5546875" style="549" customWidth="1"/>
    <col min="5" max="5" width="13" style="549" bestFit="1" customWidth="1"/>
    <col min="6" max="6" width="15.33203125" style="549" customWidth="1"/>
    <col min="7" max="7" width="16.109375" style="549" customWidth="1"/>
    <col min="8" max="9" width="13" bestFit="1" customWidth="1"/>
    <col min="10" max="10" width="14.6640625" customWidth="1"/>
    <col min="11" max="11" width="13.33203125" customWidth="1"/>
  </cols>
  <sheetData>
    <row r="1" spans="1:11" s="182" customFormat="1" ht="30" customHeight="1">
      <c r="A1" s="563" t="s">
        <v>921</v>
      </c>
      <c r="B1" s="563" t="s">
        <v>922</v>
      </c>
      <c r="C1" s="563" t="s">
        <v>923</v>
      </c>
      <c r="D1" s="564" t="s">
        <v>924</v>
      </c>
      <c r="E1" s="564" t="s">
        <v>925</v>
      </c>
      <c r="F1" s="564" t="s">
        <v>926</v>
      </c>
      <c r="G1" s="564" t="s">
        <v>927</v>
      </c>
      <c r="H1" s="565">
        <v>45748</v>
      </c>
      <c r="I1" s="565">
        <v>45778</v>
      </c>
      <c r="J1" s="565">
        <v>45809</v>
      </c>
      <c r="K1" s="565">
        <v>45839</v>
      </c>
    </row>
    <row r="2" spans="1:11">
      <c r="A2" t="s">
        <v>928</v>
      </c>
      <c r="B2" t="s">
        <v>420</v>
      </c>
      <c r="C2" s="421" t="s">
        <v>892</v>
      </c>
      <c r="D2" s="549">
        <v>1984344.72</v>
      </c>
      <c r="E2" s="370">
        <v>1103051.94</v>
      </c>
      <c r="F2" s="370">
        <v>1103051.94</v>
      </c>
      <c r="G2" s="549">
        <v>881292.78</v>
      </c>
      <c r="H2" s="549">
        <v>190000</v>
      </c>
      <c r="I2" s="509">
        <v>190000</v>
      </c>
      <c r="J2" s="509">
        <v>190000</v>
      </c>
      <c r="K2" s="509">
        <f>+G2-H2-I2-J2</f>
        <v>311292.78000000003</v>
      </c>
    </row>
    <row r="3" spans="1:11">
      <c r="A3" t="s">
        <v>929</v>
      </c>
      <c r="B3" t="s">
        <v>781</v>
      </c>
      <c r="C3" s="421" t="s">
        <v>868</v>
      </c>
      <c r="D3" s="549">
        <v>32627</v>
      </c>
      <c r="E3" s="549">
        <v>32627</v>
      </c>
      <c r="F3" s="549">
        <v>13825</v>
      </c>
      <c r="G3" s="549">
        <v>18802</v>
      </c>
      <c r="H3" s="509">
        <f>+G3</f>
        <v>18802</v>
      </c>
    </row>
    <row r="4" spans="1:11">
      <c r="A4" t="s">
        <v>930</v>
      </c>
      <c r="B4" t="s">
        <v>781</v>
      </c>
      <c r="C4" s="414" t="s">
        <v>868</v>
      </c>
      <c r="D4" s="549">
        <v>129800</v>
      </c>
      <c r="E4" s="549">
        <v>129800</v>
      </c>
      <c r="F4" s="549">
        <v>55000</v>
      </c>
      <c r="G4" s="549">
        <v>74800</v>
      </c>
      <c r="H4" s="509">
        <f>+G4</f>
        <v>74800</v>
      </c>
    </row>
    <row r="5" spans="1:11">
      <c r="A5" t="s">
        <v>931</v>
      </c>
      <c r="B5" t="s">
        <v>746</v>
      </c>
      <c r="C5" s="421" t="s">
        <v>868</v>
      </c>
      <c r="D5" s="549">
        <v>127440</v>
      </c>
      <c r="E5" s="549">
        <v>127440</v>
      </c>
      <c r="F5" s="370">
        <v>84960</v>
      </c>
      <c r="G5" s="549">
        <v>42480</v>
      </c>
      <c r="H5" s="509">
        <f t="shared" ref="H5:H14" si="0">+G5</f>
        <v>42480</v>
      </c>
    </row>
    <row r="6" spans="1:11">
      <c r="A6" t="s">
        <v>932</v>
      </c>
      <c r="B6" t="s">
        <v>756</v>
      </c>
      <c r="C6" s="421" t="s">
        <v>868</v>
      </c>
      <c r="D6" s="549">
        <v>264792</v>
      </c>
      <c r="E6" s="549">
        <v>176528</v>
      </c>
      <c r="F6" s="549">
        <v>176528</v>
      </c>
      <c r="G6" s="549">
        <v>88264</v>
      </c>
      <c r="H6" s="509">
        <f t="shared" si="0"/>
        <v>88264</v>
      </c>
    </row>
    <row r="7" spans="1:11">
      <c r="A7" t="s">
        <v>955</v>
      </c>
      <c r="B7" t="s">
        <v>756</v>
      </c>
      <c r="C7" s="421" t="s">
        <v>868</v>
      </c>
      <c r="D7" s="549">
        <v>264792</v>
      </c>
      <c r="E7" s="549">
        <v>0</v>
      </c>
      <c r="F7" s="549">
        <v>0</v>
      </c>
      <c r="G7" s="549">
        <f>+D7</f>
        <v>264792</v>
      </c>
      <c r="H7" s="509">
        <v>0</v>
      </c>
      <c r="I7" s="549">
        <v>88264</v>
      </c>
      <c r="J7" s="549">
        <v>88264</v>
      </c>
      <c r="K7" s="549">
        <v>88264</v>
      </c>
    </row>
    <row r="8" spans="1:11">
      <c r="A8" t="s">
        <v>933</v>
      </c>
      <c r="B8" t="s">
        <v>956</v>
      </c>
      <c r="C8" s="421" t="s">
        <v>858</v>
      </c>
      <c r="D8" s="549">
        <v>411466</v>
      </c>
      <c r="E8" s="549">
        <v>411466</v>
      </c>
      <c r="F8" s="549">
        <v>0</v>
      </c>
      <c r="G8" s="549">
        <v>411466</v>
      </c>
      <c r="H8" s="509">
        <f t="shared" si="0"/>
        <v>411466</v>
      </c>
    </row>
    <row r="9" spans="1:11">
      <c r="A9" t="s">
        <v>934</v>
      </c>
      <c r="B9" t="s">
        <v>935</v>
      </c>
      <c r="C9" s="421" t="s">
        <v>858</v>
      </c>
      <c r="D9" s="549">
        <v>114460</v>
      </c>
      <c r="E9" s="549">
        <v>114460</v>
      </c>
      <c r="F9" s="549">
        <v>0</v>
      </c>
      <c r="G9" s="549">
        <v>114460</v>
      </c>
      <c r="H9" s="509">
        <f t="shared" si="0"/>
        <v>114460</v>
      </c>
    </row>
    <row r="10" spans="1:11">
      <c r="A10" t="s">
        <v>936</v>
      </c>
      <c r="B10" t="s">
        <v>937</v>
      </c>
      <c r="C10" s="421" t="s">
        <v>858</v>
      </c>
      <c r="D10" s="549">
        <v>24657.53</v>
      </c>
      <c r="E10" s="549">
        <v>24657.53</v>
      </c>
      <c r="F10" s="549">
        <v>0</v>
      </c>
      <c r="G10" s="549">
        <v>24657.53</v>
      </c>
      <c r="H10" s="509">
        <f t="shared" si="0"/>
        <v>24657.53</v>
      </c>
    </row>
    <row r="11" spans="1:11">
      <c r="A11" t="s">
        <v>938</v>
      </c>
      <c r="B11" t="s">
        <v>740</v>
      </c>
      <c r="C11" s="421" t="s">
        <v>855</v>
      </c>
      <c r="D11" s="549">
        <v>273279.15000000002</v>
      </c>
      <c r="E11" s="549">
        <v>0</v>
      </c>
      <c r="F11" s="549">
        <v>0</v>
      </c>
      <c r="G11" s="549">
        <v>273279.15000000002</v>
      </c>
      <c r="I11" s="509">
        <f>+G11</f>
        <v>273279.15000000002</v>
      </c>
    </row>
    <row r="12" spans="1:11">
      <c r="A12" s="110"/>
      <c r="B12" s="110" t="s">
        <v>957</v>
      </c>
      <c r="C12" s="566" t="s">
        <v>855</v>
      </c>
      <c r="D12" s="567">
        <f>(+(+(3000/0.73)*1.27)*61)*6</f>
        <v>1910219.1780821923</v>
      </c>
      <c r="E12" s="567"/>
      <c r="F12" s="567"/>
      <c r="G12" s="567">
        <f>+D12</f>
        <v>1910219.1780821923</v>
      </c>
      <c r="H12" s="567">
        <f>(+(+(3000/0.73)*1.27)*61)</f>
        <v>318369.86301369872</v>
      </c>
      <c r="I12" s="567">
        <f t="shared" ref="I12:K12" si="1">(+(+(3000/0.73)*1.27)*61)</f>
        <v>318369.86301369872</v>
      </c>
      <c r="J12" s="567">
        <f t="shared" si="1"/>
        <v>318369.86301369872</v>
      </c>
      <c r="K12" s="567">
        <f t="shared" si="1"/>
        <v>318369.86301369872</v>
      </c>
    </row>
    <row r="13" spans="1:11">
      <c r="A13" t="s">
        <v>939</v>
      </c>
      <c r="B13" t="s">
        <v>389</v>
      </c>
      <c r="C13" s="421" t="s">
        <v>940</v>
      </c>
      <c r="D13" s="549">
        <v>149742</v>
      </c>
      <c r="E13" s="549">
        <v>149742</v>
      </c>
      <c r="F13" s="549">
        <v>0</v>
      </c>
      <c r="G13" s="549">
        <v>149742</v>
      </c>
      <c r="H13" s="509">
        <f t="shared" si="0"/>
        <v>149742</v>
      </c>
      <c r="I13" s="509">
        <f t="shared" ref="I13:I14" si="2">+H13</f>
        <v>149742</v>
      </c>
      <c r="J13" s="509">
        <f t="shared" ref="J13:J14" si="3">+I13</f>
        <v>149742</v>
      </c>
      <c r="K13" s="509">
        <f t="shared" ref="K13:K14" si="4">+J13</f>
        <v>149742</v>
      </c>
    </row>
    <row r="14" spans="1:11">
      <c r="A14" t="s">
        <v>941</v>
      </c>
      <c r="B14" t="s">
        <v>715</v>
      </c>
      <c r="C14" s="421" t="s">
        <v>942</v>
      </c>
      <c r="D14" s="549">
        <v>167745.43</v>
      </c>
      <c r="E14" s="549">
        <v>167745.43</v>
      </c>
      <c r="F14" s="549">
        <v>0</v>
      </c>
      <c r="G14" s="549">
        <v>167745.43</v>
      </c>
      <c r="H14" s="509">
        <f t="shared" si="0"/>
        <v>167745.43</v>
      </c>
      <c r="I14" s="509">
        <f t="shared" si="2"/>
        <v>167745.43</v>
      </c>
      <c r="J14" s="509">
        <f t="shared" si="3"/>
        <v>167745.43</v>
      </c>
      <c r="K14" s="509">
        <f t="shared" si="4"/>
        <v>167745.43</v>
      </c>
    </row>
    <row r="15" spans="1:11">
      <c r="A15" s="110"/>
      <c r="B15" s="110" t="s">
        <v>958</v>
      </c>
      <c r="C15" s="566" t="s">
        <v>858</v>
      </c>
      <c r="D15" s="567">
        <v>500000</v>
      </c>
      <c r="E15" s="567">
        <v>0</v>
      </c>
      <c r="F15" s="567">
        <v>0</v>
      </c>
      <c r="G15" s="567">
        <f>+D15</f>
        <v>500000</v>
      </c>
      <c r="H15" s="568">
        <v>0</v>
      </c>
      <c r="I15" s="568">
        <f>+D15</f>
        <v>500000</v>
      </c>
      <c r="J15" s="110"/>
      <c r="K15" s="568">
        <v>0</v>
      </c>
    </row>
    <row r="16" spans="1:11">
      <c r="A16" s="569"/>
      <c r="B16" s="569" t="s">
        <v>959</v>
      </c>
      <c r="C16" s="570"/>
      <c r="D16" s="571">
        <f>(25000*1.18)*61</f>
        <v>1799500</v>
      </c>
      <c r="E16" s="571"/>
      <c r="F16" s="571"/>
      <c r="G16" s="571">
        <f>+D16</f>
        <v>1799500</v>
      </c>
      <c r="H16" s="572"/>
      <c r="I16" s="572">
        <f>+D16*0.5</f>
        <v>899750</v>
      </c>
      <c r="J16" s="572">
        <f>+D16*0.5</f>
        <v>899750</v>
      </c>
      <c r="K16" s="572"/>
    </row>
    <row r="17" spans="1:11">
      <c r="C17" s="421"/>
      <c r="D17" s="550">
        <f>SUM(D2:D16)</f>
        <v>8154865.0080821915</v>
      </c>
      <c r="E17" s="550">
        <f t="shared" ref="E17:K17" si="5">SUM(E2:E16)</f>
        <v>2437517.9</v>
      </c>
      <c r="F17" s="550">
        <f t="shared" si="5"/>
        <v>1433364.94</v>
      </c>
      <c r="G17" s="550">
        <f t="shared" si="5"/>
        <v>6721500.068082192</v>
      </c>
      <c r="H17" s="550">
        <f t="shared" si="5"/>
        <v>1600786.8230136987</v>
      </c>
      <c r="I17" s="550">
        <f t="shared" si="5"/>
        <v>2587150.4430136988</v>
      </c>
      <c r="J17" s="550">
        <f t="shared" si="5"/>
        <v>1813871.2930136987</v>
      </c>
      <c r="K17" s="550">
        <f t="shared" si="5"/>
        <v>1035414.0730136987</v>
      </c>
    </row>
    <row r="18" spans="1:11">
      <c r="C18" s="421"/>
    </row>
    <row r="19" spans="1:11" hidden="1">
      <c r="A19" t="s">
        <v>943</v>
      </c>
      <c r="B19" t="s">
        <v>778</v>
      </c>
      <c r="C19" s="551" t="s">
        <v>944</v>
      </c>
      <c r="D19" s="549">
        <v>677173.63</v>
      </c>
      <c r="E19" s="549">
        <v>677173.63</v>
      </c>
      <c r="F19" s="549">
        <v>0</v>
      </c>
      <c r="G19" s="549">
        <v>677173.63</v>
      </c>
      <c r="H19" s="370">
        <v>677173.63</v>
      </c>
      <c r="I19" s="509"/>
    </row>
    <row r="20" spans="1:11" hidden="1">
      <c r="C20" s="551"/>
      <c r="D20" s="550">
        <f t="shared" ref="D20:K20" si="6">SUM(D19:D19)</f>
        <v>677173.63</v>
      </c>
      <c r="E20" s="550">
        <f t="shared" si="6"/>
        <v>677173.63</v>
      </c>
      <c r="F20" s="550">
        <f t="shared" si="6"/>
        <v>0</v>
      </c>
      <c r="G20" s="550">
        <f t="shared" si="6"/>
        <v>677173.63</v>
      </c>
      <c r="H20" s="550">
        <f t="shared" si="6"/>
        <v>677173.63</v>
      </c>
      <c r="I20" s="550">
        <f t="shared" si="6"/>
        <v>0</v>
      </c>
      <c r="J20" s="550">
        <f t="shared" si="6"/>
        <v>0</v>
      </c>
      <c r="K20" s="550">
        <f t="shared" si="6"/>
        <v>0</v>
      </c>
    </row>
    <row r="21" spans="1:11" hidden="1">
      <c r="C21" s="421"/>
    </row>
    <row r="22" spans="1:11" hidden="1">
      <c r="C22" s="421"/>
    </row>
    <row r="23" spans="1:11" hidden="1">
      <c r="A23" t="s">
        <v>367</v>
      </c>
      <c r="B23" t="s">
        <v>369</v>
      </c>
      <c r="C23" s="551" t="s">
        <v>853</v>
      </c>
      <c r="D23" s="549">
        <v>278099.52</v>
      </c>
      <c r="E23" s="549">
        <v>0</v>
      </c>
      <c r="F23" s="549">
        <v>273000</v>
      </c>
      <c r="G23" s="549">
        <v>5099.5200000000004</v>
      </c>
      <c r="I23" s="509">
        <f>+G23</f>
        <v>5099.5200000000004</v>
      </c>
    </row>
    <row r="24" spans="1:11" hidden="1">
      <c r="A24" t="s">
        <v>821</v>
      </c>
      <c r="B24" t="s">
        <v>735</v>
      </c>
      <c r="C24" s="551" t="s">
        <v>853</v>
      </c>
      <c r="D24" s="549">
        <v>100300</v>
      </c>
      <c r="E24" s="549">
        <v>0</v>
      </c>
      <c r="F24" s="549">
        <v>38250</v>
      </c>
      <c r="G24" s="549">
        <v>62050</v>
      </c>
      <c r="I24" s="509">
        <f t="shared" ref="I24:I25" si="7">+G24</f>
        <v>62050</v>
      </c>
    </row>
    <row r="25" spans="1:11" hidden="1">
      <c r="A25" t="s">
        <v>738</v>
      </c>
      <c r="B25" t="s">
        <v>737</v>
      </c>
      <c r="C25" s="551" t="s">
        <v>853</v>
      </c>
      <c r="D25" s="549">
        <v>104888.89</v>
      </c>
      <c r="E25" s="549">
        <v>0</v>
      </c>
      <c r="F25" s="549">
        <v>40000</v>
      </c>
      <c r="G25" s="549">
        <v>64888.89</v>
      </c>
      <c r="I25" s="509">
        <f t="shared" si="7"/>
        <v>64888.89</v>
      </c>
    </row>
    <row r="26" spans="1:11" hidden="1">
      <c r="C26" s="551"/>
      <c r="D26" s="550">
        <f>SUM(D23:D25)</f>
        <v>483288.41000000003</v>
      </c>
      <c r="E26" s="550">
        <f>SUM(E23:E25)</f>
        <v>0</v>
      </c>
      <c r="F26" s="550">
        <f>SUM(F23:F25)</f>
        <v>351250</v>
      </c>
      <c r="G26" s="550">
        <f>SUM(G23:G25)</f>
        <v>132038.41</v>
      </c>
      <c r="H26" s="550">
        <f t="shared" ref="H26:K26" si="8">SUM(H23:H25)</f>
        <v>0</v>
      </c>
      <c r="I26" s="550">
        <f t="shared" si="8"/>
        <v>132038.41</v>
      </c>
      <c r="J26" s="550">
        <f t="shared" si="8"/>
        <v>0</v>
      </c>
      <c r="K26" s="550">
        <f t="shared" si="8"/>
        <v>0</v>
      </c>
    </row>
    <row r="27" spans="1:11" hidden="1">
      <c r="C27" s="551"/>
    </row>
    <row r="28" spans="1:11" hidden="1">
      <c r="A28" t="s">
        <v>946</v>
      </c>
      <c r="B28" t="s">
        <v>795</v>
      </c>
      <c r="C28" s="551" t="s">
        <v>860</v>
      </c>
      <c r="D28" s="549">
        <v>370000.8</v>
      </c>
      <c r="E28" s="549">
        <v>0</v>
      </c>
      <c r="F28" s="549">
        <v>352775.8</v>
      </c>
      <c r="G28" s="549">
        <v>17225</v>
      </c>
      <c r="I28" s="509">
        <f>+G28</f>
        <v>17225</v>
      </c>
    </row>
    <row r="29" spans="1:11" hidden="1">
      <c r="A29" t="s">
        <v>947</v>
      </c>
      <c r="B29" t="s">
        <v>948</v>
      </c>
      <c r="C29" t="s">
        <v>860</v>
      </c>
      <c r="D29" s="549">
        <v>1155000</v>
      </c>
      <c r="E29" s="549">
        <v>0</v>
      </c>
      <c r="F29" s="549">
        <v>0</v>
      </c>
      <c r="G29" s="549">
        <v>1155000</v>
      </c>
      <c r="I29" s="509">
        <f t="shared" ref="I29:I30" si="9">+G29</f>
        <v>1155000</v>
      </c>
    </row>
    <row r="30" spans="1:11" hidden="1">
      <c r="A30" t="s">
        <v>949</v>
      </c>
      <c r="B30" t="s">
        <v>950</v>
      </c>
      <c r="C30" t="s">
        <v>860</v>
      </c>
      <c r="D30" s="549">
        <v>2587042.39</v>
      </c>
      <c r="E30" s="549">
        <v>0</v>
      </c>
      <c r="F30" s="549">
        <v>0</v>
      </c>
      <c r="G30" s="549">
        <v>2587042.39</v>
      </c>
      <c r="I30" s="509">
        <f t="shared" si="9"/>
        <v>2587042.39</v>
      </c>
    </row>
    <row r="31" spans="1:11" hidden="1">
      <c r="D31" s="550">
        <f>SUM(D28:D30)</f>
        <v>4112043.1900000004</v>
      </c>
      <c r="E31" s="550">
        <f>SUM(E28:E30)</f>
        <v>0</v>
      </c>
      <c r="F31" s="550">
        <f>SUM(F28:F30)</f>
        <v>352775.8</v>
      </c>
      <c r="G31" s="550">
        <f>SUM(G28:G30)</f>
        <v>3759267.39</v>
      </c>
      <c r="H31" s="550">
        <f t="shared" ref="H31:K31" si="10">SUM(H28:H30)</f>
        <v>0</v>
      </c>
      <c r="I31" s="550">
        <f t="shared" si="10"/>
        <v>3759267.39</v>
      </c>
      <c r="J31" s="550">
        <f t="shared" si="10"/>
        <v>0</v>
      </c>
      <c r="K31" s="550">
        <f t="shared" si="10"/>
        <v>0</v>
      </c>
    </row>
    <row r="33" spans="1:11" hidden="1">
      <c r="A33" t="s">
        <v>951</v>
      </c>
      <c r="B33" t="s">
        <v>715</v>
      </c>
      <c r="C33" t="s">
        <v>952</v>
      </c>
      <c r="D33" s="562">
        <v>2360000</v>
      </c>
      <c r="E33" s="562">
        <v>2360000</v>
      </c>
      <c r="F33" s="562">
        <v>0</v>
      </c>
      <c r="G33" s="562">
        <v>2360000</v>
      </c>
      <c r="H33" s="509">
        <f>+G33</f>
        <v>2360000</v>
      </c>
    </row>
    <row r="34" spans="1:11" hidden="1">
      <c r="D34" s="550">
        <f>SUM(D33)</f>
        <v>2360000</v>
      </c>
      <c r="E34" s="550">
        <f t="shared" ref="E34:K34" si="11">SUM(E33)</f>
        <v>2360000</v>
      </c>
      <c r="F34" s="550">
        <f t="shared" si="11"/>
        <v>0</v>
      </c>
      <c r="G34" s="550">
        <f t="shared" si="11"/>
        <v>2360000</v>
      </c>
      <c r="H34" s="550">
        <f t="shared" si="11"/>
        <v>2360000</v>
      </c>
      <c r="I34" s="550">
        <f t="shared" si="11"/>
        <v>0</v>
      </c>
      <c r="J34" s="550">
        <f t="shared" si="11"/>
        <v>0</v>
      </c>
      <c r="K34" s="550">
        <f t="shared" si="11"/>
        <v>0</v>
      </c>
    </row>
    <row r="35" spans="1:11" hidden="1">
      <c r="D35" s="550"/>
      <c r="E35" s="550"/>
      <c r="F35" s="550"/>
      <c r="G35" s="550"/>
    </row>
    <row r="36" spans="1:11" hidden="1">
      <c r="A36" t="s">
        <v>953</v>
      </c>
      <c r="B36" t="s">
        <v>295</v>
      </c>
      <c r="C36" t="s">
        <v>954</v>
      </c>
      <c r="D36" s="562">
        <v>1770000</v>
      </c>
      <c r="E36" s="562">
        <v>1770000</v>
      </c>
      <c r="F36" s="562">
        <v>0</v>
      </c>
      <c r="G36" s="562">
        <v>1770000</v>
      </c>
      <c r="H36" s="509">
        <f>+G36</f>
        <v>1770000</v>
      </c>
    </row>
    <row r="37" spans="1:11" hidden="1">
      <c r="D37" s="550">
        <f>SUM(D36)</f>
        <v>1770000</v>
      </c>
      <c r="E37" s="550">
        <f t="shared" ref="E37:K37" si="12">SUM(E36)</f>
        <v>1770000</v>
      </c>
      <c r="F37" s="550">
        <f t="shared" si="12"/>
        <v>0</v>
      </c>
      <c r="G37" s="550">
        <f t="shared" si="12"/>
        <v>1770000</v>
      </c>
      <c r="H37" s="550">
        <f t="shared" si="12"/>
        <v>1770000</v>
      </c>
      <c r="I37" s="550">
        <f t="shared" si="12"/>
        <v>0</v>
      </c>
      <c r="J37" s="550">
        <f t="shared" si="12"/>
        <v>0</v>
      </c>
      <c r="K37" s="550">
        <f t="shared" si="12"/>
        <v>0</v>
      </c>
    </row>
    <row r="38" spans="1:11" hidden="1">
      <c r="D38" s="550"/>
      <c r="E38" s="550"/>
      <c r="F38" s="550"/>
      <c r="G38" s="550"/>
    </row>
    <row r="39" spans="1:11" hidden="1">
      <c r="D39" s="466">
        <f t="shared" ref="D39:K39" si="13">+D17+D26+D31+D34+D37+D20</f>
        <v>17557370.238082189</v>
      </c>
      <c r="E39" s="466">
        <f t="shared" si="13"/>
        <v>7244691.5300000003</v>
      </c>
      <c r="F39" s="466">
        <f t="shared" si="13"/>
        <v>2137390.7399999998</v>
      </c>
      <c r="G39" s="466">
        <f t="shared" si="13"/>
        <v>15419979.498082193</v>
      </c>
      <c r="H39" s="466">
        <f t="shared" si="13"/>
        <v>6407960.4530136986</v>
      </c>
      <c r="I39" s="466">
        <f t="shared" si="13"/>
        <v>6478456.2430136986</v>
      </c>
      <c r="J39" s="466">
        <f t="shared" si="13"/>
        <v>1813871.2930136987</v>
      </c>
      <c r="K39" s="466">
        <f t="shared" si="13"/>
        <v>1035414.0730136987</v>
      </c>
    </row>
  </sheetData>
  <autoFilter ref="A1:G30" xr:uid="{B476BD85-C6FA-4E55-B5C7-4E5C0E3C74AF}">
    <sortState xmlns:xlrd2="http://schemas.microsoft.com/office/spreadsheetml/2017/richdata2" ref="A2:G31">
      <sortCondition ref="C1:C30"/>
    </sortState>
  </autoFilter>
  <phoneticPr fontId="3" type="noConversion"/>
  <pageMargins left="0.7" right="0.7" top="0.75" bottom="0.75" header="0.3" footer="0.3"/>
  <legacy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07321-32BA-46E7-B66F-CAC448BE1A7F}">
  <dimension ref="B2:H35"/>
  <sheetViews>
    <sheetView showGridLines="0" topLeftCell="A13" zoomScale="110" zoomScaleNormal="110" workbookViewId="0">
      <selection activeCell="H25" sqref="H25"/>
    </sheetView>
  </sheetViews>
  <sheetFormatPr baseColWidth="10" defaultColWidth="11.44140625" defaultRowHeight="14.4"/>
  <cols>
    <col min="1" max="1" width="18.6640625" customWidth="1"/>
    <col min="2" max="2" width="39.88671875" bestFit="1" customWidth="1"/>
    <col min="3" max="3" width="18.44140625" bestFit="1" customWidth="1"/>
    <col min="4" max="4" width="18" bestFit="1" customWidth="1"/>
    <col min="5" max="5" width="17.44140625" bestFit="1" customWidth="1"/>
    <col min="6" max="6" width="18.6640625" customWidth="1"/>
    <col min="7" max="7" width="18.5546875" customWidth="1"/>
    <col min="8" max="8" width="17.5546875" bestFit="1" customWidth="1"/>
    <col min="10" max="10" width="15.5546875" bestFit="1" customWidth="1"/>
    <col min="11" max="11" width="14.33203125" bestFit="1" customWidth="1"/>
    <col min="12" max="12" width="13.6640625" bestFit="1" customWidth="1"/>
  </cols>
  <sheetData>
    <row r="2" spans="2:8">
      <c r="D2">
        <v>59.9</v>
      </c>
    </row>
    <row r="3" spans="2:8">
      <c r="B3" s="142">
        <v>160000000</v>
      </c>
      <c r="C3" s="162">
        <f>B3-C4</f>
        <v>65967960.159999996</v>
      </c>
      <c r="D3" s="162">
        <f>C3-(SUM(D5:D8))</f>
        <v>41084982.207438283</v>
      </c>
    </row>
    <row r="4" spans="2:8" ht="15" thickBot="1">
      <c r="B4" s="284" t="s">
        <v>259</v>
      </c>
      <c r="C4" s="142">
        <v>94032039.840000004</v>
      </c>
      <c r="D4" s="142"/>
    </row>
    <row r="5" spans="2:8" ht="15.6" thickTop="1" thickBot="1">
      <c r="B5" s="284" t="s">
        <v>260</v>
      </c>
      <c r="C5" s="142"/>
      <c r="D5" s="162">
        <f>D10*$D$2</f>
        <v>9215810.2113617156</v>
      </c>
    </row>
    <row r="6" spans="2:8" ht="15.6" thickTop="1" thickBot="1">
      <c r="B6" s="285" t="s">
        <v>261</v>
      </c>
      <c r="C6" s="142"/>
      <c r="D6" s="162">
        <f t="shared" ref="D6:D7" si="0">D11*$D$2</f>
        <v>781278.0959999999</v>
      </c>
    </row>
    <row r="7" spans="2:8" ht="15.6" thickTop="1" thickBot="1">
      <c r="B7" s="285" t="s">
        <v>149</v>
      </c>
      <c r="C7" s="142"/>
      <c r="D7" s="162">
        <f t="shared" si="0"/>
        <v>11511123.645199999</v>
      </c>
    </row>
    <row r="8" spans="2:8" ht="15.6" thickTop="1" thickBot="1">
      <c r="B8" s="285" t="s">
        <v>262</v>
      </c>
      <c r="C8" s="142"/>
      <c r="D8" s="162">
        <f>D13*$D$2</f>
        <v>3374766</v>
      </c>
    </row>
    <row r="9" spans="2:8" ht="15" thickTop="1"/>
    <row r="10" spans="2:8">
      <c r="D10" s="142">
        <v>153853.25895428573</v>
      </c>
    </row>
    <row r="11" spans="2:8">
      <c r="D11" s="142">
        <v>13043.039999999999</v>
      </c>
    </row>
    <row r="12" spans="2:8">
      <c r="D12" s="142">
        <v>192172.348</v>
      </c>
    </row>
    <row r="13" spans="2:8">
      <c r="D13" s="142">
        <v>56340</v>
      </c>
    </row>
    <row r="16" spans="2:8" ht="31.2">
      <c r="B16" s="342"/>
      <c r="C16" s="343" t="s">
        <v>263</v>
      </c>
      <c r="D16" s="344" t="s">
        <v>907</v>
      </c>
      <c r="E16" s="343">
        <v>45748</v>
      </c>
      <c r="F16" s="343">
        <v>45778</v>
      </c>
      <c r="G16" s="343">
        <v>45809</v>
      </c>
      <c r="H16" s="343">
        <v>45839</v>
      </c>
    </row>
    <row r="17" spans="2:8" ht="15.6">
      <c r="B17" s="345" t="s">
        <v>265</v>
      </c>
      <c r="C17" s="346">
        <f>160000000</f>
        <v>160000000</v>
      </c>
      <c r="D17" s="347"/>
      <c r="E17" s="347"/>
      <c r="F17" s="347"/>
      <c r="G17" s="347"/>
      <c r="H17" s="347"/>
    </row>
    <row r="18" spans="2:8" ht="15.6">
      <c r="B18" s="345" t="s">
        <v>960</v>
      </c>
      <c r="C18" s="346">
        <v>15000000</v>
      </c>
      <c r="D18" s="347"/>
      <c r="E18" s="347"/>
      <c r="F18" s="347"/>
      <c r="G18" s="347"/>
      <c r="H18" s="347"/>
    </row>
    <row r="19" spans="2:8" ht="15.6">
      <c r="B19" s="345" t="s">
        <v>266</v>
      </c>
      <c r="C19" s="152"/>
      <c r="D19" s="348">
        <f>C17+C18-D20</f>
        <v>17349677.270000011</v>
      </c>
      <c r="E19" s="348">
        <f>D19-E20</f>
        <v>1287281.3169863112</v>
      </c>
      <c r="F19" s="348">
        <f>E19-F20</f>
        <v>-21399094.766027387</v>
      </c>
      <c r="G19" s="348">
        <f t="shared" ref="G19:H19" si="1">F19-G20</f>
        <v>-38608966.059041083</v>
      </c>
      <c r="H19" s="348">
        <f t="shared" si="1"/>
        <v>-55040380.132054783</v>
      </c>
    </row>
    <row r="20" spans="2:8" ht="15.6">
      <c r="B20" s="345" t="s">
        <v>267</v>
      </c>
      <c r="C20" s="349"/>
      <c r="D20" s="346">
        <f>SUM(D22:D35)</f>
        <v>157650322.72999999</v>
      </c>
      <c r="E20" s="346">
        <f>SUM(E22:E35)</f>
        <v>16062395.9530137</v>
      </c>
      <c r="F20" s="346">
        <f>SUM(F22:F35)</f>
        <v>22686376.083013698</v>
      </c>
      <c r="G20" s="346">
        <f t="shared" ref="G20:H20" si="2">SUM(G22:G35)</f>
        <v>17209871.293013699</v>
      </c>
      <c r="H20" s="346">
        <f t="shared" si="2"/>
        <v>16431414.073013699</v>
      </c>
    </row>
    <row r="21" spans="2:8" ht="2.4" customHeight="1">
      <c r="B21" s="350"/>
      <c r="C21" s="351"/>
      <c r="D21" s="352"/>
      <c r="E21" s="352"/>
      <c r="F21" s="352"/>
      <c r="G21" s="352"/>
      <c r="H21" s="352"/>
    </row>
    <row r="22" spans="2:8" ht="15.6">
      <c r="B22" s="353" t="s">
        <v>259</v>
      </c>
      <c r="C22" s="354"/>
      <c r="D22" s="355">
        <f>+'PRESENTACIÓN 03-25'!J5</f>
        <v>94172341.829999998</v>
      </c>
      <c r="E22" s="355">
        <f>+'PRESENTACIÓN 03-25'!K5</f>
        <v>0</v>
      </c>
      <c r="F22" s="355"/>
      <c r="G22" s="355"/>
      <c r="H22" s="355"/>
    </row>
    <row r="23" spans="2:8" ht="15.6">
      <c r="B23" s="356" t="s">
        <v>260</v>
      </c>
      <c r="C23" s="349"/>
      <c r="D23" s="346">
        <f>+'PRESENTACIÓN 03-25'!J19</f>
        <v>21905235.390000001</v>
      </c>
      <c r="E23" s="346">
        <v>650000</v>
      </c>
      <c r="F23" s="346">
        <f>+'Compromiso 15-04-25'!I23</f>
        <v>240388.66999999998</v>
      </c>
      <c r="G23" s="346"/>
      <c r="H23" s="346"/>
    </row>
    <row r="24" spans="2:8" ht="15.6">
      <c r="B24" s="356" t="s">
        <v>766</v>
      </c>
      <c r="C24" s="354"/>
      <c r="D24" s="355">
        <f>+'PRESENTACIÓN 03-25'!J18</f>
        <v>13078160.17</v>
      </c>
      <c r="E24" s="355">
        <f>+'Compromiso 15-04-25'!H29</f>
        <v>0</v>
      </c>
      <c r="F24" s="355">
        <f>+'Compromiso 15-04-25'!G29</f>
        <v>4462836.9700000007</v>
      </c>
      <c r="G24" s="355"/>
      <c r="H24" s="355"/>
    </row>
    <row r="25" spans="2:8" ht="15.6">
      <c r="B25" s="356" t="s">
        <v>271</v>
      </c>
      <c r="C25" s="349"/>
      <c r="D25" s="357">
        <f>+'PRESENTACIÓN 03-25'!J6</f>
        <v>9219083.5899999999</v>
      </c>
      <c r="E25" s="346">
        <f>5000000+3200000</f>
        <v>8200000</v>
      </c>
      <c r="F25" s="346">
        <v>6000000</v>
      </c>
      <c r="G25" s="346">
        <v>6000000</v>
      </c>
      <c r="H25" s="346">
        <v>6000000</v>
      </c>
    </row>
    <row r="26" spans="2:8" ht="15.6">
      <c r="B26" s="356" t="s">
        <v>449</v>
      </c>
      <c r="C26" s="354"/>
      <c r="D26" s="355">
        <f>+'PRESENTACIÓN 03-25'!J15</f>
        <v>14324307.65</v>
      </c>
      <c r="E26" s="355">
        <f>+Publicidad!H17</f>
        <v>1600786.8230136987</v>
      </c>
      <c r="F26" s="355">
        <f>+Publicidad!I17</f>
        <v>2587150.4430136988</v>
      </c>
      <c r="G26" s="355">
        <f>+Publicidad!J17</f>
        <v>1813871.2930136987</v>
      </c>
      <c r="H26" s="355">
        <f>+Publicidad!K17</f>
        <v>1035414.0730136987</v>
      </c>
    </row>
    <row r="27" spans="2:8" ht="15.6">
      <c r="B27" s="356" t="s">
        <v>810</v>
      </c>
      <c r="C27" s="349"/>
      <c r="D27" s="346">
        <f>+'PRESENTACIÓN 03-25'!J14</f>
        <v>490356.1</v>
      </c>
      <c r="E27" s="346">
        <f>590*63.45</f>
        <v>37435.5</v>
      </c>
      <c r="F27" s="346"/>
      <c r="G27" s="346"/>
      <c r="H27" s="346"/>
    </row>
    <row r="28" spans="2:8" ht="3.6" customHeight="1">
      <c r="B28" s="359"/>
      <c r="C28" s="360"/>
      <c r="D28" s="361"/>
      <c r="E28" s="361"/>
      <c r="F28" s="361"/>
      <c r="G28" s="361"/>
      <c r="H28" s="361"/>
    </row>
    <row r="29" spans="2:8" ht="15.6">
      <c r="B29" s="362" t="s">
        <v>767</v>
      </c>
      <c r="C29" s="484"/>
      <c r="D29" s="485">
        <f>+'PRESENTACIÓN 03-25'!J9+'PRESENTACIÓN 03-25'!J12</f>
        <v>4460838</v>
      </c>
      <c r="E29" s="485">
        <f>+'Compromiso 15-04-25'!H32</f>
        <v>2360000</v>
      </c>
      <c r="F29" s="485">
        <f>2000000*1.18</f>
        <v>2360000</v>
      </c>
      <c r="G29" s="485">
        <f t="shared" ref="G29:H29" si="3">2000000*1.18</f>
        <v>2360000</v>
      </c>
      <c r="H29" s="485">
        <f t="shared" si="3"/>
        <v>2360000</v>
      </c>
    </row>
    <row r="30" spans="2:8" ht="15.6">
      <c r="B30" s="362" t="s">
        <v>768</v>
      </c>
      <c r="C30" s="484"/>
      <c r="D30" s="485">
        <v>0</v>
      </c>
      <c r="E30" s="485">
        <f>+'Compromiso 15-04-25'!H35</f>
        <v>1770000</v>
      </c>
      <c r="F30" s="485">
        <v>1770000</v>
      </c>
      <c r="G30" s="485">
        <v>1770000</v>
      </c>
      <c r="H30" s="485">
        <v>1770000</v>
      </c>
    </row>
    <row r="31" spans="2:8" ht="15.6">
      <c r="B31" s="362" t="s">
        <v>961</v>
      </c>
      <c r="C31" s="484"/>
      <c r="D31" s="485"/>
      <c r="E31" s="485">
        <f>+'Compromiso 15-04-25'!H16</f>
        <v>677173.63</v>
      </c>
      <c r="F31" s="485">
        <v>677000</v>
      </c>
      <c r="G31" s="485">
        <v>677000</v>
      </c>
      <c r="H31" s="485">
        <v>677000</v>
      </c>
    </row>
    <row r="32" spans="2:8" ht="15.6">
      <c r="B32" s="486" t="s">
        <v>962</v>
      </c>
      <c r="C32" s="487"/>
      <c r="D32" s="488">
        <f>+'PRESENTACIÓN 02-25'!J13</f>
        <v>0</v>
      </c>
      <c r="E32" s="488">
        <f>650000*1.18</f>
        <v>767000</v>
      </c>
      <c r="F32" s="488">
        <f t="shared" ref="F32:H32" si="4">650000*1.18</f>
        <v>767000</v>
      </c>
      <c r="G32" s="488">
        <f t="shared" si="4"/>
        <v>767000</v>
      </c>
      <c r="H32" s="488">
        <f t="shared" si="4"/>
        <v>767000</v>
      </c>
    </row>
    <row r="33" spans="2:8" ht="15.6">
      <c r="B33" s="362" t="s">
        <v>770</v>
      </c>
      <c r="C33" s="484"/>
      <c r="D33" s="485">
        <v>0</v>
      </c>
      <c r="E33" s="485"/>
      <c r="F33" s="485">
        <f>60000*63.7</f>
        <v>3822000</v>
      </c>
      <c r="G33" s="485">
        <f t="shared" ref="G33:H33" si="5">60000*63.7</f>
        <v>3822000</v>
      </c>
      <c r="H33" s="485">
        <f t="shared" si="5"/>
        <v>3822000</v>
      </c>
    </row>
    <row r="34" spans="2:8" ht="15.6">
      <c r="B34" s="362" t="s">
        <v>273</v>
      </c>
      <c r="C34" s="349"/>
      <c r="D34" s="346"/>
      <c r="E34" s="346"/>
      <c r="F34" s="346"/>
      <c r="G34" s="346"/>
      <c r="H34" s="346"/>
    </row>
    <row r="35" spans="2:8" ht="15.6">
      <c r="B35" s="362" t="s">
        <v>274</v>
      </c>
      <c r="C35" s="365"/>
      <c r="D35" s="355"/>
      <c r="F35" s="552"/>
      <c r="G35" s="355"/>
      <c r="H35" s="355"/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8192E-8594-44EF-930C-5D16EADB758C}">
  <dimension ref="A1:D48"/>
  <sheetViews>
    <sheetView showGridLines="0" zoomScaleNormal="100" workbookViewId="0">
      <selection activeCell="C15" sqref="C15"/>
    </sheetView>
  </sheetViews>
  <sheetFormatPr baseColWidth="10" defaultColWidth="8" defaultRowHeight="11.4"/>
  <cols>
    <col min="1" max="1" width="1.33203125" style="555" customWidth="1"/>
    <col min="2" max="2" width="42.33203125" style="555" customWidth="1"/>
    <col min="3" max="3" width="13.33203125" style="555" customWidth="1"/>
    <col min="4" max="4" width="4.88671875" style="555" customWidth="1"/>
    <col min="5" max="16384" width="8" style="555"/>
  </cols>
  <sheetData>
    <row r="1" spans="1:4" s="553" customFormat="1" ht="16.649999999999999" customHeight="1">
      <c r="A1" s="1932" t="s">
        <v>235</v>
      </c>
      <c r="B1" s="1932"/>
      <c r="C1" s="1932"/>
      <c r="D1" s="1932"/>
    </row>
    <row r="2" spans="1:4" s="554" customFormat="1" ht="14.4" customHeight="1">
      <c r="A2" s="1933" t="s">
        <v>236</v>
      </c>
      <c r="B2" s="1933"/>
      <c r="C2" s="1933"/>
      <c r="D2" s="1933"/>
    </row>
    <row r="3" spans="1:4" s="554" customFormat="1" ht="14.4" customHeight="1">
      <c r="A3" s="1933" t="s">
        <v>963</v>
      </c>
      <c r="B3" s="1933"/>
      <c r="C3" s="1933"/>
      <c r="D3" s="1933"/>
    </row>
    <row r="4" spans="1:4" ht="13.35" customHeight="1"/>
    <row r="5" spans="1:4" s="556" customFormat="1" ht="12.15" customHeight="1">
      <c r="A5" s="1934"/>
      <c r="B5" s="1935" t="s">
        <v>238</v>
      </c>
      <c r="C5" s="620" t="s">
        <v>964</v>
      </c>
      <c r="D5" s="620"/>
    </row>
    <row r="6" spans="1:4" ht="13.35" customHeight="1"/>
    <row r="7" spans="1:4" s="556" customFormat="1" ht="12.15" customHeight="1">
      <c r="A7" s="1934" t="s">
        <v>239</v>
      </c>
      <c r="B7" s="1934"/>
      <c r="C7" s="1934"/>
      <c r="D7" s="1934"/>
    </row>
    <row r="8" spans="1:4" ht="10.95" customHeight="1">
      <c r="A8" s="1936"/>
      <c r="B8" s="1936" t="s">
        <v>638</v>
      </c>
      <c r="C8" s="1936"/>
      <c r="D8" s="1936"/>
    </row>
    <row r="9" spans="1:4" ht="10.95" customHeight="1">
      <c r="B9" s="557" t="s">
        <v>639</v>
      </c>
      <c r="C9" s="558">
        <v>8208559.7199999997</v>
      </c>
      <c r="D9" s="557"/>
    </row>
    <row r="10" spans="1:4" ht="10.95" customHeight="1">
      <c r="B10" s="557" t="s">
        <v>640</v>
      </c>
      <c r="C10" s="558">
        <v>19309.45</v>
      </c>
      <c r="D10" s="557" t="s">
        <v>641</v>
      </c>
    </row>
    <row r="11" spans="1:4" ht="10.95" customHeight="1">
      <c r="B11" s="557" t="s">
        <v>799</v>
      </c>
      <c r="C11" s="558">
        <v>2176686.12</v>
      </c>
      <c r="D11" s="557" t="s">
        <v>641</v>
      </c>
    </row>
    <row r="12" spans="1:4" ht="10.95" customHeight="1">
      <c r="B12" s="557" t="s">
        <v>844</v>
      </c>
      <c r="C12" s="558">
        <v>2009564.1599999999</v>
      </c>
      <c r="D12" s="557" t="s">
        <v>641</v>
      </c>
    </row>
    <row r="13" spans="1:4" ht="10.95" customHeight="1">
      <c r="B13" s="557" t="s">
        <v>845</v>
      </c>
      <c r="C13" s="558">
        <v>150319.74</v>
      </c>
      <c r="D13" s="557"/>
    </row>
    <row r="14" spans="1:4" ht="10.95" customHeight="1">
      <c r="B14" s="1937" t="s">
        <v>642</v>
      </c>
      <c r="C14" s="1938">
        <f>SUM(C9:C13)</f>
        <v>12564439.189999999</v>
      </c>
      <c r="D14" s="1937"/>
    </row>
    <row r="15" spans="1:4" ht="10.95" customHeight="1">
      <c r="A15" s="1936"/>
      <c r="B15" s="1936" t="s">
        <v>240</v>
      </c>
      <c r="C15" s="1936"/>
      <c r="D15" s="1936"/>
    </row>
    <row r="16" spans="1:4" ht="10.95" customHeight="1">
      <c r="B16" s="557" t="s">
        <v>241</v>
      </c>
      <c r="C16" s="558">
        <v>3914025.8</v>
      </c>
      <c r="D16" s="557"/>
    </row>
    <row r="17" spans="1:4" ht="10.95" customHeight="1">
      <c r="B17" s="1937" t="s">
        <v>242</v>
      </c>
      <c r="C17" s="1938">
        <f>C16</f>
        <v>3914025.8</v>
      </c>
      <c r="D17" s="1937"/>
    </row>
    <row r="18" spans="1:4" ht="10.95" customHeight="1">
      <c r="A18" s="1936"/>
      <c r="B18" s="1936" t="s">
        <v>243</v>
      </c>
      <c r="C18" s="1936"/>
      <c r="D18" s="1936"/>
    </row>
    <row r="19" spans="1:4" ht="10.95" customHeight="1">
      <c r="B19" s="557" t="s">
        <v>800</v>
      </c>
      <c r="C19" s="558">
        <v>37990321.009999998</v>
      </c>
      <c r="D19" s="557"/>
    </row>
    <row r="20" spans="1:4" ht="10.95" customHeight="1">
      <c r="B20" s="557" t="s">
        <v>245</v>
      </c>
      <c r="C20" s="558">
        <v>21647928.84</v>
      </c>
      <c r="D20" s="557"/>
    </row>
    <row r="21" spans="1:4" ht="10.95" customHeight="1">
      <c r="B21" s="557" t="s">
        <v>801</v>
      </c>
      <c r="C21" s="558">
        <v>13396762.34</v>
      </c>
      <c r="D21" s="557"/>
    </row>
    <row r="22" spans="1:4" ht="10.95" customHeight="1">
      <c r="B22" s="557" t="s">
        <v>33</v>
      </c>
      <c r="C22" s="558">
        <v>94172341.829999998</v>
      </c>
      <c r="D22" s="557"/>
    </row>
    <row r="23" spans="1:4" ht="10.95" customHeight="1">
      <c r="B23" s="1937" t="s">
        <v>247</v>
      </c>
      <c r="C23" s="1938">
        <f>SUM(C19:C22)</f>
        <v>167207354.01999998</v>
      </c>
      <c r="D23" s="1937"/>
    </row>
    <row r="24" spans="1:4" ht="10.95" customHeight="1">
      <c r="A24" s="1937" t="s">
        <v>248</v>
      </c>
      <c r="C24" s="1938">
        <f>(0 + ((C14 + C17) + C23))</f>
        <v>183685819.00999999</v>
      </c>
      <c r="D24" s="1937"/>
    </row>
    <row r="25" spans="1:4" ht="13.35" customHeight="1"/>
    <row r="26" spans="1:4" s="556" customFormat="1" ht="12.15" customHeight="1">
      <c r="A26" s="1934" t="s">
        <v>249</v>
      </c>
      <c r="B26" s="1934"/>
      <c r="C26" s="1934"/>
      <c r="D26" s="1934"/>
    </row>
    <row r="27" spans="1:4" ht="10.95" customHeight="1">
      <c r="A27" s="1936"/>
      <c r="B27" s="1936" t="s">
        <v>250</v>
      </c>
      <c r="C27" s="1936"/>
      <c r="D27" s="1936"/>
    </row>
    <row r="28" spans="1:4" ht="10.95" customHeight="1">
      <c r="B28" s="557" t="s">
        <v>251</v>
      </c>
      <c r="C28" s="558">
        <v>4048207.92</v>
      </c>
      <c r="D28" s="557"/>
    </row>
    <row r="29" spans="1:4" ht="10.95" customHeight="1">
      <c r="B29" s="557" t="s">
        <v>965</v>
      </c>
      <c r="C29" s="558">
        <v>15000000</v>
      </c>
      <c r="D29" s="557"/>
    </row>
    <row r="30" spans="1:4" ht="10.95" customHeight="1">
      <c r="B30" s="557" t="s">
        <v>802</v>
      </c>
      <c r="C30" s="558">
        <v>4150308.72</v>
      </c>
      <c r="D30" s="557"/>
    </row>
    <row r="31" spans="1:4" ht="10.95" customHeight="1">
      <c r="B31" s="557" t="s">
        <v>252</v>
      </c>
      <c r="C31" s="558">
        <v>511201.8</v>
      </c>
      <c r="D31" s="557"/>
    </row>
    <row r="32" spans="1:4" ht="10.95" customHeight="1">
      <c r="B32" s="557" t="s">
        <v>804</v>
      </c>
      <c r="C32" s="558">
        <v>134464.37</v>
      </c>
      <c r="D32" s="557"/>
    </row>
    <row r="33" spans="1:3" ht="10.95" customHeight="1">
      <c r="B33" s="557" t="s">
        <v>813</v>
      </c>
      <c r="C33" s="558">
        <v>85061.77</v>
      </c>
    </row>
    <row r="34" spans="1:3" ht="10.95" customHeight="1">
      <c r="B34" s="1937" t="s">
        <v>253</v>
      </c>
      <c r="C34" s="1938">
        <f>SUM(C28:C33)</f>
        <v>23929244.580000002</v>
      </c>
    </row>
    <row r="35" spans="1:3" ht="10.95" customHeight="1">
      <c r="A35" s="1937" t="s">
        <v>254</v>
      </c>
      <c r="C35" s="1938">
        <f>(0 + C34)</f>
        <v>23929244.580000002</v>
      </c>
    </row>
    <row r="36" spans="1:3" ht="13.35" customHeight="1"/>
    <row r="37" spans="1:3" ht="10.95" customHeight="1">
      <c r="B37" s="1939" t="s">
        <v>255</v>
      </c>
      <c r="C37" s="1940">
        <f>(C24 - C35)</f>
        <v>159756574.42999998</v>
      </c>
    </row>
    <row r="38" spans="1:3" ht="13.35" customHeight="1"/>
    <row r="39" spans="1:3" s="556" customFormat="1" ht="12.15" customHeight="1">
      <c r="A39" s="1934" t="s">
        <v>256</v>
      </c>
      <c r="B39" s="1934"/>
      <c r="C39" s="1934"/>
    </row>
    <row r="40" spans="1:3" ht="10.95" customHeight="1">
      <c r="B40" s="559" t="s">
        <v>257</v>
      </c>
      <c r="C40" s="560">
        <v>159695773.63999999</v>
      </c>
    </row>
    <row r="41" spans="1:3" ht="10.95" customHeight="1">
      <c r="B41" s="557" t="s">
        <v>647</v>
      </c>
      <c r="C41" s="558">
        <v>-78761.34</v>
      </c>
    </row>
    <row r="42" spans="1:3" ht="10.95" customHeight="1">
      <c r="B42" s="557" t="s">
        <v>846</v>
      </c>
      <c r="C42" s="558">
        <v>139562.13</v>
      </c>
    </row>
    <row r="43" spans="1:3" ht="10.95" customHeight="1">
      <c r="A43" s="1937" t="s">
        <v>258</v>
      </c>
      <c r="C43" s="1938">
        <f>SUM(C40:C42)</f>
        <v>159756574.42999998</v>
      </c>
    </row>
    <row r="44" spans="1:3" ht="13.35" customHeight="1"/>
    <row r="45" spans="1:3" ht="13.35" customHeight="1"/>
    <row r="46" spans="1:3" ht="10.95" customHeight="1">
      <c r="A46" s="561" t="s">
        <v>814</v>
      </c>
    </row>
    <row r="47" spans="1:3" ht="10.95" customHeight="1">
      <c r="A47" s="1941" t="s">
        <v>964</v>
      </c>
    </row>
    <row r="48" spans="1:3" ht="10.95" customHeight="1">
      <c r="A48" s="561" t="s">
        <v>966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059D6-7C76-4C59-981E-DFB0E55208A7}">
  <sheetPr filterMode="1"/>
  <dimension ref="A1:P49"/>
  <sheetViews>
    <sheetView showGridLines="0" zoomScaleNormal="100" workbookViewId="0">
      <selection activeCell="C5" sqref="C5:E5"/>
    </sheetView>
  </sheetViews>
  <sheetFormatPr baseColWidth="10" defaultColWidth="8" defaultRowHeight="11.4"/>
  <cols>
    <col min="1" max="1" width="37" style="555" customWidth="1"/>
    <col min="2" max="2" width="9.88671875" style="555" bestFit="1" customWidth="1"/>
    <col min="3" max="3" width="12.6640625" style="555" bestFit="1" customWidth="1"/>
    <col min="4" max="5" width="8.5546875" style="555" bestFit="1" customWidth="1"/>
    <col min="6" max="6" width="8" style="555"/>
    <col min="7" max="7" width="16.6640625" style="555" bestFit="1" customWidth="1"/>
    <col min="8" max="8" width="19.109375" style="555" customWidth="1"/>
    <col min="9" max="9" width="15.44140625" style="555" bestFit="1" customWidth="1"/>
    <col min="10" max="10" width="16.6640625" style="555" bestFit="1" customWidth="1"/>
    <col min="11" max="11" width="15.33203125" style="555" bestFit="1" customWidth="1"/>
    <col min="12" max="12" width="12" style="555" bestFit="1" customWidth="1"/>
    <col min="13" max="13" width="12.33203125" style="555" bestFit="1" customWidth="1"/>
    <col min="14" max="14" width="12.5546875" style="555" customWidth="1"/>
    <col min="15" max="15" width="8.88671875" style="623" customWidth="1"/>
    <col min="16" max="16" width="13.109375" style="555" customWidth="1"/>
    <col min="17" max="17" width="21.44140625" style="555" bestFit="1" customWidth="1"/>
    <col min="18" max="18" width="32.33203125" style="555" bestFit="1" customWidth="1"/>
    <col min="19" max="19" width="22.109375" style="555" bestFit="1" customWidth="1"/>
    <col min="20" max="20" width="17.33203125" style="555" bestFit="1" customWidth="1"/>
    <col min="21" max="21" width="28.88671875" style="555" bestFit="1" customWidth="1"/>
    <col min="22" max="22" width="13.88671875" style="555" bestFit="1" customWidth="1"/>
    <col min="23" max="23" width="23.6640625" style="555" bestFit="1" customWidth="1"/>
    <col min="24" max="24" width="18.33203125" style="555" bestFit="1" customWidth="1"/>
    <col min="25" max="25" width="31.109375" style="555" bestFit="1" customWidth="1"/>
    <col min="26" max="26" width="17.6640625" style="555" bestFit="1" customWidth="1"/>
    <col min="27" max="27" width="21.44140625" style="555" bestFit="1" customWidth="1"/>
    <col min="28" max="28" width="19.33203125" style="555" bestFit="1" customWidth="1"/>
    <col min="29" max="29" width="26.109375" style="555" bestFit="1" customWidth="1"/>
    <col min="30" max="30" width="20.88671875" style="555" bestFit="1" customWidth="1"/>
    <col min="31" max="31" width="17.5546875" style="555" bestFit="1" customWidth="1"/>
    <col min="32" max="32" width="13.88671875" style="555" bestFit="1" customWidth="1"/>
    <col min="33" max="33" width="11.33203125" style="555" bestFit="1" customWidth="1"/>
    <col min="34" max="34" width="31.44140625" style="555" bestFit="1" customWidth="1"/>
    <col min="35" max="35" width="33.6640625" style="555" bestFit="1" customWidth="1"/>
    <col min="36" max="36" width="14.6640625" style="555" bestFit="1" customWidth="1"/>
    <col min="37" max="37" width="17.44140625" style="555" bestFit="1" customWidth="1"/>
    <col min="38" max="38" width="27.5546875" style="555" bestFit="1" customWidth="1"/>
    <col min="39" max="39" width="20.109375" style="555" bestFit="1" customWidth="1"/>
    <col min="40" max="40" width="31.6640625" style="555" bestFit="1" customWidth="1"/>
    <col min="41" max="41" width="15" style="555" bestFit="1" customWidth="1"/>
    <col min="42" max="42" width="25.6640625" style="555" bestFit="1" customWidth="1"/>
    <col min="43" max="43" width="19.6640625" style="555" bestFit="1" customWidth="1"/>
    <col min="44" max="44" width="21.6640625" style="555" bestFit="1" customWidth="1"/>
    <col min="45" max="45" width="27.5546875" style="555" bestFit="1" customWidth="1"/>
    <col min="46" max="46" width="21.33203125" style="555" bestFit="1" customWidth="1"/>
    <col min="47" max="47" width="23.33203125" style="555" bestFit="1" customWidth="1"/>
    <col min="48" max="48" width="20.6640625" style="555" bestFit="1" customWidth="1"/>
    <col min="49" max="49" width="36.5546875" style="555" bestFit="1" customWidth="1"/>
    <col min="50" max="50" width="18.6640625" style="555" bestFit="1" customWidth="1"/>
    <col min="51" max="51" width="41.6640625" style="555" bestFit="1" customWidth="1"/>
    <col min="52" max="52" width="12" style="555" bestFit="1" customWidth="1"/>
    <col min="53" max="16384" width="8" style="555"/>
  </cols>
  <sheetData>
    <row r="1" spans="1:16" s="615" customFormat="1" ht="27.6" customHeight="1">
      <c r="A1" s="1942" t="s">
        <v>967</v>
      </c>
      <c r="B1" s="1942"/>
      <c r="C1" s="1942"/>
      <c r="D1" s="1942"/>
      <c r="E1" s="1942"/>
      <c r="F1" s="1943"/>
      <c r="G1" s="616" t="s">
        <v>451</v>
      </c>
      <c r="H1" s="546" t="s">
        <v>968</v>
      </c>
      <c r="I1" s="546" t="s">
        <v>969</v>
      </c>
      <c r="J1" s="546" t="s">
        <v>970</v>
      </c>
      <c r="K1" s="546" t="s">
        <v>971</v>
      </c>
      <c r="L1" s="625" t="s">
        <v>972</v>
      </c>
      <c r="M1" s="626" t="s">
        <v>973</v>
      </c>
      <c r="N1" s="626" t="s">
        <v>974</v>
      </c>
      <c r="O1" s="627" t="s">
        <v>975</v>
      </c>
      <c r="P1" s="628" t="s">
        <v>976</v>
      </c>
    </row>
    <row r="2" spans="1:16" s="554" customFormat="1" ht="14.4" customHeight="1">
      <c r="A2" s="1933" t="s">
        <v>236</v>
      </c>
      <c r="B2" s="1933"/>
      <c r="C2" s="1933"/>
      <c r="D2" s="1933"/>
      <c r="E2" s="1933"/>
      <c r="F2" s="1944"/>
      <c r="G2" s="371" t="s">
        <v>977</v>
      </c>
      <c r="H2" s="614">
        <v>0</v>
      </c>
      <c r="I2" s="614">
        <v>32983</v>
      </c>
      <c r="J2">
        <v>8</v>
      </c>
      <c r="K2" s="614">
        <v>32983</v>
      </c>
      <c r="L2" s="629" t="s">
        <v>977</v>
      </c>
      <c r="M2" s="630">
        <v>0</v>
      </c>
      <c r="N2" s="630">
        <v>32983</v>
      </c>
      <c r="O2" s="631">
        <v>8</v>
      </c>
      <c r="P2" s="632">
        <v>32983</v>
      </c>
    </row>
    <row r="3" spans="1:16" s="554" customFormat="1" ht="14.4" customHeight="1">
      <c r="A3" s="1933" t="s">
        <v>978</v>
      </c>
      <c r="B3" s="1933"/>
      <c r="C3" s="1933"/>
      <c r="D3" s="1933"/>
      <c r="E3" s="1933"/>
      <c r="F3" s="1944"/>
      <c r="G3" s="371" t="s">
        <v>979</v>
      </c>
      <c r="H3" s="614">
        <v>2000</v>
      </c>
      <c r="I3" s="614">
        <v>2000</v>
      </c>
      <c r="J3">
        <v>1</v>
      </c>
      <c r="K3" s="614">
        <v>0</v>
      </c>
      <c r="L3" s="629" t="s">
        <v>979</v>
      </c>
      <c r="M3" s="630">
        <v>2000</v>
      </c>
      <c r="N3" s="630">
        <v>2000</v>
      </c>
      <c r="O3" s="631">
        <v>1</v>
      </c>
      <c r="P3" s="632">
        <v>0</v>
      </c>
    </row>
    <row r="4" spans="1:16" ht="13.35" customHeight="1">
      <c r="G4" s="371" t="s">
        <v>980</v>
      </c>
      <c r="H4" s="614">
        <v>0</v>
      </c>
      <c r="I4" s="614">
        <v>35892</v>
      </c>
      <c r="J4">
        <v>31</v>
      </c>
      <c r="K4" s="614">
        <v>35892</v>
      </c>
      <c r="L4" s="629" t="s">
        <v>980</v>
      </c>
      <c r="M4" s="630">
        <v>0</v>
      </c>
      <c r="N4" s="630">
        <v>35892</v>
      </c>
      <c r="O4" s="631">
        <v>31</v>
      </c>
      <c r="P4" s="632">
        <v>35892</v>
      </c>
    </row>
    <row r="5" spans="1:16" s="556" customFormat="1" ht="12.15" customHeight="1">
      <c r="A5" s="1935" t="s">
        <v>690</v>
      </c>
      <c r="B5" s="1935" t="s">
        <v>972</v>
      </c>
      <c r="C5" s="620" t="s">
        <v>973</v>
      </c>
      <c r="D5" s="620" t="s">
        <v>974</v>
      </c>
      <c r="E5" s="620" t="s">
        <v>976</v>
      </c>
      <c r="F5" s="1945"/>
      <c r="G5" s="371" t="s">
        <v>981</v>
      </c>
      <c r="H5" s="614">
        <v>2993</v>
      </c>
      <c r="I5" s="614">
        <v>2993</v>
      </c>
      <c r="J5">
        <v>2</v>
      </c>
      <c r="K5" s="614">
        <v>0</v>
      </c>
      <c r="L5" s="629" t="s">
        <v>981</v>
      </c>
      <c r="M5" s="630">
        <v>2993</v>
      </c>
      <c r="N5" s="630">
        <v>2993</v>
      </c>
      <c r="O5" s="631">
        <v>2</v>
      </c>
      <c r="P5" s="632">
        <v>0</v>
      </c>
    </row>
    <row r="6" spans="1:16" ht="13.95" hidden="1" customHeight="1">
      <c r="A6" s="559" t="s">
        <v>982</v>
      </c>
      <c r="B6" s="557" t="s">
        <v>977</v>
      </c>
      <c r="C6" s="560">
        <v>0</v>
      </c>
      <c r="D6" s="560">
        <v>1000</v>
      </c>
      <c r="E6" s="560">
        <v>1000</v>
      </c>
      <c r="G6" s="371" t="s">
        <v>455</v>
      </c>
      <c r="H6" s="614">
        <v>4993</v>
      </c>
      <c r="I6" s="614">
        <v>73868</v>
      </c>
      <c r="J6">
        <v>42</v>
      </c>
      <c r="K6" s="614">
        <v>68875</v>
      </c>
      <c r="L6" s="633" t="s">
        <v>164</v>
      </c>
      <c r="M6" s="634">
        <v>4993</v>
      </c>
      <c r="N6" s="634">
        <v>73868</v>
      </c>
      <c r="O6" s="635">
        <v>42</v>
      </c>
      <c r="P6" s="636">
        <v>68875</v>
      </c>
    </row>
    <row r="7" spans="1:16" ht="18.600000000000001" customHeight="1">
      <c r="A7" s="557" t="s">
        <v>983</v>
      </c>
      <c r="B7" s="557" t="s">
        <v>980</v>
      </c>
      <c r="C7" s="558">
        <v>0</v>
      </c>
      <c r="D7" s="558">
        <v>996</v>
      </c>
      <c r="E7" s="558">
        <v>996</v>
      </c>
      <c r="G7" s="555" t="s">
        <v>979</v>
      </c>
      <c r="H7" s="617">
        <v>-4993</v>
      </c>
      <c r="I7" s="617">
        <v>-4993</v>
      </c>
      <c r="J7" s="617">
        <v>-3</v>
      </c>
      <c r="K7" s="617">
        <v>0</v>
      </c>
      <c r="L7" s="637" t="s">
        <v>979</v>
      </c>
      <c r="M7" s="638">
        <v>-4993</v>
      </c>
      <c r="N7" s="638">
        <v>-4993</v>
      </c>
      <c r="O7" s="639">
        <v>-3</v>
      </c>
      <c r="P7" s="640">
        <v>0</v>
      </c>
    </row>
    <row r="8" spans="1:16" ht="15" customHeight="1" thickBot="1">
      <c r="A8" s="557" t="s">
        <v>984</v>
      </c>
      <c r="B8" s="557" t="s">
        <v>980</v>
      </c>
      <c r="C8" s="558">
        <v>0</v>
      </c>
      <c r="D8" s="558">
        <v>1000</v>
      </c>
      <c r="E8" s="558">
        <v>1000</v>
      </c>
      <c r="G8" s="618"/>
      <c r="H8" s="619">
        <f>+GETPIVOTDATA("Suma de Devoluciones",$G$1)+H7</f>
        <v>0</v>
      </c>
      <c r="I8" s="619">
        <f>+GETPIVOTDATA("Suma de Aportes",$G$1)+I7</f>
        <v>68875</v>
      </c>
      <c r="J8" s="621">
        <f>+GETPIVOTDATA("Cuenta de Contact",$G$1)+J7</f>
        <v>39</v>
      </c>
      <c r="K8" s="619">
        <f>+GETPIVOTDATA("Suma de Balance",$G$1)+K7</f>
        <v>68875</v>
      </c>
      <c r="L8" s="641" t="s">
        <v>455</v>
      </c>
      <c r="M8" s="642">
        <v>0</v>
      </c>
      <c r="N8" s="642">
        <v>68875</v>
      </c>
      <c r="O8" s="643">
        <v>39</v>
      </c>
      <c r="P8" s="644">
        <v>68875</v>
      </c>
    </row>
    <row r="9" spans="1:16" ht="10.95" customHeight="1">
      <c r="A9" s="557" t="s">
        <v>985</v>
      </c>
      <c r="B9" s="557" t="s">
        <v>980</v>
      </c>
      <c r="C9" s="558">
        <v>0</v>
      </c>
      <c r="D9" s="558">
        <v>1000</v>
      </c>
      <c r="E9" s="558">
        <v>1000</v>
      </c>
    </row>
    <row r="10" spans="1:16" ht="10.95" customHeight="1">
      <c r="A10" s="557" t="s">
        <v>986</v>
      </c>
      <c r="B10" s="557" t="s">
        <v>980</v>
      </c>
      <c r="C10" s="558">
        <v>0</v>
      </c>
      <c r="D10" s="558">
        <v>1000</v>
      </c>
      <c r="E10" s="558">
        <v>1000</v>
      </c>
    </row>
    <row r="11" spans="1:16" ht="10.95" customHeight="1">
      <c r="A11" s="557" t="s">
        <v>987</v>
      </c>
      <c r="B11" s="557" t="s">
        <v>980</v>
      </c>
      <c r="C11" s="558">
        <v>0</v>
      </c>
      <c r="D11" s="558">
        <v>981</v>
      </c>
      <c r="E11" s="558">
        <v>981</v>
      </c>
    </row>
    <row r="12" spans="1:16" ht="10.95" hidden="1" customHeight="1">
      <c r="A12" s="557" t="s">
        <v>988</v>
      </c>
      <c r="B12" s="557" t="s">
        <v>977</v>
      </c>
      <c r="C12" s="558">
        <v>0</v>
      </c>
      <c r="D12" s="558">
        <v>13008</v>
      </c>
      <c r="E12" s="558">
        <v>13008</v>
      </c>
      <c r="L12"/>
      <c r="M12"/>
      <c r="N12"/>
      <c r="O12" s="622"/>
      <c r="P12"/>
    </row>
    <row r="13" spans="1:16" ht="10.95" customHeight="1">
      <c r="A13" s="557" t="s">
        <v>989</v>
      </c>
      <c r="B13" s="557" t="s">
        <v>980</v>
      </c>
      <c r="C13" s="558">
        <v>0</v>
      </c>
      <c r="D13" s="558">
        <v>1000</v>
      </c>
      <c r="E13" s="558">
        <v>1000</v>
      </c>
      <c r="L13"/>
      <c r="M13"/>
      <c r="N13"/>
      <c r="O13" s="622"/>
      <c r="P13"/>
    </row>
    <row r="14" spans="1:16" ht="10.95" customHeight="1">
      <c r="A14" s="557" t="s">
        <v>990</v>
      </c>
      <c r="B14" s="557" t="s">
        <v>980</v>
      </c>
      <c r="C14" s="558">
        <v>0</v>
      </c>
      <c r="D14" s="558">
        <v>981</v>
      </c>
      <c r="E14" s="558">
        <v>981</v>
      </c>
      <c r="L14"/>
      <c r="M14"/>
      <c r="N14"/>
      <c r="O14" s="622"/>
      <c r="P14"/>
    </row>
    <row r="15" spans="1:16" ht="10.95" customHeight="1">
      <c r="A15" s="557" t="s">
        <v>991</v>
      </c>
      <c r="B15" s="557" t="s">
        <v>980</v>
      </c>
      <c r="C15" s="558">
        <v>0</v>
      </c>
      <c r="D15" s="558">
        <v>1000</v>
      </c>
      <c r="E15" s="558">
        <v>1000</v>
      </c>
    </row>
    <row r="16" spans="1:16" ht="10.95" customHeight="1">
      <c r="A16" s="557" t="s">
        <v>992</v>
      </c>
      <c r="B16" s="557" t="s">
        <v>980</v>
      </c>
      <c r="C16" s="558">
        <v>0</v>
      </c>
      <c r="D16" s="558">
        <v>993</v>
      </c>
      <c r="E16" s="558">
        <v>993</v>
      </c>
      <c r="G16"/>
      <c r="H16"/>
      <c r="I16"/>
      <c r="J16"/>
      <c r="K16"/>
    </row>
    <row r="17" spans="1:5" ht="10.95" customHeight="1">
      <c r="A17" s="557" t="s">
        <v>993</v>
      </c>
      <c r="B17" s="557" t="s">
        <v>980</v>
      </c>
      <c r="C17" s="558">
        <v>0</v>
      </c>
      <c r="D17" s="558">
        <v>1000</v>
      </c>
      <c r="E17" s="558">
        <v>1000</v>
      </c>
    </row>
    <row r="18" spans="1:5" ht="10.95" customHeight="1">
      <c r="A18" s="557" t="s">
        <v>994</v>
      </c>
      <c r="B18" s="557" t="s">
        <v>980</v>
      </c>
      <c r="C18" s="558">
        <v>0</v>
      </c>
      <c r="D18" s="558">
        <v>2000</v>
      </c>
      <c r="E18" s="558">
        <v>2000</v>
      </c>
    </row>
    <row r="19" spans="1:5" ht="10.95" hidden="1" customHeight="1">
      <c r="A19" s="557" t="s">
        <v>995</v>
      </c>
      <c r="B19" s="557" t="s">
        <v>977</v>
      </c>
      <c r="C19" s="558">
        <v>0</v>
      </c>
      <c r="D19" s="558">
        <v>1993</v>
      </c>
      <c r="E19" s="558">
        <v>1993</v>
      </c>
    </row>
    <row r="20" spans="1:5" ht="10.95" hidden="1" customHeight="1">
      <c r="A20" s="612" t="s">
        <v>996</v>
      </c>
      <c r="B20" s="612" t="s">
        <v>979</v>
      </c>
      <c r="C20" s="613">
        <v>2000</v>
      </c>
      <c r="D20" s="613">
        <v>2000</v>
      </c>
      <c r="E20" s="613">
        <v>0</v>
      </c>
    </row>
    <row r="21" spans="1:5" ht="10.95" customHeight="1">
      <c r="A21" s="557" t="s">
        <v>997</v>
      </c>
      <c r="B21" s="557" t="s">
        <v>980</v>
      </c>
      <c r="C21" s="558">
        <v>0</v>
      </c>
      <c r="D21" s="558">
        <v>1000</v>
      </c>
      <c r="E21" s="558">
        <v>1000</v>
      </c>
    </row>
    <row r="22" spans="1:5" ht="10.95" customHeight="1">
      <c r="A22" s="557" t="s">
        <v>998</v>
      </c>
      <c r="B22" s="557" t="s">
        <v>980</v>
      </c>
      <c r="C22" s="558">
        <v>0</v>
      </c>
      <c r="D22" s="558">
        <v>1000</v>
      </c>
      <c r="E22" s="558">
        <v>1000</v>
      </c>
    </row>
    <row r="23" spans="1:5" ht="10.95" customHeight="1">
      <c r="A23" s="557" t="s">
        <v>999</v>
      </c>
      <c r="B23" s="557" t="s">
        <v>980</v>
      </c>
      <c r="C23" s="558">
        <v>0</v>
      </c>
      <c r="D23" s="558">
        <v>1000</v>
      </c>
      <c r="E23" s="558">
        <v>1000</v>
      </c>
    </row>
    <row r="24" spans="1:5" ht="10.95" hidden="1" customHeight="1">
      <c r="A24" s="557" t="s">
        <v>1000</v>
      </c>
      <c r="B24" s="557" t="s">
        <v>977</v>
      </c>
      <c r="C24" s="558">
        <v>0</v>
      </c>
      <c r="D24" s="558">
        <v>10055</v>
      </c>
      <c r="E24" s="558">
        <v>10055</v>
      </c>
    </row>
    <row r="25" spans="1:5" ht="10.95" customHeight="1">
      <c r="A25" s="557" t="s">
        <v>1001</v>
      </c>
      <c r="B25" s="557" t="s">
        <v>980</v>
      </c>
      <c r="C25" s="558">
        <v>0</v>
      </c>
      <c r="D25" s="558">
        <v>993</v>
      </c>
      <c r="E25" s="558">
        <v>993</v>
      </c>
    </row>
    <row r="26" spans="1:5" ht="10.95" customHeight="1">
      <c r="A26" s="557" t="s">
        <v>1002</v>
      </c>
      <c r="B26" s="557" t="s">
        <v>980</v>
      </c>
      <c r="C26" s="558">
        <v>0</v>
      </c>
      <c r="D26" s="558">
        <v>1000</v>
      </c>
      <c r="E26" s="558">
        <v>1000</v>
      </c>
    </row>
    <row r="27" spans="1:5" ht="10.95" customHeight="1">
      <c r="A27" s="557" t="s">
        <v>1003</v>
      </c>
      <c r="B27" s="557" t="s">
        <v>980</v>
      </c>
      <c r="C27" s="558">
        <v>0</v>
      </c>
      <c r="D27" s="558">
        <v>1000</v>
      </c>
      <c r="E27" s="558">
        <v>1000</v>
      </c>
    </row>
    <row r="28" spans="1:5" ht="10.95" hidden="1" customHeight="1">
      <c r="A28" s="557" t="s">
        <v>1004</v>
      </c>
      <c r="B28" s="557" t="s">
        <v>977</v>
      </c>
      <c r="C28" s="558">
        <v>0</v>
      </c>
      <c r="D28" s="558">
        <v>1993</v>
      </c>
      <c r="E28" s="558">
        <v>1993</v>
      </c>
    </row>
    <row r="29" spans="1:5" ht="10.95" customHeight="1">
      <c r="A29" s="557" t="s">
        <v>1005</v>
      </c>
      <c r="B29" s="557" t="s">
        <v>980</v>
      </c>
      <c r="C29" s="558">
        <v>0</v>
      </c>
      <c r="D29" s="558">
        <v>2000</v>
      </c>
      <c r="E29" s="558">
        <v>2000</v>
      </c>
    </row>
    <row r="30" spans="1:5" ht="10.95" customHeight="1">
      <c r="A30" s="557" t="s">
        <v>1006</v>
      </c>
      <c r="B30" s="557" t="s">
        <v>980</v>
      </c>
      <c r="C30" s="558">
        <v>0</v>
      </c>
      <c r="D30" s="558">
        <v>2003</v>
      </c>
      <c r="E30" s="558">
        <v>2003</v>
      </c>
    </row>
    <row r="31" spans="1:5" ht="10.95" customHeight="1">
      <c r="A31" s="557" t="s">
        <v>1007</v>
      </c>
      <c r="B31" s="557" t="s">
        <v>980</v>
      </c>
      <c r="C31" s="558">
        <v>0</v>
      </c>
      <c r="D31" s="558">
        <v>1000</v>
      </c>
      <c r="E31" s="558">
        <v>1000</v>
      </c>
    </row>
    <row r="32" spans="1:5" ht="10.95" customHeight="1">
      <c r="A32" s="557" t="s">
        <v>1008</v>
      </c>
      <c r="B32" s="557" t="s">
        <v>980</v>
      </c>
      <c r="C32" s="558">
        <v>0</v>
      </c>
      <c r="D32" s="558">
        <v>1000</v>
      </c>
      <c r="E32" s="558">
        <v>1000</v>
      </c>
    </row>
    <row r="33" spans="1:5" ht="10.95" hidden="1" customHeight="1">
      <c r="A33" s="612" t="s">
        <v>1009</v>
      </c>
      <c r="B33" s="624" t="s">
        <v>981</v>
      </c>
      <c r="C33" s="613">
        <v>1000</v>
      </c>
      <c r="D33" s="613">
        <v>1000</v>
      </c>
      <c r="E33" s="613">
        <v>0</v>
      </c>
    </row>
    <row r="34" spans="1:5" ht="10.95" hidden="1" customHeight="1">
      <c r="A34" s="557" t="s">
        <v>1010</v>
      </c>
      <c r="B34" s="557" t="s">
        <v>977</v>
      </c>
      <c r="C34" s="558">
        <v>0</v>
      </c>
      <c r="D34" s="558">
        <v>978</v>
      </c>
      <c r="E34" s="558">
        <v>978</v>
      </c>
    </row>
    <row r="35" spans="1:5" ht="10.95" hidden="1" customHeight="1">
      <c r="A35" s="557" t="s">
        <v>1011</v>
      </c>
      <c r="B35" s="557" t="s">
        <v>977</v>
      </c>
      <c r="C35" s="558">
        <v>0</v>
      </c>
      <c r="D35" s="558">
        <v>1978</v>
      </c>
      <c r="E35" s="558">
        <v>1978</v>
      </c>
    </row>
    <row r="36" spans="1:5" ht="10.95" hidden="1" customHeight="1">
      <c r="A36" s="612" t="s">
        <v>886</v>
      </c>
      <c r="B36" s="624" t="s">
        <v>981</v>
      </c>
      <c r="C36" s="613">
        <v>1993</v>
      </c>
      <c r="D36" s="613">
        <v>1993</v>
      </c>
      <c r="E36" s="613">
        <v>0</v>
      </c>
    </row>
    <row r="37" spans="1:5" ht="10.95" customHeight="1">
      <c r="A37" s="557" t="s">
        <v>1012</v>
      </c>
      <c r="B37" s="557" t="s">
        <v>980</v>
      </c>
      <c r="C37" s="558">
        <v>0</v>
      </c>
      <c r="D37" s="558">
        <v>993</v>
      </c>
      <c r="E37" s="558">
        <v>993</v>
      </c>
    </row>
    <row r="38" spans="1:5" ht="10.95" customHeight="1">
      <c r="A38" s="557" t="s">
        <v>1013</v>
      </c>
      <c r="B38" s="557" t="s">
        <v>980</v>
      </c>
      <c r="C38" s="558">
        <v>0</v>
      </c>
      <c r="D38" s="558">
        <v>2000</v>
      </c>
      <c r="E38" s="558">
        <v>2000</v>
      </c>
    </row>
    <row r="39" spans="1:5" ht="10.95" customHeight="1">
      <c r="A39" s="557" t="s">
        <v>1014</v>
      </c>
      <c r="B39" s="557" t="s">
        <v>980</v>
      </c>
      <c r="C39" s="558">
        <v>0</v>
      </c>
      <c r="D39" s="558">
        <v>2000</v>
      </c>
      <c r="E39" s="558">
        <v>2000</v>
      </c>
    </row>
    <row r="40" spans="1:5" ht="10.95" customHeight="1">
      <c r="A40" s="557" t="s">
        <v>1015</v>
      </c>
      <c r="B40" s="557" t="s">
        <v>980</v>
      </c>
      <c r="C40" s="558">
        <v>0</v>
      </c>
      <c r="D40" s="558">
        <v>978</v>
      </c>
      <c r="E40" s="558">
        <v>978</v>
      </c>
    </row>
    <row r="41" spans="1:5" ht="10.95" customHeight="1">
      <c r="A41" s="557" t="s">
        <v>1016</v>
      </c>
      <c r="B41" s="557" t="s">
        <v>980</v>
      </c>
      <c r="C41" s="558">
        <v>0</v>
      </c>
      <c r="D41" s="558">
        <v>981</v>
      </c>
      <c r="E41" s="558">
        <v>981</v>
      </c>
    </row>
    <row r="42" spans="1:5" ht="10.95" customHeight="1">
      <c r="A42" s="557" t="s">
        <v>1017</v>
      </c>
      <c r="B42" s="557" t="s">
        <v>980</v>
      </c>
      <c r="C42" s="558">
        <v>0</v>
      </c>
      <c r="D42" s="558">
        <v>1000</v>
      </c>
      <c r="E42" s="558">
        <v>1000</v>
      </c>
    </row>
    <row r="43" spans="1:5" ht="10.95" customHeight="1">
      <c r="A43" s="557" t="s">
        <v>1018</v>
      </c>
      <c r="B43" s="557" t="s">
        <v>980</v>
      </c>
      <c r="C43" s="558">
        <v>0</v>
      </c>
      <c r="D43" s="558">
        <v>993</v>
      </c>
      <c r="E43" s="558">
        <v>993</v>
      </c>
    </row>
    <row r="44" spans="1:5" ht="10.95" customHeight="1">
      <c r="A44" s="557" t="s">
        <v>1019</v>
      </c>
      <c r="B44" s="557" t="s">
        <v>980</v>
      </c>
      <c r="C44" s="558">
        <v>0</v>
      </c>
      <c r="D44" s="558">
        <v>1000</v>
      </c>
      <c r="E44" s="558">
        <v>1000</v>
      </c>
    </row>
    <row r="45" spans="1:5" ht="10.95" hidden="1" customHeight="1">
      <c r="A45" s="557" t="s">
        <v>1020</v>
      </c>
      <c r="B45" s="557" t="s">
        <v>977</v>
      </c>
      <c r="C45" s="558">
        <v>0</v>
      </c>
      <c r="D45" s="558">
        <v>1978</v>
      </c>
      <c r="E45" s="558">
        <v>1978</v>
      </c>
    </row>
    <row r="46" spans="1:5" ht="10.95" customHeight="1">
      <c r="A46" s="557" t="s">
        <v>1021</v>
      </c>
      <c r="B46" s="557" t="s">
        <v>980</v>
      </c>
      <c r="C46" s="558">
        <v>0</v>
      </c>
      <c r="D46" s="558">
        <v>1000</v>
      </c>
      <c r="E46" s="558">
        <v>1000</v>
      </c>
    </row>
    <row r="47" spans="1:5" ht="10.95" customHeight="1">
      <c r="A47" s="557" t="s">
        <v>1022</v>
      </c>
      <c r="B47" s="557" t="s">
        <v>980</v>
      </c>
      <c r="C47" s="558">
        <v>0</v>
      </c>
      <c r="D47" s="558">
        <v>1000</v>
      </c>
      <c r="E47" s="558">
        <v>1000</v>
      </c>
    </row>
    <row r="49" spans="1:5" ht="10.95" customHeight="1">
      <c r="A49" s="1939" t="s">
        <v>164</v>
      </c>
      <c r="B49" s="1939"/>
      <c r="C49" s="1940">
        <f>SUM(C6:C47)</f>
        <v>4993</v>
      </c>
      <c r="D49" s="1940">
        <f>SUM(D6:D47)</f>
        <v>73868</v>
      </c>
      <c r="E49" s="1940">
        <f>SUM(E6:E47)</f>
        <v>68875</v>
      </c>
    </row>
  </sheetData>
  <autoFilter ref="A5:E47" xr:uid="{00000000-0001-0000-0000-000000000000}">
    <filterColumn colId="1">
      <filters>
        <filter val="En Proceso"/>
      </filters>
    </filterColumn>
  </autoFilter>
  <pageMargins left="0.7" right="0.7" top="0.75" bottom="0.75" header="0.3" footer="0.3"/>
  <pageSetup paperSize="9" fitToWidth="0" fitToHeight="0" orientation="portrait"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0BEE7-4FD1-411B-A5D7-DDA93F76FF1A}">
  <dimension ref="A1:G17"/>
  <sheetViews>
    <sheetView workbookViewId="0">
      <selection activeCell="G16" sqref="G16"/>
    </sheetView>
  </sheetViews>
  <sheetFormatPr baseColWidth="10" defaultColWidth="11.44140625" defaultRowHeight="14.4"/>
  <cols>
    <col min="1" max="1" width="35.109375" bestFit="1" customWidth="1"/>
    <col min="2" max="2" width="20.33203125" style="370" customWidth="1"/>
    <col min="3" max="3" width="21.44140625" style="370" hidden="1" customWidth="1"/>
    <col min="4" max="4" width="18.33203125" style="370" hidden="1" customWidth="1"/>
    <col min="5" max="5" width="16.5546875" style="370" hidden="1" customWidth="1"/>
    <col min="6" max="6" width="16.6640625" style="549" customWidth="1"/>
    <col min="7" max="7" width="15" style="370" bestFit="1" customWidth="1"/>
    <col min="8" max="8" width="14" bestFit="1" customWidth="1"/>
    <col min="9" max="9" width="14.6640625" bestFit="1" customWidth="1"/>
  </cols>
  <sheetData>
    <row r="1" spans="1:6" s="546" customFormat="1" ht="43.2">
      <c r="A1" s="523" t="s">
        <v>458</v>
      </c>
      <c r="B1" s="548" t="s">
        <v>788</v>
      </c>
      <c r="C1" s="548" t="s">
        <v>848</v>
      </c>
      <c r="D1" s="548" t="s">
        <v>885</v>
      </c>
      <c r="E1" s="548" t="s">
        <v>850</v>
      </c>
      <c r="F1" s="548" t="s">
        <v>851</v>
      </c>
    </row>
    <row r="2" spans="1:6">
      <c r="A2" t="s">
        <v>65</v>
      </c>
      <c r="B2" s="370">
        <v>103385169</v>
      </c>
      <c r="C2" s="370">
        <v>0</v>
      </c>
      <c r="D2" s="370">
        <v>103385169</v>
      </c>
      <c r="E2" s="370">
        <v>94172341.829999998</v>
      </c>
      <c r="F2" s="549">
        <v>94172341.829999998</v>
      </c>
    </row>
    <row r="3" spans="1:6">
      <c r="A3" t="s">
        <v>68</v>
      </c>
      <c r="B3" s="370">
        <v>20789999.999999996</v>
      </c>
      <c r="C3" s="370">
        <v>0</v>
      </c>
      <c r="D3" s="370">
        <v>20790000</v>
      </c>
      <c r="E3" s="583">
        <v>22145624.059999999</v>
      </c>
      <c r="F3" s="549">
        <v>21662335.649999999</v>
      </c>
    </row>
    <row r="4" spans="1:6">
      <c r="A4" t="s">
        <v>78</v>
      </c>
      <c r="B4" s="370">
        <v>451758999.99999994</v>
      </c>
      <c r="C4" s="370">
        <v>0</v>
      </c>
      <c r="D4" s="370">
        <v>451758999.99999994</v>
      </c>
      <c r="E4" s="370">
        <v>38631430.189999998</v>
      </c>
      <c r="F4" s="549">
        <v>9572516.7899999991</v>
      </c>
    </row>
    <row r="5" spans="1:6">
      <c r="A5" t="s">
        <v>90</v>
      </c>
      <c r="B5" s="370">
        <v>1265953920</v>
      </c>
      <c r="C5" s="370">
        <v>0</v>
      </c>
      <c r="D5" s="370">
        <v>1265953920</v>
      </c>
      <c r="F5" s="549">
        <v>0</v>
      </c>
    </row>
    <row r="6" spans="1:6">
      <c r="A6" t="s">
        <v>105</v>
      </c>
      <c r="B6" s="370">
        <v>171771292</v>
      </c>
      <c r="C6" s="370">
        <v>18198088</v>
      </c>
      <c r="D6" s="370">
        <v>189969380</v>
      </c>
      <c r="E6" s="370">
        <v>7134191.54</v>
      </c>
      <c r="F6" s="549">
        <v>6755468.5700000003</v>
      </c>
    </row>
    <row r="7" spans="1:6">
      <c r="A7" t="s">
        <v>108</v>
      </c>
      <c r="B7" s="370">
        <v>34354258</v>
      </c>
      <c r="C7" s="370">
        <v>3639618</v>
      </c>
      <c r="D7" s="370">
        <v>37993876</v>
      </c>
      <c r="F7" s="549">
        <v>0</v>
      </c>
    </row>
    <row r="8" spans="1:6">
      <c r="A8" t="s">
        <v>816</v>
      </c>
      <c r="B8" s="370">
        <v>0</v>
      </c>
      <c r="C8" s="370">
        <v>37993876</v>
      </c>
      <c r="D8" s="370">
        <v>37993876</v>
      </c>
      <c r="F8" s="549">
        <v>0</v>
      </c>
    </row>
    <row r="9" spans="1:6">
      <c r="A9" t="s">
        <v>112</v>
      </c>
      <c r="B9" s="370">
        <v>137417034</v>
      </c>
      <c r="C9" s="370">
        <v>14558470</v>
      </c>
      <c r="D9" s="370">
        <v>151975504</v>
      </c>
      <c r="E9" s="370">
        <v>1931175.97</v>
      </c>
      <c r="F9" s="370">
        <v>1931175.97</v>
      </c>
    </row>
    <row r="10" spans="1:6">
      <c r="A10" t="s">
        <v>115</v>
      </c>
      <c r="B10" s="370">
        <v>281704919</v>
      </c>
      <c r="C10" s="370">
        <v>26425415</v>
      </c>
      <c r="D10" s="370">
        <v>308130334</v>
      </c>
      <c r="E10" s="370">
        <v>3244295.75</v>
      </c>
      <c r="F10" s="370">
        <v>3244295.75</v>
      </c>
    </row>
    <row r="11" spans="1:6">
      <c r="A11" t="s">
        <v>119</v>
      </c>
      <c r="B11" s="370">
        <v>67334346</v>
      </c>
      <c r="C11" s="370">
        <v>8463436</v>
      </c>
      <c r="D11" s="370">
        <v>75797782</v>
      </c>
      <c r="E11" s="370">
        <v>541691.47</v>
      </c>
      <c r="F11" s="370">
        <v>541691.47</v>
      </c>
    </row>
    <row r="12" spans="1:6">
      <c r="A12" t="s">
        <v>122</v>
      </c>
      <c r="B12" s="370">
        <v>51531387.949999996</v>
      </c>
      <c r="C12" s="370">
        <v>5459426.0500000045</v>
      </c>
      <c r="D12" s="370">
        <v>56990814</v>
      </c>
      <c r="E12" s="370">
        <v>17369004.440000001</v>
      </c>
      <c r="F12" s="549">
        <v>15930765.59</v>
      </c>
    </row>
    <row r="13" spans="1:6">
      <c r="A13" t="s">
        <v>126</v>
      </c>
      <c r="B13" s="370">
        <v>19238385</v>
      </c>
      <c r="C13" s="370">
        <v>2418121</v>
      </c>
      <c r="D13" s="370">
        <v>21656506</v>
      </c>
      <c r="F13" s="549">
        <v>0</v>
      </c>
    </row>
    <row r="14" spans="1:6">
      <c r="A14" t="s">
        <v>193</v>
      </c>
      <c r="B14" s="370">
        <v>15000000</v>
      </c>
      <c r="C14" s="370">
        <v>15500000</v>
      </c>
      <c r="D14" s="370">
        <v>30500000</v>
      </c>
      <c r="E14" s="370">
        <v>17642705.52</v>
      </c>
      <c r="F14" s="549">
        <v>13396762.33</v>
      </c>
    </row>
    <row r="15" spans="1:6">
      <c r="A15" t="s">
        <v>133</v>
      </c>
      <c r="B15" s="370">
        <v>19238385</v>
      </c>
      <c r="C15" s="370">
        <v>2418124</v>
      </c>
      <c r="D15" s="370">
        <v>21656509</v>
      </c>
      <c r="F15" s="549">
        <v>0</v>
      </c>
    </row>
    <row r="16" spans="1:6">
      <c r="A16" t="s">
        <v>136</v>
      </c>
      <c r="B16" s="370">
        <v>192383847</v>
      </c>
      <c r="C16" s="370">
        <v>24181246</v>
      </c>
      <c r="D16" s="370">
        <v>216565093</v>
      </c>
      <c r="F16" s="549">
        <v>0</v>
      </c>
    </row>
    <row r="17" spans="2:6">
      <c r="B17" s="432">
        <f t="shared" ref="B17:F17" si="0">SUM(B2:B16)</f>
        <v>2831861942.9499998</v>
      </c>
      <c r="C17" s="432">
        <f t="shared" si="0"/>
        <v>159255820.05000001</v>
      </c>
      <c r="D17" s="432">
        <f t="shared" si="0"/>
        <v>2991117763</v>
      </c>
      <c r="E17" s="432">
        <f t="shared" si="0"/>
        <v>202812460.76999998</v>
      </c>
      <c r="F17" s="550">
        <f t="shared" si="0"/>
        <v>167207353.94999999</v>
      </c>
    </row>
  </sheetData>
  <autoFilter ref="A1:F1" xr:uid="{DCFAD519-5D8F-4964-9E95-1F3AB7E20DF4}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F4A4-4A01-41D3-9BF1-87FE815AA4E5}">
  <dimension ref="A1:G8"/>
  <sheetViews>
    <sheetView workbookViewId="0">
      <selection activeCell="F20" sqref="F20"/>
    </sheetView>
  </sheetViews>
  <sheetFormatPr baseColWidth="10" defaultColWidth="11.44140625" defaultRowHeight="14.4"/>
  <cols>
    <col min="1" max="1" width="44.6640625" bestFit="1" customWidth="1"/>
    <col min="2" max="2" width="11" bestFit="1" customWidth="1"/>
    <col min="3" max="3" width="12.6640625" style="370" bestFit="1" customWidth="1"/>
    <col min="4" max="4" width="14.5546875" style="370" customWidth="1"/>
    <col min="5" max="5" width="32.5546875" customWidth="1"/>
    <col min="6" max="6" width="32.109375" bestFit="1" customWidth="1"/>
    <col min="7" max="7" width="33.6640625" bestFit="1" customWidth="1"/>
  </cols>
  <sheetData>
    <row r="1" spans="1:7">
      <c r="A1" t="s">
        <v>707</v>
      </c>
      <c r="B1" t="s">
        <v>708</v>
      </c>
      <c r="C1" s="370" t="s">
        <v>164</v>
      </c>
      <c r="D1" s="370" t="s">
        <v>709</v>
      </c>
      <c r="E1" t="s">
        <v>817</v>
      </c>
      <c r="F1" t="s">
        <v>710</v>
      </c>
      <c r="G1" t="s">
        <v>852</v>
      </c>
    </row>
    <row r="2" spans="1:7">
      <c r="A2" t="s">
        <v>735</v>
      </c>
      <c r="B2" s="193">
        <v>45469</v>
      </c>
      <c r="C2" s="370">
        <v>38250</v>
      </c>
      <c r="D2" s="370">
        <v>38250</v>
      </c>
      <c r="E2" t="s">
        <v>821</v>
      </c>
      <c r="F2" t="s">
        <v>853</v>
      </c>
      <c r="G2" t="s">
        <v>853</v>
      </c>
    </row>
    <row r="3" spans="1:7">
      <c r="A3" t="s">
        <v>737</v>
      </c>
      <c r="B3" s="193">
        <v>45429</v>
      </c>
      <c r="C3" s="370">
        <v>40000</v>
      </c>
      <c r="D3" s="370">
        <v>40000</v>
      </c>
      <c r="E3" t="s">
        <v>738</v>
      </c>
      <c r="F3" t="s">
        <v>853</v>
      </c>
      <c r="G3" t="s">
        <v>853</v>
      </c>
    </row>
    <row r="4" spans="1:7">
      <c r="A4" t="s">
        <v>369</v>
      </c>
      <c r="B4" s="193">
        <v>45266</v>
      </c>
      <c r="C4" s="370">
        <v>273000</v>
      </c>
      <c r="D4" s="370">
        <v>273000</v>
      </c>
      <c r="E4" t="s">
        <v>911</v>
      </c>
      <c r="F4" t="s">
        <v>853</v>
      </c>
      <c r="G4" t="s">
        <v>853</v>
      </c>
    </row>
    <row r="5" spans="1:7">
      <c r="A5" t="s">
        <v>795</v>
      </c>
      <c r="B5" s="193">
        <v>45622</v>
      </c>
      <c r="C5" s="370">
        <v>352775.8</v>
      </c>
      <c r="D5" s="370">
        <v>352775.8</v>
      </c>
      <c r="E5" t="s">
        <v>912</v>
      </c>
      <c r="F5" t="s">
        <v>859</v>
      </c>
      <c r="G5" t="s">
        <v>860</v>
      </c>
    </row>
    <row r="6" spans="1:7">
      <c r="A6" t="s">
        <v>400</v>
      </c>
      <c r="B6" s="193">
        <v>45747</v>
      </c>
      <c r="C6" s="370">
        <v>10000</v>
      </c>
      <c r="D6" s="370">
        <v>10000</v>
      </c>
      <c r="E6" t="s">
        <v>913</v>
      </c>
      <c r="F6" t="s">
        <v>859</v>
      </c>
      <c r="G6" t="s">
        <v>860</v>
      </c>
    </row>
    <row r="7" spans="1:7">
      <c r="A7" t="s">
        <v>715</v>
      </c>
      <c r="B7" s="193">
        <v>45771</v>
      </c>
      <c r="C7" s="370">
        <v>3200000</v>
      </c>
      <c r="D7" s="370">
        <v>3200000</v>
      </c>
      <c r="E7" t="s">
        <v>1023</v>
      </c>
      <c r="F7" t="s">
        <v>1024</v>
      </c>
      <c r="G7" t="s">
        <v>1025</v>
      </c>
    </row>
    <row r="8" spans="1:7">
      <c r="D8" s="432">
        <f>SUM(D2:D7)</f>
        <v>3914025.8</v>
      </c>
    </row>
  </sheetData>
  <autoFilter ref="A1:G1" xr:uid="{8F833D8D-E3A2-49C0-BA28-FAE8897AAB0B}">
    <sortState xmlns:xlrd2="http://schemas.microsoft.com/office/spreadsheetml/2017/richdata2" ref="A2:G5">
      <sortCondition ref="G1"/>
    </sortState>
  </autoFilter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AEC18-1341-4500-8691-442E0F404B80}">
  <dimension ref="A1:F45"/>
  <sheetViews>
    <sheetView showGridLines="0" topLeftCell="A24" zoomScaleNormal="100" workbookViewId="0">
      <selection activeCell="F34" sqref="F34"/>
    </sheetView>
  </sheetViews>
  <sheetFormatPr baseColWidth="10" defaultColWidth="8" defaultRowHeight="11.4"/>
  <cols>
    <col min="1" max="1" width="37.6640625" style="555" customWidth="1"/>
    <col min="2" max="2" width="12.6640625" style="555" customWidth="1"/>
    <col min="3" max="3" width="11.5546875" style="555" customWidth="1"/>
    <col min="4" max="4" width="20.44140625" style="555" customWidth="1"/>
    <col min="5" max="5" width="11.44140625" style="555" customWidth="1"/>
    <col min="6" max="6" width="44.44140625" style="555" bestFit="1" customWidth="1"/>
    <col min="7" max="16384" width="8" style="555"/>
  </cols>
  <sheetData>
    <row r="1" spans="1:6" s="553" customFormat="1" ht="16.649999999999999" customHeight="1">
      <c r="A1" s="1932" t="s">
        <v>771</v>
      </c>
      <c r="B1" s="1932"/>
      <c r="C1" s="1932"/>
      <c r="D1" s="1932"/>
      <c r="E1" s="1932"/>
      <c r="F1" s="1932"/>
    </row>
    <row r="2" spans="1:6" s="554" customFormat="1" ht="14.4" customHeight="1">
      <c r="A2" s="1933" t="s">
        <v>236</v>
      </c>
      <c r="B2" s="1933"/>
      <c r="C2" s="1933"/>
      <c r="D2" s="1933"/>
      <c r="E2" s="1933"/>
      <c r="F2" s="1933"/>
    </row>
    <row r="3" spans="1:6" s="554" customFormat="1" ht="14.4" customHeight="1">
      <c r="A3" s="1933" t="s">
        <v>963</v>
      </c>
      <c r="B3" s="1933"/>
      <c r="C3" s="1933"/>
      <c r="D3" s="1933"/>
      <c r="E3" s="1933"/>
      <c r="F3" s="1933"/>
    </row>
    <row r="4" spans="1:6" s="554" customFormat="1" ht="14.4" customHeight="1">
      <c r="A4" s="1933" t="s">
        <v>724</v>
      </c>
      <c r="B4" s="1933"/>
      <c r="C4" s="1933"/>
      <c r="D4" s="1933"/>
      <c r="E4" s="1933"/>
      <c r="F4" s="1933"/>
    </row>
    <row r="5" spans="1:6" ht="13.35" customHeight="1"/>
    <row r="6" spans="1:6" s="556" customFormat="1" ht="12.15" customHeight="1">
      <c r="A6" s="1935" t="s">
        <v>690</v>
      </c>
      <c r="B6" s="1935" t="s">
        <v>689</v>
      </c>
      <c r="C6" s="1935" t="s">
        <v>823</v>
      </c>
      <c r="D6" s="1935" t="s">
        <v>773</v>
      </c>
      <c r="E6" s="620" t="s">
        <v>164</v>
      </c>
      <c r="F6" s="1935" t="s">
        <v>862</v>
      </c>
    </row>
    <row r="7" spans="1:6" ht="13.35" customHeight="1"/>
    <row r="12" spans="1:6" s="556" customFormat="1" ht="12.15" customHeight="1">
      <c r="A12" s="1934" t="s">
        <v>867</v>
      </c>
      <c r="B12" s="1934"/>
      <c r="C12" s="1934"/>
      <c r="D12" s="1934"/>
      <c r="E12" s="1934"/>
      <c r="F12" s="1934"/>
    </row>
    <row r="13" spans="1:6" ht="10.95" customHeight="1">
      <c r="A13" s="559" t="s">
        <v>715</v>
      </c>
      <c r="B13" s="584">
        <v>45771</v>
      </c>
      <c r="C13" s="584">
        <v>45801</v>
      </c>
      <c r="D13" s="559" t="s">
        <v>1026</v>
      </c>
      <c r="E13" s="560">
        <v>108350.26</v>
      </c>
      <c r="F13" s="559" t="s">
        <v>889</v>
      </c>
    </row>
    <row r="14" spans="1:6" ht="10.95" customHeight="1">
      <c r="A14" s="1937" t="s">
        <v>890</v>
      </c>
      <c r="B14" s="1937"/>
      <c r="C14" s="1937"/>
      <c r="D14" s="1937"/>
      <c r="E14" s="1938">
        <f>E13</f>
        <v>108350.26</v>
      </c>
      <c r="F14" s="1937"/>
    </row>
    <row r="15" spans="1:6" ht="13.35" customHeight="1"/>
    <row r="16" spans="1:6" s="556" customFormat="1" ht="12.15" customHeight="1">
      <c r="A16" s="1934" t="s">
        <v>1027</v>
      </c>
      <c r="B16" s="1934"/>
      <c r="C16" s="1934"/>
      <c r="D16" s="1934"/>
      <c r="E16" s="1934"/>
      <c r="F16" s="1934"/>
    </row>
    <row r="17" spans="1:6" ht="10.95" customHeight="1">
      <c r="A17" s="559" t="s">
        <v>1028</v>
      </c>
      <c r="B17" s="584">
        <v>45757</v>
      </c>
      <c r="C17" s="584">
        <v>45762</v>
      </c>
      <c r="D17" s="559" t="s">
        <v>1029</v>
      </c>
      <c r="E17" s="560">
        <v>44250</v>
      </c>
      <c r="F17" s="559" t="s">
        <v>1030</v>
      </c>
    </row>
    <row r="18" spans="1:6" ht="10.95" customHeight="1">
      <c r="A18" s="557" t="s">
        <v>1031</v>
      </c>
      <c r="B18" s="585">
        <v>45762</v>
      </c>
      <c r="C18" s="585">
        <v>45786</v>
      </c>
      <c r="D18" s="557" t="s">
        <v>1032</v>
      </c>
      <c r="E18" s="558">
        <v>87446.2</v>
      </c>
      <c r="F18" s="557" t="s">
        <v>1030</v>
      </c>
    </row>
    <row r="19" spans="1:6" ht="10.95" customHeight="1">
      <c r="A19" s="557" t="s">
        <v>1028</v>
      </c>
      <c r="B19" s="585">
        <v>45769</v>
      </c>
      <c r="C19" s="585">
        <v>45779</v>
      </c>
      <c r="D19" s="557" t="s">
        <v>1033</v>
      </c>
      <c r="E19" s="558">
        <v>70800</v>
      </c>
      <c r="F19" s="557" t="s">
        <v>1030</v>
      </c>
    </row>
    <row r="20" spans="1:6" ht="10.95" customHeight="1">
      <c r="A20" s="559" t="s">
        <v>715</v>
      </c>
      <c r="B20" s="584">
        <v>45771</v>
      </c>
      <c r="C20" s="584">
        <v>45801</v>
      </c>
      <c r="D20" s="559" t="s">
        <v>1026</v>
      </c>
      <c r="E20" s="560">
        <v>150937</v>
      </c>
      <c r="F20" s="557" t="s">
        <v>1030</v>
      </c>
    </row>
    <row r="21" spans="1:6" ht="10.95" customHeight="1">
      <c r="A21" s="1937" t="s">
        <v>1034</v>
      </c>
      <c r="B21" s="1937"/>
      <c r="C21" s="1937"/>
      <c r="D21" s="1937"/>
      <c r="E21" s="1938">
        <f>SUM(E17:E20)</f>
        <v>353433.2</v>
      </c>
      <c r="F21" s="1937"/>
    </row>
    <row r="22" spans="1:6" ht="13.35" customHeight="1"/>
    <row r="23" spans="1:6" s="556" customFormat="1" ht="12.15" customHeight="1">
      <c r="A23" s="1934" t="s">
        <v>878</v>
      </c>
      <c r="B23" s="1934"/>
      <c r="C23" s="1934"/>
      <c r="D23" s="1934"/>
      <c r="E23" s="1934"/>
      <c r="F23" s="1934"/>
    </row>
    <row r="24" spans="1:6" ht="10.95" customHeight="1">
      <c r="A24" s="559" t="s">
        <v>715</v>
      </c>
      <c r="B24" s="584">
        <v>45757</v>
      </c>
      <c r="C24" s="584">
        <v>45757</v>
      </c>
      <c r="D24" s="559" t="s">
        <v>1035</v>
      </c>
      <c r="E24" s="560">
        <v>2360000</v>
      </c>
      <c r="F24" s="559" t="s">
        <v>1036</v>
      </c>
    </row>
    <row r="25" spans="1:6" ht="10.95" customHeight="1">
      <c r="A25" s="559" t="s">
        <v>715</v>
      </c>
      <c r="B25" s="584">
        <v>45771</v>
      </c>
      <c r="C25" s="584">
        <v>45801</v>
      </c>
      <c r="D25" s="559" t="s">
        <v>1026</v>
      </c>
      <c r="E25" s="560">
        <v>95806.54</v>
      </c>
      <c r="F25" s="559" t="s">
        <v>1037</v>
      </c>
    </row>
    <row r="26" spans="1:6" ht="10.95" customHeight="1">
      <c r="A26" s="1937" t="s">
        <v>1038</v>
      </c>
      <c r="B26" s="1937"/>
      <c r="C26" s="1937"/>
      <c r="D26" s="1937"/>
      <c r="E26" s="1938">
        <f>SUM(E24:E25)</f>
        <v>2455806.54</v>
      </c>
      <c r="F26" s="1937"/>
    </row>
    <row r="27" spans="1:6" ht="13.35" customHeight="1"/>
    <row r="28" spans="1:6" s="556" customFormat="1" ht="12.15" customHeight="1">
      <c r="A28" s="1934" t="s">
        <v>864</v>
      </c>
      <c r="B28" s="1934"/>
      <c r="C28" s="1934"/>
      <c r="D28" s="1934"/>
      <c r="E28" s="1934"/>
      <c r="F28" s="1934"/>
    </row>
    <row r="29" spans="1:6" ht="10.95" customHeight="1">
      <c r="A29" s="559" t="s">
        <v>420</v>
      </c>
      <c r="B29" s="584">
        <v>45748</v>
      </c>
      <c r="C29" s="584">
        <v>45777</v>
      </c>
      <c r="D29" s="559" t="s">
        <v>1039</v>
      </c>
      <c r="E29" s="560">
        <v>163442</v>
      </c>
      <c r="F29" s="559" t="s">
        <v>892</v>
      </c>
    </row>
    <row r="30" spans="1:6" ht="10.95" customHeight="1">
      <c r="A30" s="557" t="s">
        <v>715</v>
      </c>
      <c r="B30" s="585">
        <v>45757</v>
      </c>
      <c r="C30" s="585">
        <v>45763</v>
      </c>
      <c r="D30" s="557" t="s">
        <v>1040</v>
      </c>
      <c r="E30" s="558">
        <v>167745.43</v>
      </c>
      <c r="F30" s="557" t="s">
        <v>1041</v>
      </c>
    </row>
    <row r="31" spans="1:6" ht="10.95" customHeight="1">
      <c r="A31" s="557" t="s">
        <v>937</v>
      </c>
      <c r="B31" s="585">
        <v>45761</v>
      </c>
      <c r="C31" s="585">
        <v>45761</v>
      </c>
      <c r="D31" s="557" t="s">
        <v>1042</v>
      </c>
      <c r="E31" s="558">
        <v>24657.53</v>
      </c>
      <c r="F31" s="557" t="s">
        <v>868</v>
      </c>
    </row>
    <row r="32" spans="1:6" ht="10.95" customHeight="1">
      <c r="A32" s="557" t="s">
        <v>1043</v>
      </c>
      <c r="B32" s="585">
        <v>45776</v>
      </c>
      <c r="C32" s="585">
        <v>45786</v>
      </c>
      <c r="D32" s="557" t="s">
        <v>1044</v>
      </c>
      <c r="E32" s="558">
        <v>13375.64</v>
      </c>
      <c r="F32" s="557" t="s">
        <v>876</v>
      </c>
    </row>
    <row r="33" spans="1:6" ht="10.95" customHeight="1">
      <c r="A33" s="557" t="s">
        <v>1045</v>
      </c>
      <c r="B33" s="585">
        <v>45777</v>
      </c>
      <c r="C33" s="585">
        <v>45777</v>
      </c>
      <c r="D33" s="557" t="s">
        <v>1046</v>
      </c>
      <c r="E33" s="558">
        <v>92323.199999999997</v>
      </c>
      <c r="F33" s="557" t="s">
        <v>876</v>
      </c>
    </row>
    <row r="34" spans="1:6" ht="10.95" customHeight="1">
      <c r="A34" s="557" t="s">
        <v>1047</v>
      </c>
      <c r="B34" s="585">
        <v>45733</v>
      </c>
      <c r="C34" s="585">
        <v>45733</v>
      </c>
      <c r="D34" s="557" t="s">
        <v>1048</v>
      </c>
      <c r="E34" s="558">
        <v>54744.74</v>
      </c>
      <c r="F34" s="559" t="s">
        <v>892</v>
      </c>
    </row>
    <row r="35" spans="1:6" ht="10.95" customHeight="1">
      <c r="A35" s="557" t="s">
        <v>1049</v>
      </c>
      <c r="B35" s="585">
        <v>45758</v>
      </c>
      <c r="C35" s="585">
        <v>45758</v>
      </c>
      <c r="D35" s="557" t="s">
        <v>1050</v>
      </c>
      <c r="E35" s="558">
        <v>23670.34</v>
      </c>
      <c r="F35" s="557" t="s">
        <v>868</v>
      </c>
    </row>
    <row r="36" spans="1:6" ht="10.95" customHeight="1">
      <c r="A36" s="557" t="s">
        <v>1047</v>
      </c>
      <c r="B36" s="585">
        <v>45771</v>
      </c>
      <c r="C36" s="585">
        <v>45771</v>
      </c>
      <c r="D36" s="557" t="s">
        <v>1051</v>
      </c>
      <c r="E36" s="558">
        <v>38026.46</v>
      </c>
      <c r="F36" s="559" t="s">
        <v>892</v>
      </c>
    </row>
    <row r="37" spans="1:6" ht="10.95" customHeight="1">
      <c r="A37" s="1937" t="s">
        <v>895</v>
      </c>
      <c r="B37" s="1937"/>
      <c r="C37" s="1937"/>
      <c r="D37" s="1937"/>
      <c r="E37" s="1938">
        <f>SUM(E29:E36)</f>
        <v>577985.34</v>
      </c>
      <c r="F37" s="1937"/>
    </row>
    <row r="38" spans="1:6" ht="10.95" customHeight="1">
      <c r="A38" s="1936"/>
      <c r="B38" s="1936"/>
      <c r="C38" s="1936"/>
      <c r="D38" s="1936"/>
      <c r="E38" s="1946"/>
      <c r="F38" s="1936"/>
    </row>
    <row r="39" spans="1:6" s="556" customFormat="1" ht="12.15" customHeight="1">
      <c r="A39" s="1934" t="s">
        <v>916</v>
      </c>
      <c r="B39" s="1934"/>
      <c r="C39" s="1934"/>
      <c r="D39" s="1934"/>
      <c r="E39" s="1934"/>
      <c r="F39" s="1934"/>
    </row>
    <row r="40" spans="1:6" ht="10.95" customHeight="1">
      <c r="A40" s="559" t="s">
        <v>715</v>
      </c>
      <c r="B40" s="584">
        <v>45771</v>
      </c>
      <c r="C40" s="584">
        <v>45801</v>
      </c>
      <c r="D40" s="559" t="s">
        <v>1026</v>
      </c>
      <c r="E40" s="560">
        <v>552632.57999999996</v>
      </c>
      <c r="F40" s="559" t="s">
        <v>860</v>
      </c>
    </row>
    <row r="41" spans="1:6" ht="10.95" customHeight="1">
      <c r="A41" s="1937" t="s">
        <v>920</v>
      </c>
      <c r="B41" s="1937"/>
      <c r="C41" s="1937"/>
      <c r="D41" s="1937"/>
      <c r="E41" s="1938">
        <f>E40</f>
        <v>552632.57999999996</v>
      </c>
      <c r="F41" s="1937"/>
    </row>
    <row r="42" spans="1:6" ht="13.35" customHeight="1"/>
    <row r="43" spans="1:6" ht="10.95" customHeight="1">
      <c r="A43" s="1939" t="s">
        <v>164</v>
      </c>
      <c r="B43" s="1939"/>
      <c r="C43" s="1939"/>
      <c r="D43" s="1939"/>
      <c r="E43" s="1940">
        <f>SUM(E41,E14,E21,E26,E37)</f>
        <v>4048207.92</v>
      </c>
      <c r="F43" s="1939"/>
    </row>
    <row r="44" spans="1:6" ht="13.35" customHeight="1"/>
    <row r="45" spans="1:6" ht="10.95" customHeight="1">
      <c r="A45" s="1939" t="s">
        <v>732</v>
      </c>
      <c r="B45" s="1939"/>
      <c r="C45" s="1939"/>
      <c r="D45" s="1939"/>
      <c r="E45" s="1947">
        <f>(SUM(E14,E21,E26,E37) / SUM(E14,E21,E26,E37))</f>
        <v>1</v>
      </c>
      <c r="F45" s="1939"/>
    </row>
  </sheetData>
  <pageMargins left="0.7" right="0.7" top="0.75" bottom="0.75" header="0.3" footer="0.3"/>
  <pageSetup paperSize="9" fitToWidth="0" fitToHeight="0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55EE8-B1AB-4CF0-B277-222BC7FB961D}">
  <dimension ref="A1:P71"/>
  <sheetViews>
    <sheetView topLeftCell="B1" zoomScale="110" zoomScaleNormal="110" workbookViewId="0">
      <pane ySplit="1" topLeftCell="A7" activePane="bottomLeft" state="frozen"/>
      <selection activeCell="C15" sqref="C15"/>
      <selection pane="bottomLeft" activeCell="C15" sqref="C15"/>
    </sheetView>
  </sheetViews>
  <sheetFormatPr baseColWidth="10" defaultColWidth="8.88671875" defaultRowHeight="12"/>
  <cols>
    <col min="1" max="1" width="15" style="590" hidden="1" customWidth="1"/>
    <col min="2" max="2" width="22.44140625" style="590" customWidth="1"/>
    <col min="3" max="3" width="26.6640625" style="590" customWidth="1"/>
    <col min="4" max="4" width="14.88671875" style="590" customWidth="1"/>
    <col min="5" max="5" width="32" style="590" customWidth="1"/>
    <col min="6" max="6" width="14.109375" style="592" hidden="1" customWidth="1"/>
    <col min="7" max="7" width="11.88671875" style="592" hidden="1" customWidth="1"/>
    <col min="8" max="8" width="13.33203125" style="591" hidden="1" customWidth="1"/>
    <col min="9" max="9" width="15.33203125" style="591" hidden="1" customWidth="1"/>
    <col min="10" max="10" width="14.44140625" style="591" hidden="1" customWidth="1"/>
    <col min="11" max="11" width="14.44140625" style="591" customWidth="1"/>
    <col min="12" max="12" width="13" style="591" customWidth="1"/>
    <col min="13" max="16" width="14.44140625" style="591" bestFit="1" customWidth="1"/>
    <col min="17" max="16384" width="8.88671875" style="590"/>
  </cols>
  <sheetData>
    <row r="1" spans="1:16" s="604" customFormat="1" ht="19.95" customHeight="1">
      <c r="A1" s="607" t="s">
        <v>1052</v>
      </c>
      <c r="B1" s="607" t="s">
        <v>1053</v>
      </c>
      <c r="C1" s="607" t="s">
        <v>1054</v>
      </c>
      <c r="D1" s="607" t="s">
        <v>1055</v>
      </c>
      <c r="E1" s="607" t="s">
        <v>1056</v>
      </c>
      <c r="F1" s="607" t="s">
        <v>1057</v>
      </c>
      <c r="G1" s="607" t="s">
        <v>1058</v>
      </c>
      <c r="H1" s="606" t="s">
        <v>1059</v>
      </c>
      <c r="I1" s="606" t="s">
        <v>1060</v>
      </c>
      <c r="J1" s="606" t="s">
        <v>1061</v>
      </c>
      <c r="K1" s="606" t="s">
        <v>1062</v>
      </c>
      <c r="L1" s="605">
        <v>45778</v>
      </c>
      <c r="M1" s="605">
        <v>45809</v>
      </c>
      <c r="N1" s="605">
        <v>45839</v>
      </c>
      <c r="O1" s="605">
        <v>45870</v>
      </c>
      <c r="P1" s="605">
        <v>45901</v>
      </c>
    </row>
    <row r="3" spans="1:16">
      <c r="A3" s="590" t="s">
        <v>490</v>
      </c>
      <c r="B3" s="590" t="s">
        <v>1063</v>
      </c>
      <c r="C3" s="590" t="s">
        <v>369</v>
      </c>
      <c r="D3" s="590" t="s">
        <v>367</v>
      </c>
      <c r="E3" s="590" t="s">
        <v>368</v>
      </c>
      <c r="F3" s="592">
        <v>278099.52</v>
      </c>
      <c r="H3" s="591">
        <v>278099.52</v>
      </c>
      <c r="I3" s="591">
        <v>0</v>
      </c>
      <c r="J3" s="591">
        <v>278099.52</v>
      </c>
      <c r="K3" s="591">
        <v>5099.5200000000004</v>
      </c>
      <c r="L3" s="591">
        <f>+K3</f>
        <v>5099.5200000000004</v>
      </c>
    </row>
    <row r="4" spans="1:16">
      <c r="A4" s="590" t="s">
        <v>493</v>
      </c>
      <c r="B4" s="590" t="s">
        <v>1064</v>
      </c>
      <c r="C4" s="590" t="s">
        <v>737</v>
      </c>
      <c r="D4" s="590" t="s">
        <v>738</v>
      </c>
      <c r="E4" s="590" t="s">
        <v>1065</v>
      </c>
      <c r="F4" s="592">
        <v>104888.89</v>
      </c>
      <c r="H4" s="591">
        <v>104888.89</v>
      </c>
      <c r="I4" s="591">
        <v>0</v>
      </c>
      <c r="J4" s="591">
        <v>104888.89</v>
      </c>
      <c r="K4" s="591">
        <v>64888.89</v>
      </c>
      <c r="M4" s="591">
        <f>+K4</f>
        <v>64888.89</v>
      </c>
    </row>
    <row r="5" spans="1:16">
      <c r="A5" s="590" t="s">
        <v>493</v>
      </c>
      <c r="B5" s="590" t="s">
        <v>1064</v>
      </c>
      <c r="C5" s="590" t="s">
        <v>715</v>
      </c>
      <c r="D5" s="590" t="s">
        <v>1066</v>
      </c>
      <c r="E5" s="590" t="s">
        <v>1067</v>
      </c>
      <c r="F5" s="592">
        <v>28350.26</v>
      </c>
      <c r="H5" s="591">
        <v>28350.26</v>
      </c>
      <c r="I5" s="591">
        <v>28350.26</v>
      </c>
      <c r="J5" s="591">
        <v>0</v>
      </c>
      <c r="K5" s="591">
        <v>28350.26</v>
      </c>
      <c r="L5" s="591">
        <f>+K5</f>
        <v>28350.26</v>
      </c>
    </row>
    <row r="6" spans="1:16">
      <c r="A6" s="590" t="s">
        <v>496</v>
      </c>
      <c r="B6" s="590" t="s">
        <v>1068</v>
      </c>
      <c r="C6" s="590" t="s">
        <v>715</v>
      </c>
      <c r="D6" s="590" t="s">
        <v>1066</v>
      </c>
      <c r="E6" s="590" t="s">
        <v>1067</v>
      </c>
      <c r="F6" s="592">
        <v>40000</v>
      </c>
      <c r="H6" s="591">
        <v>40000</v>
      </c>
      <c r="I6" s="591">
        <v>40000</v>
      </c>
      <c r="J6" s="591">
        <v>0</v>
      </c>
      <c r="K6" s="591">
        <v>40000</v>
      </c>
      <c r="L6" s="591">
        <f>+K6</f>
        <v>40000</v>
      </c>
    </row>
    <row r="7" spans="1:16">
      <c r="A7" s="590" t="s">
        <v>496</v>
      </c>
      <c r="B7" s="590" t="s">
        <v>1068</v>
      </c>
      <c r="C7" s="590" t="s">
        <v>735</v>
      </c>
      <c r="D7" s="590" t="s">
        <v>821</v>
      </c>
      <c r="E7" s="590" t="s">
        <v>1069</v>
      </c>
      <c r="F7" s="592">
        <v>100300</v>
      </c>
      <c r="H7" s="591">
        <v>100300</v>
      </c>
      <c r="I7" s="591">
        <v>0</v>
      </c>
      <c r="J7" s="591">
        <v>100300</v>
      </c>
      <c r="K7" s="591">
        <f>23800+38250</f>
        <v>62050</v>
      </c>
      <c r="M7" s="591">
        <f>+K7</f>
        <v>62050</v>
      </c>
    </row>
    <row r="8" spans="1:16">
      <c r="A8" s="590" t="s">
        <v>499</v>
      </c>
      <c r="B8" s="590" t="s">
        <v>1070</v>
      </c>
      <c r="C8" s="590" t="s">
        <v>715</v>
      </c>
      <c r="D8" s="590" t="s">
        <v>1066</v>
      </c>
      <c r="E8" s="590" t="s">
        <v>1067</v>
      </c>
      <c r="F8" s="592">
        <v>40000</v>
      </c>
      <c r="H8" s="591">
        <v>40000</v>
      </c>
      <c r="I8" s="591">
        <v>40000</v>
      </c>
      <c r="J8" s="591">
        <v>0</v>
      </c>
      <c r="K8" s="591">
        <v>40000</v>
      </c>
      <c r="L8" s="591">
        <f>+K8</f>
        <v>40000</v>
      </c>
    </row>
    <row r="9" spans="1:16">
      <c r="D9" s="600"/>
      <c r="E9" s="600"/>
      <c r="F9" s="599">
        <f t="shared" ref="F9:P9" si="0">SUM(F3:F8)</f>
        <v>591638.67000000004</v>
      </c>
      <c r="G9" s="599">
        <f t="shared" si="0"/>
        <v>0</v>
      </c>
      <c r="H9" s="598">
        <f t="shared" si="0"/>
        <v>591638.67000000004</v>
      </c>
      <c r="I9" s="598">
        <f t="shared" si="0"/>
        <v>108350.26</v>
      </c>
      <c r="J9" s="598">
        <f t="shared" si="0"/>
        <v>483288.41000000003</v>
      </c>
      <c r="K9" s="598">
        <f t="shared" si="0"/>
        <v>240388.66999999998</v>
      </c>
      <c r="L9" s="598">
        <f t="shared" si="0"/>
        <v>113449.78</v>
      </c>
      <c r="M9" s="598">
        <f t="shared" si="0"/>
        <v>126938.89</v>
      </c>
      <c r="N9" s="598">
        <f t="shared" si="0"/>
        <v>0</v>
      </c>
      <c r="O9" s="598">
        <f t="shared" si="0"/>
        <v>0</v>
      </c>
      <c r="P9" s="598">
        <f t="shared" si="0"/>
        <v>0</v>
      </c>
    </row>
    <row r="11" spans="1:16">
      <c r="A11" s="590" t="s">
        <v>1071</v>
      </c>
      <c r="B11" s="590" t="s">
        <v>1072</v>
      </c>
      <c r="C11" s="590" t="s">
        <v>1028</v>
      </c>
      <c r="D11" s="590" t="s">
        <v>1073</v>
      </c>
      <c r="E11" s="590" t="s">
        <v>1074</v>
      </c>
      <c r="F11" s="592">
        <v>70800</v>
      </c>
      <c r="H11" s="591">
        <v>70800</v>
      </c>
      <c r="I11" s="591">
        <v>70800</v>
      </c>
      <c r="J11" s="591">
        <v>0</v>
      </c>
      <c r="K11" s="591">
        <v>70800</v>
      </c>
      <c r="L11" s="591">
        <f>+K11*0.6</f>
        <v>42480</v>
      </c>
      <c r="M11" s="591">
        <f>+K11-L11</f>
        <v>28320</v>
      </c>
    </row>
    <row r="12" spans="1:16">
      <c r="A12" s="590" t="s">
        <v>1071</v>
      </c>
      <c r="B12" s="590" t="s">
        <v>1072</v>
      </c>
      <c r="C12" s="590" t="s">
        <v>1031</v>
      </c>
      <c r="D12" s="590" t="s">
        <v>1075</v>
      </c>
      <c r="E12" s="590" t="s">
        <v>1076</v>
      </c>
      <c r="F12" s="592">
        <v>27446.2</v>
      </c>
      <c r="H12" s="591">
        <v>27446.2</v>
      </c>
      <c r="I12" s="591">
        <v>27446.2</v>
      </c>
      <c r="J12" s="591">
        <v>0</v>
      </c>
      <c r="K12" s="591">
        <v>27446.2</v>
      </c>
      <c r="L12" s="591">
        <f>+K12</f>
        <v>27446.2</v>
      </c>
    </row>
    <row r="13" spans="1:16">
      <c r="A13" s="590" t="s">
        <v>1071</v>
      </c>
      <c r="B13" s="590" t="s">
        <v>1072</v>
      </c>
      <c r="C13" s="590" t="s">
        <v>1028</v>
      </c>
      <c r="D13" s="590" t="s">
        <v>1077</v>
      </c>
      <c r="E13" s="590" t="s">
        <v>1078</v>
      </c>
      <c r="F13" s="592">
        <v>44250</v>
      </c>
      <c r="H13" s="591">
        <v>44250</v>
      </c>
      <c r="I13" s="591">
        <v>44250</v>
      </c>
      <c r="J13" s="591">
        <v>0</v>
      </c>
      <c r="K13" s="591">
        <v>44250</v>
      </c>
      <c r="L13" s="591">
        <f>+K13</f>
        <v>44250</v>
      </c>
    </row>
    <row r="14" spans="1:16">
      <c r="A14" s="590" t="s">
        <v>508</v>
      </c>
      <c r="B14" s="590" t="s">
        <v>1079</v>
      </c>
      <c r="C14" s="590" t="s">
        <v>715</v>
      </c>
      <c r="D14" s="590" t="s">
        <v>1066</v>
      </c>
      <c r="E14" s="590" t="s">
        <v>1067</v>
      </c>
      <c r="F14" s="592">
        <v>150937</v>
      </c>
      <c r="H14" s="591">
        <v>150937</v>
      </c>
      <c r="I14" s="591">
        <v>150937</v>
      </c>
      <c r="J14" s="591">
        <v>0</v>
      </c>
      <c r="K14" s="591">
        <v>150937</v>
      </c>
      <c r="L14" s="591">
        <f>+K14</f>
        <v>150937</v>
      </c>
    </row>
    <row r="15" spans="1:16">
      <c r="A15" s="590" t="s">
        <v>508</v>
      </c>
      <c r="B15" s="590" t="s">
        <v>1079</v>
      </c>
      <c r="C15" s="590" t="s">
        <v>1031</v>
      </c>
      <c r="D15" s="590" t="s">
        <v>1075</v>
      </c>
      <c r="E15" s="590" t="s">
        <v>1076</v>
      </c>
      <c r="F15" s="592">
        <v>60000</v>
      </c>
      <c r="H15" s="591">
        <v>60000</v>
      </c>
      <c r="I15" s="591">
        <v>60000</v>
      </c>
      <c r="J15" s="591">
        <v>0</v>
      </c>
      <c r="K15" s="591">
        <v>60000</v>
      </c>
      <c r="L15" s="591">
        <f>+K15</f>
        <v>60000</v>
      </c>
    </row>
    <row r="16" spans="1:16">
      <c r="A16" s="590" t="s">
        <v>508</v>
      </c>
      <c r="B16" s="590" t="s">
        <v>1079</v>
      </c>
      <c r="C16" s="590" t="s">
        <v>715</v>
      </c>
      <c r="D16" s="590" t="s">
        <v>1080</v>
      </c>
      <c r="E16" s="590" t="s">
        <v>1081</v>
      </c>
      <c r="F16" s="592">
        <v>3209516.66</v>
      </c>
      <c r="H16" s="591">
        <v>3209516.66</v>
      </c>
      <c r="I16" s="591">
        <v>0</v>
      </c>
      <c r="J16" s="591">
        <v>3209516.66</v>
      </c>
      <c r="K16" s="591">
        <v>9516.66</v>
      </c>
      <c r="M16" s="591">
        <f>+K16</f>
        <v>9516.66</v>
      </c>
    </row>
    <row r="17" spans="1:16">
      <c r="A17" s="590" t="s">
        <v>1082</v>
      </c>
      <c r="B17" s="590" t="s">
        <v>1083</v>
      </c>
      <c r="C17" s="590" t="s">
        <v>1084</v>
      </c>
      <c r="D17" s="609" t="s">
        <v>1085</v>
      </c>
      <c r="E17" s="590" t="s">
        <v>1086</v>
      </c>
      <c r="F17" s="592">
        <v>951768.56</v>
      </c>
      <c r="H17" s="591">
        <v>951768.56</v>
      </c>
      <c r="I17" s="591">
        <v>0</v>
      </c>
      <c r="J17" s="591">
        <v>951768.56</v>
      </c>
      <c r="K17" s="591">
        <v>951768.56</v>
      </c>
      <c r="L17" s="591">
        <f>+K17*0.25</f>
        <v>237942.14</v>
      </c>
      <c r="M17" s="591">
        <v>237942.14</v>
      </c>
      <c r="N17" s="591">
        <v>237942.14</v>
      </c>
      <c r="O17" s="591">
        <v>237942.14</v>
      </c>
    </row>
    <row r="18" spans="1:16">
      <c r="A18" s="590" t="s">
        <v>1087</v>
      </c>
      <c r="B18" s="590" t="s">
        <v>1088</v>
      </c>
      <c r="C18" s="590" t="s">
        <v>1084</v>
      </c>
      <c r="D18" s="609" t="s">
        <v>1085</v>
      </c>
      <c r="E18" s="590" t="s">
        <v>1086</v>
      </c>
      <c r="F18" s="592">
        <v>444662.4</v>
      </c>
      <c r="H18" s="591">
        <v>444662.4</v>
      </c>
      <c r="I18" s="591">
        <v>0</v>
      </c>
      <c r="J18" s="591">
        <v>444662.4</v>
      </c>
      <c r="K18" s="591">
        <v>444662.4</v>
      </c>
      <c r="L18" s="591">
        <f>+K18*0.25</f>
        <v>111165.6</v>
      </c>
      <c r="M18" s="591">
        <v>111165.6</v>
      </c>
      <c r="N18" s="591">
        <v>111165.6</v>
      </c>
      <c r="O18" s="591">
        <v>111165.6</v>
      </c>
    </row>
    <row r="19" spans="1:16">
      <c r="A19" s="590" t="s">
        <v>1089</v>
      </c>
      <c r="B19" s="590" t="s">
        <v>1090</v>
      </c>
      <c r="C19" s="590" t="s">
        <v>1084</v>
      </c>
      <c r="D19" s="609" t="s">
        <v>1085</v>
      </c>
      <c r="E19" s="590" t="s">
        <v>1086</v>
      </c>
      <c r="F19" s="592">
        <v>203600</v>
      </c>
      <c r="H19" s="591">
        <v>203600</v>
      </c>
      <c r="I19" s="591">
        <v>0</v>
      </c>
      <c r="J19" s="591">
        <v>203600</v>
      </c>
      <c r="K19" s="591">
        <v>203600</v>
      </c>
      <c r="L19" s="591">
        <f>+K19*0.25</f>
        <v>50900</v>
      </c>
      <c r="M19" s="591">
        <v>50900</v>
      </c>
      <c r="N19" s="591">
        <v>50900</v>
      </c>
      <c r="O19" s="591">
        <v>50900</v>
      </c>
    </row>
    <row r="20" spans="1:16">
      <c r="A20" s="590" t="s">
        <v>1091</v>
      </c>
      <c r="B20" s="590" t="s">
        <v>1092</v>
      </c>
      <c r="C20" s="590" t="s">
        <v>1084</v>
      </c>
      <c r="D20" s="609" t="s">
        <v>1085</v>
      </c>
      <c r="E20" s="590" t="s">
        <v>1086</v>
      </c>
      <c r="F20" s="592">
        <v>351210</v>
      </c>
      <c r="H20" s="591">
        <v>351210</v>
      </c>
      <c r="I20" s="591">
        <v>0</v>
      </c>
      <c r="J20" s="591">
        <v>351210</v>
      </c>
      <c r="K20" s="591">
        <v>351210</v>
      </c>
      <c r="L20" s="591">
        <f>+K20*0.25</f>
        <v>87802.5</v>
      </c>
      <c r="M20" s="591">
        <v>87802.5</v>
      </c>
      <c r="N20" s="591">
        <v>87802.5</v>
      </c>
      <c r="O20" s="591">
        <v>87802.5</v>
      </c>
    </row>
    <row r="21" spans="1:16">
      <c r="A21" s="590" t="s">
        <v>1093</v>
      </c>
      <c r="B21" s="590" t="s">
        <v>1094</v>
      </c>
      <c r="C21" s="590" t="s">
        <v>1084</v>
      </c>
      <c r="D21" s="609" t="s">
        <v>1085</v>
      </c>
      <c r="E21" s="590" t="s">
        <v>1086</v>
      </c>
      <c r="F21" s="592">
        <v>514866.37</v>
      </c>
      <c r="H21" s="591">
        <v>514866.37</v>
      </c>
      <c r="I21" s="591">
        <v>0</v>
      </c>
      <c r="J21" s="591">
        <v>514866.37</v>
      </c>
      <c r="K21" s="591">
        <v>514866.37</v>
      </c>
      <c r="L21" s="591">
        <f>+K21*0.25</f>
        <v>128716.5925</v>
      </c>
      <c r="M21" s="591">
        <v>128716.5925</v>
      </c>
      <c r="N21" s="591">
        <v>128716.5925</v>
      </c>
      <c r="O21" s="591">
        <v>128716.5925</v>
      </c>
    </row>
    <row r="22" spans="1:16">
      <c r="A22" s="590" t="s">
        <v>1095</v>
      </c>
      <c r="B22" s="590" t="s">
        <v>1096</v>
      </c>
      <c r="C22" s="590" t="s">
        <v>715</v>
      </c>
      <c r="D22" s="590" t="s">
        <v>1097</v>
      </c>
      <c r="E22" s="590" t="s">
        <v>1098</v>
      </c>
      <c r="F22" s="592">
        <v>213877.56</v>
      </c>
      <c r="H22" s="591">
        <v>213877.56</v>
      </c>
      <c r="I22" s="591">
        <v>0</v>
      </c>
      <c r="J22" s="591">
        <v>213877.56</v>
      </c>
      <c r="K22" s="591">
        <v>213877.56</v>
      </c>
      <c r="L22" s="591">
        <f>+K22/5</f>
        <v>42775.512000000002</v>
      </c>
      <c r="M22" s="591">
        <v>42775.512000000002</v>
      </c>
      <c r="N22" s="591">
        <v>42775.512000000002</v>
      </c>
      <c r="O22" s="591">
        <v>42775.512000000002</v>
      </c>
      <c r="P22" s="591">
        <v>42775.512000000002</v>
      </c>
    </row>
    <row r="23" spans="1:16">
      <c r="A23" s="590" t="s">
        <v>1095</v>
      </c>
      <c r="B23" s="590" t="s">
        <v>1096</v>
      </c>
      <c r="C23" s="590" t="s">
        <v>1084</v>
      </c>
      <c r="D23" s="609" t="s">
        <v>1085</v>
      </c>
      <c r="E23" s="590" t="s">
        <v>1086</v>
      </c>
      <c r="F23" s="592">
        <v>6833116.3899999997</v>
      </c>
      <c r="H23" s="591">
        <v>6833116.3899999997</v>
      </c>
      <c r="I23" s="591">
        <v>0</v>
      </c>
      <c r="J23" s="591">
        <v>6833116.3899999997</v>
      </c>
      <c r="K23" s="591">
        <v>6833116.3899999997</v>
      </c>
      <c r="L23" s="591">
        <f>+K23*0.25</f>
        <v>1708279.0974999999</v>
      </c>
      <c r="M23" s="591">
        <v>1708279.0974999999</v>
      </c>
      <c r="N23" s="591">
        <v>1708279.0974999999</v>
      </c>
      <c r="O23" s="591">
        <v>1708279.0974999999</v>
      </c>
    </row>
    <row r="24" spans="1:16">
      <c r="A24" s="590" t="s">
        <v>1099</v>
      </c>
      <c r="B24" s="590" t="s">
        <v>1100</v>
      </c>
      <c r="C24" s="590" t="s">
        <v>1084</v>
      </c>
      <c r="D24" s="609" t="s">
        <v>1085</v>
      </c>
      <c r="E24" s="590" t="s">
        <v>1086</v>
      </c>
      <c r="F24" s="592">
        <v>3124967.33</v>
      </c>
      <c r="H24" s="591">
        <v>3124967.33</v>
      </c>
      <c r="I24" s="591">
        <v>0</v>
      </c>
      <c r="J24" s="591">
        <v>3124967.33</v>
      </c>
      <c r="K24" s="591">
        <v>3124967.33</v>
      </c>
      <c r="L24" s="591">
        <f>+K24*0.25</f>
        <v>781241.83250000002</v>
      </c>
      <c r="M24" s="591">
        <v>781241.83250000002</v>
      </c>
      <c r="N24" s="591">
        <v>781241.83250000002</v>
      </c>
      <c r="O24" s="591">
        <v>781241.83250000002</v>
      </c>
    </row>
    <row r="25" spans="1:16">
      <c r="A25" s="590" t="s">
        <v>1101</v>
      </c>
      <c r="B25" s="590" t="s">
        <v>1102</v>
      </c>
      <c r="C25" s="590" t="s">
        <v>1084</v>
      </c>
      <c r="D25" s="609" t="s">
        <v>1085</v>
      </c>
      <c r="E25" s="590" t="s">
        <v>1086</v>
      </c>
      <c r="F25" s="592">
        <v>493941.74</v>
      </c>
      <c r="H25" s="591">
        <v>493941.74</v>
      </c>
      <c r="I25" s="591">
        <v>0</v>
      </c>
      <c r="J25" s="591">
        <v>493941.74</v>
      </c>
      <c r="K25" s="591">
        <v>493941.74</v>
      </c>
      <c r="L25" s="591">
        <f>+K25*0.25</f>
        <v>123485.435</v>
      </c>
      <c r="M25" s="591">
        <v>123485.435</v>
      </c>
      <c r="N25" s="591">
        <v>123485.435</v>
      </c>
      <c r="O25" s="591">
        <v>123485.435</v>
      </c>
    </row>
    <row r="26" spans="1:16">
      <c r="A26" s="590" t="s">
        <v>1103</v>
      </c>
      <c r="B26" s="590" t="s">
        <v>1104</v>
      </c>
      <c r="C26" s="590" t="s">
        <v>1084</v>
      </c>
      <c r="D26" s="609" t="s">
        <v>1085</v>
      </c>
      <c r="E26" s="590" t="s">
        <v>1086</v>
      </c>
      <c r="F26" s="592">
        <v>6161283.1699999999</v>
      </c>
      <c r="H26" s="591">
        <v>6161283.1699999999</v>
      </c>
      <c r="I26" s="591">
        <v>0</v>
      </c>
      <c r="J26" s="591">
        <v>6161283.1699999999</v>
      </c>
      <c r="K26" s="591">
        <v>6161283.1699999999</v>
      </c>
      <c r="L26" s="591">
        <f>+K26*0.25</f>
        <v>1540320.7925</v>
      </c>
      <c r="M26" s="591">
        <v>1540320.7925</v>
      </c>
      <c r="N26" s="591">
        <v>1540320.7925</v>
      </c>
      <c r="O26" s="591">
        <v>1540320.7925</v>
      </c>
    </row>
    <row r="27" spans="1:16">
      <c r="A27" s="590" t="s">
        <v>1105</v>
      </c>
      <c r="B27" s="590" t="s">
        <v>1106</v>
      </c>
      <c r="C27" s="590" t="s">
        <v>715</v>
      </c>
      <c r="D27" s="590" t="s">
        <v>1097</v>
      </c>
      <c r="E27" s="590" t="s">
        <v>1098</v>
      </c>
      <c r="F27" s="592">
        <v>163265.32</v>
      </c>
      <c r="H27" s="591">
        <v>163265.32</v>
      </c>
      <c r="I27" s="591">
        <v>0</v>
      </c>
      <c r="J27" s="591">
        <v>163265.32</v>
      </c>
      <c r="K27" s="591">
        <v>163265.32</v>
      </c>
      <c r="L27" s="591">
        <f>+K27/5</f>
        <v>32653.064000000002</v>
      </c>
      <c r="M27" s="591">
        <v>32653.064000000002</v>
      </c>
      <c r="N27" s="591">
        <v>32653.064000000002</v>
      </c>
      <c r="O27" s="591">
        <v>32653.064000000002</v>
      </c>
      <c r="P27" s="591">
        <v>32653.064000000002</v>
      </c>
    </row>
    <row r="28" spans="1:16">
      <c r="A28" s="590" t="s">
        <v>1105</v>
      </c>
      <c r="B28" s="590" t="s">
        <v>1106</v>
      </c>
      <c r="C28" s="590" t="s">
        <v>1084</v>
      </c>
      <c r="D28" s="609" t="s">
        <v>1085</v>
      </c>
      <c r="E28" s="590" t="s">
        <v>1086</v>
      </c>
      <c r="F28" s="592">
        <v>2180866.9500000002</v>
      </c>
      <c r="H28" s="591">
        <v>2180866.9500000002</v>
      </c>
      <c r="I28" s="591">
        <v>0</v>
      </c>
      <c r="J28" s="591">
        <v>2180866.9500000002</v>
      </c>
      <c r="K28" s="591">
        <v>2180866.9500000002</v>
      </c>
      <c r="L28" s="591">
        <f>+K28*0.25</f>
        <v>545216.73750000005</v>
      </c>
      <c r="M28" s="591">
        <v>545216.73750000005</v>
      </c>
      <c r="N28" s="591">
        <v>545216.73750000005</v>
      </c>
      <c r="O28" s="591">
        <v>545216.73750000005</v>
      </c>
    </row>
    <row r="29" spans="1:16">
      <c r="A29" s="590" t="s">
        <v>1107</v>
      </c>
      <c r="B29" s="590" t="s">
        <v>1108</v>
      </c>
      <c r="C29" s="590" t="s">
        <v>1084</v>
      </c>
      <c r="D29" s="609" t="s">
        <v>1085</v>
      </c>
      <c r="E29" s="590" t="s">
        <v>1086</v>
      </c>
      <c r="F29" s="592">
        <v>3224732.02</v>
      </c>
      <c r="H29" s="591">
        <v>3224732.02</v>
      </c>
      <c r="I29" s="591">
        <v>0</v>
      </c>
      <c r="J29" s="591">
        <v>3224732.02</v>
      </c>
      <c r="K29" s="591">
        <v>3224732.02</v>
      </c>
      <c r="L29" s="591">
        <f>+K29*0.25</f>
        <v>806183.005</v>
      </c>
      <c r="M29" s="591">
        <v>806183.005</v>
      </c>
      <c r="N29" s="591">
        <v>806183.005</v>
      </c>
      <c r="O29" s="591">
        <v>806183.005</v>
      </c>
    </row>
    <row r="30" spans="1:16">
      <c r="A30" s="590" t="s">
        <v>1109</v>
      </c>
      <c r="B30" s="590" t="s">
        <v>1110</v>
      </c>
      <c r="C30" s="590" t="s">
        <v>1111</v>
      </c>
      <c r="D30" s="590" t="s">
        <v>1112</v>
      </c>
      <c r="E30" s="590" t="s">
        <v>1113</v>
      </c>
      <c r="F30" s="592">
        <v>879749.12</v>
      </c>
      <c r="H30" s="591">
        <v>879749.12</v>
      </c>
      <c r="I30" s="591">
        <v>0</v>
      </c>
      <c r="J30" s="591">
        <v>879749.12</v>
      </c>
      <c r="K30" s="591">
        <v>879749.12</v>
      </c>
      <c r="L30" s="591">
        <f>+K30*0.6</f>
        <v>527849.47199999995</v>
      </c>
      <c r="M30" s="591">
        <f>+K30*0.4</f>
        <v>351899.64800000004</v>
      </c>
    </row>
    <row r="31" spans="1:16">
      <c r="A31" s="590" t="s">
        <v>1114</v>
      </c>
      <c r="B31" s="590" t="s">
        <v>1115</v>
      </c>
      <c r="C31" s="590" t="s">
        <v>1116</v>
      </c>
      <c r="D31" s="590" t="s">
        <v>1117</v>
      </c>
      <c r="E31" s="590" t="s">
        <v>1118</v>
      </c>
      <c r="F31" s="592">
        <v>102320</v>
      </c>
      <c r="H31" s="591">
        <v>102320</v>
      </c>
      <c r="I31" s="591">
        <v>0</v>
      </c>
      <c r="J31" s="591">
        <v>102320</v>
      </c>
      <c r="K31" s="591">
        <v>102320</v>
      </c>
      <c r="M31" s="591">
        <f>+K31</f>
        <v>102320</v>
      </c>
    </row>
    <row r="32" spans="1:16">
      <c r="A32" s="590" t="s">
        <v>1114</v>
      </c>
      <c r="B32" s="590" t="s">
        <v>1115</v>
      </c>
      <c r="C32" s="590" t="s">
        <v>1116</v>
      </c>
      <c r="D32" s="590" t="s">
        <v>1119</v>
      </c>
      <c r="E32" s="590" t="s">
        <v>1120</v>
      </c>
      <c r="F32" s="592">
        <v>5169.8100000000004</v>
      </c>
      <c r="H32" s="591">
        <v>5169.8100000000004</v>
      </c>
      <c r="I32" s="591">
        <v>5169.8100000000004</v>
      </c>
      <c r="J32" s="591">
        <v>0</v>
      </c>
      <c r="K32" s="591">
        <v>5169.8100000000004</v>
      </c>
      <c r="M32" s="591">
        <f>+K32</f>
        <v>5169.8100000000004</v>
      </c>
    </row>
    <row r="33" spans="1:16">
      <c r="D33" s="600"/>
      <c r="E33" s="600"/>
      <c r="F33" s="599">
        <f t="shared" ref="F33:P33" si="1">SUM(F11:F32)</f>
        <v>29412346.600000001</v>
      </c>
      <c r="G33" s="599">
        <f t="shared" si="1"/>
        <v>0</v>
      </c>
      <c r="H33" s="598">
        <f t="shared" si="1"/>
        <v>29412346.600000001</v>
      </c>
      <c r="I33" s="598">
        <f t="shared" si="1"/>
        <v>358603.01</v>
      </c>
      <c r="J33" s="598">
        <f t="shared" si="1"/>
        <v>29053743.59</v>
      </c>
      <c r="K33" s="598">
        <f t="shared" si="1"/>
        <v>26212346.600000001</v>
      </c>
      <c r="L33" s="598">
        <f t="shared" si="1"/>
        <v>7049644.9804999996</v>
      </c>
      <c r="M33" s="598">
        <f t="shared" si="1"/>
        <v>6693908.4265000001</v>
      </c>
      <c r="N33" s="598">
        <f t="shared" si="1"/>
        <v>6196682.3085000003</v>
      </c>
      <c r="O33" s="598">
        <f t="shared" si="1"/>
        <v>6196682.3085000003</v>
      </c>
      <c r="P33" s="598">
        <f t="shared" si="1"/>
        <v>75428.576000000001</v>
      </c>
    </row>
    <row r="34" spans="1:16">
      <c r="F34" s="602"/>
      <c r="G34" s="602"/>
      <c r="H34" s="601"/>
      <c r="I34" s="601"/>
      <c r="J34" s="601"/>
      <c r="K34" s="601"/>
    </row>
    <row r="35" spans="1:16">
      <c r="A35" s="590" t="s">
        <v>595</v>
      </c>
      <c r="B35" s="590" t="s">
        <v>1121</v>
      </c>
      <c r="C35" s="590" t="s">
        <v>715</v>
      </c>
      <c r="D35" s="590" t="s">
        <v>1066</v>
      </c>
      <c r="E35" s="590" t="s">
        <v>1067</v>
      </c>
      <c r="F35" s="592">
        <v>95806.54</v>
      </c>
      <c r="H35" s="591">
        <v>95806.54</v>
      </c>
      <c r="I35" s="591">
        <v>95806.54</v>
      </c>
      <c r="J35" s="591">
        <v>0</v>
      </c>
      <c r="K35" s="591">
        <v>95806.54</v>
      </c>
      <c r="L35" s="591">
        <f>+K35</f>
        <v>95806.54</v>
      </c>
    </row>
    <row r="36" spans="1:16">
      <c r="A36" s="590" t="s">
        <v>595</v>
      </c>
      <c r="B36" s="590" t="s">
        <v>1121</v>
      </c>
      <c r="C36" s="590" t="s">
        <v>715</v>
      </c>
      <c r="D36" s="590" t="s">
        <v>1080</v>
      </c>
      <c r="E36" s="590" t="s">
        <v>1081</v>
      </c>
      <c r="F36" s="592">
        <v>378722.97</v>
      </c>
      <c r="H36" s="591">
        <v>378722.97</v>
      </c>
      <c r="I36" s="591">
        <v>0</v>
      </c>
      <c r="J36" s="591">
        <v>378722.97</v>
      </c>
      <c r="K36" s="591">
        <v>378722.97</v>
      </c>
      <c r="L36" s="591">
        <f>+K36</f>
        <v>378722.97</v>
      </c>
    </row>
    <row r="37" spans="1:16">
      <c r="A37" s="590" t="s">
        <v>595</v>
      </c>
      <c r="B37" s="590" t="s">
        <v>1121</v>
      </c>
      <c r="C37" s="590" t="s">
        <v>715</v>
      </c>
      <c r="D37" s="590" t="s">
        <v>951</v>
      </c>
      <c r="E37" s="590" t="s">
        <v>1122</v>
      </c>
      <c r="F37" s="592">
        <v>2360000</v>
      </c>
      <c r="H37" s="591">
        <v>2360000</v>
      </c>
      <c r="I37" s="591">
        <v>2360000</v>
      </c>
      <c r="J37" s="591">
        <v>0</v>
      </c>
      <c r="K37" s="591">
        <v>2360000</v>
      </c>
      <c r="L37" s="591">
        <f>+K37</f>
        <v>2360000</v>
      </c>
    </row>
    <row r="38" spans="1:16">
      <c r="D38" s="600"/>
      <c r="E38" s="600"/>
      <c r="F38" s="599">
        <f t="shared" ref="F38:P38" si="2">SUM(F35:F37)</f>
        <v>2834529.51</v>
      </c>
      <c r="G38" s="599">
        <f t="shared" si="2"/>
        <v>0</v>
      </c>
      <c r="H38" s="598">
        <f t="shared" si="2"/>
        <v>2834529.51</v>
      </c>
      <c r="I38" s="598">
        <f t="shared" si="2"/>
        <v>2455806.54</v>
      </c>
      <c r="J38" s="598">
        <f t="shared" si="2"/>
        <v>378722.97</v>
      </c>
      <c r="K38" s="598">
        <f t="shared" si="2"/>
        <v>2834529.51</v>
      </c>
      <c r="L38" s="598">
        <f t="shared" si="2"/>
        <v>2834529.51</v>
      </c>
      <c r="M38" s="598">
        <f t="shared" si="2"/>
        <v>0</v>
      </c>
      <c r="N38" s="598">
        <f t="shared" si="2"/>
        <v>0</v>
      </c>
      <c r="O38" s="598">
        <f t="shared" si="2"/>
        <v>0</v>
      </c>
      <c r="P38" s="598">
        <f t="shared" si="2"/>
        <v>0</v>
      </c>
    </row>
    <row r="39" spans="1:16">
      <c r="F39" s="602"/>
      <c r="G39" s="602"/>
      <c r="H39" s="601"/>
      <c r="I39" s="601"/>
      <c r="J39" s="601"/>
      <c r="K39" s="601"/>
    </row>
    <row r="40" spans="1:16">
      <c r="C40" s="590" t="s">
        <v>420</v>
      </c>
      <c r="D40" s="590" t="s">
        <v>928</v>
      </c>
      <c r="E40" s="590" t="s">
        <v>1123</v>
      </c>
      <c r="F40" s="603">
        <v>1895548.05</v>
      </c>
      <c r="G40" s="603">
        <v>88796.67</v>
      </c>
      <c r="H40" s="603">
        <v>1984344.72</v>
      </c>
      <c r="I40" s="603">
        <v>1266493.94</v>
      </c>
      <c r="J40" s="603">
        <v>717850.78</v>
      </c>
      <c r="K40" s="603">
        <v>881292.78</v>
      </c>
      <c r="L40" s="603">
        <f>190000*2</f>
        <v>380000</v>
      </c>
      <c r="M40" s="603">
        <v>190000</v>
      </c>
      <c r="N40" s="603">
        <f>+K40-L40-M40</f>
        <v>311292.78000000003</v>
      </c>
      <c r="O40" s="603"/>
      <c r="P40" s="603"/>
    </row>
    <row r="41" spans="1:16">
      <c r="C41" s="590" t="s">
        <v>1047</v>
      </c>
      <c r="D41" s="590" t="s">
        <v>1124</v>
      </c>
      <c r="E41" s="590" t="s">
        <v>1125</v>
      </c>
      <c r="F41" s="591">
        <v>74992.789999999994</v>
      </c>
      <c r="G41" s="591"/>
      <c r="H41" s="591">
        <v>74992.789999999994</v>
      </c>
      <c r="I41" s="591">
        <v>74992.789999999994</v>
      </c>
      <c r="J41" s="603">
        <v>0</v>
      </c>
      <c r="K41" s="603">
        <v>54744.74</v>
      </c>
      <c r="L41" s="603">
        <f>+K41</f>
        <v>54744.74</v>
      </c>
      <c r="M41" s="603"/>
      <c r="N41" s="603"/>
      <c r="O41" s="603"/>
      <c r="P41" s="603"/>
    </row>
    <row r="42" spans="1:16">
      <c r="C42" s="590" t="s">
        <v>740</v>
      </c>
      <c r="D42" s="590" t="s">
        <v>938</v>
      </c>
      <c r="E42" s="590" t="s">
        <v>1126</v>
      </c>
      <c r="F42" s="591">
        <v>273279.15000000002</v>
      </c>
      <c r="G42" s="591"/>
      <c r="H42" s="591">
        <v>273279.15000000002</v>
      </c>
      <c r="I42" s="591">
        <v>0</v>
      </c>
      <c r="J42" s="591">
        <v>273279.15000000002</v>
      </c>
      <c r="K42" s="591">
        <v>273279.15000000002</v>
      </c>
      <c r="M42" s="603">
        <f>+K42</f>
        <v>273279.15000000002</v>
      </c>
      <c r="N42" s="603"/>
      <c r="O42" s="603"/>
      <c r="P42" s="603"/>
    </row>
    <row r="43" spans="1:16">
      <c r="C43" s="590" t="s">
        <v>715</v>
      </c>
      <c r="D43" s="590" t="s">
        <v>941</v>
      </c>
      <c r="E43" s="590" t="s">
        <v>1127</v>
      </c>
      <c r="F43" s="591">
        <v>167745.43</v>
      </c>
      <c r="G43" s="591"/>
      <c r="H43" s="591">
        <v>167745.43</v>
      </c>
      <c r="I43" s="591">
        <v>167745.43</v>
      </c>
      <c r="J43" s="591">
        <v>0</v>
      </c>
      <c r="K43" s="591">
        <v>167745.43</v>
      </c>
      <c r="L43" s="603">
        <f>+K43</f>
        <v>167745.43</v>
      </c>
      <c r="M43" s="603"/>
      <c r="N43" s="603"/>
      <c r="O43" s="603"/>
      <c r="P43" s="603"/>
    </row>
    <row r="44" spans="1:16">
      <c r="C44" s="590" t="s">
        <v>937</v>
      </c>
      <c r="D44" s="590" t="s">
        <v>936</v>
      </c>
      <c r="E44" s="590" t="s">
        <v>1128</v>
      </c>
      <c r="F44" s="591">
        <v>24657.53</v>
      </c>
      <c r="G44" s="591"/>
      <c r="H44" s="591">
        <v>24657.53</v>
      </c>
      <c r="I44" s="591">
        <v>24657.53</v>
      </c>
      <c r="J44" s="591">
        <v>0</v>
      </c>
      <c r="K44" s="591">
        <v>24657.53</v>
      </c>
      <c r="L44" s="603">
        <f>+K44</f>
        <v>24657.53</v>
      </c>
      <c r="M44" s="603"/>
      <c r="N44" s="603"/>
      <c r="O44" s="603"/>
      <c r="P44" s="603"/>
    </row>
    <row r="45" spans="1:16">
      <c r="C45" s="590" t="s">
        <v>756</v>
      </c>
      <c r="D45" s="590" t="s">
        <v>955</v>
      </c>
      <c r="E45" s="590" t="s">
        <v>1129</v>
      </c>
      <c r="F45" s="591">
        <v>264792</v>
      </c>
      <c r="G45" s="591"/>
      <c r="H45" s="591">
        <v>264792</v>
      </c>
      <c r="I45" s="591">
        <v>88264</v>
      </c>
      <c r="J45" s="591">
        <v>176528</v>
      </c>
      <c r="K45" s="591">
        <v>264792</v>
      </c>
      <c r="L45" s="603">
        <v>88264</v>
      </c>
      <c r="M45" s="603">
        <v>88264</v>
      </c>
      <c r="N45" s="603">
        <v>88264</v>
      </c>
      <c r="O45" s="603"/>
      <c r="P45" s="603"/>
    </row>
    <row r="46" spans="1:16">
      <c r="C46" s="590" t="s">
        <v>1047</v>
      </c>
      <c r="D46" s="590" t="s">
        <v>1130</v>
      </c>
      <c r="E46" s="590" t="s">
        <v>1131</v>
      </c>
      <c r="F46" s="591">
        <v>52091.040000000001</v>
      </c>
      <c r="G46" s="591"/>
      <c r="H46" s="591">
        <v>52091.040000000001</v>
      </c>
      <c r="I46" s="591">
        <v>52091.040000000001</v>
      </c>
      <c r="J46" s="591">
        <v>0</v>
      </c>
      <c r="K46" s="591">
        <v>38026.46</v>
      </c>
      <c r="L46" s="603">
        <f>+K46</f>
        <v>38026.46</v>
      </c>
      <c r="M46" s="603"/>
      <c r="N46" s="603"/>
      <c r="O46" s="603"/>
      <c r="P46" s="603"/>
    </row>
    <row r="47" spans="1:16">
      <c r="C47" s="590" t="s">
        <v>1045</v>
      </c>
      <c r="D47" s="590" t="s">
        <v>1132</v>
      </c>
      <c r="E47" s="590" t="s">
        <v>1133</v>
      </c>
      <c r="F47" s="591">
        <v>92323.199999999997</v>
      </c>
      <c r="G47" s="591"/>
      <c r="H47" s="591">
        <v>92323.199999999997</v>
      </c>
      <c r="I47" s="591">
        <v>92323.199999999997</v>
      </c>
      <c r="J47" s="591">
        <v>0</v>
      </c>
      <c r="K47" s="591">
        <v>92323.199999999997</v>
      </c>
      <c r="L47" s="603">
        <f>+K47</f>
        <v>92323.199999999997</v>
      </c>
      <c r="M47" s="603"/>
      <c r="N47" s="603"/>
      <c r="O47" s="603"/>
      <c r="P47" s="603"/>
    </row>
    <row r="48" spans="1:16">
      <c r="C48" s="590" t="s">
        <v>389</v>
      </c>
      <c r="D48" s="590" t="s">
        <v>1134</v>
      </c>
      <c r="E48" s="590" t="s">
        <v>1135</v>
      </c>
      <c r="F48" s="591">
        <v>142190</v>
      </c>
      <c r="G48" s="591"/>
      <c r="H48" s="591">
        <v>142190</v>
      </c>
      <c r="I48" s="591">
        <v>142190</v>
      </c>
      <c r="J48" s="608" t="s">
        <v>1136</v>
      </c>
      <c r="K48" s="591">
        <v>142190</v>
      </c>
      <c r="L48" s="603">
        <f>+K48</f>
        <v>142190</v>
      </c>
      <c r="M48" s="603"/>
      <c r="N48" s="603"/>
      <c r="O48" s="603"/>
      <c r="P48" s="603"/>
    </row>
    <row r="49" spans="1:16">
      <c r="C49" s="590" t="s">
        <v>1043</v>
      </c>
      <c r="D49" s="590" t="s">
        <v>1137</v>
      </c>
      <c r="E49" s="590" t="s">
        <v>1138</v>
      </c>
      <c r="F49" s="591">
        <v>53502.559999999998</v>
      </c>
      <c r="G49" s="591"/>
      <c r="H49" s="591">
        <v>53502.559999999998</v>
      </c>
      <c r="I49" s="591">
        <v>13375.64</v>
      </c>
      <c r="J49" s="603">
        <v>40126.92</v>
      </c>
      <c r="K49" s="603">
        <v>53502.559999999998</v>
      </c>
      <c r="L49" s="603">
        <f>+I49*2</f>
        <v>26751.279999999999</v>
      </c>
      <c r="M49" s="603">
        <f>+K49-L49</f>
        <v>26751.279999999999</v>
      </c>
      <c r="N49" s="603"/>
      <c r="O49" s="603"/>
      <c r="P49" s="603"/>
    </row>
    <row r="50" spans="1:16">
      <c r="C50" s="590" t="s">
        <v>1139</v>
      </c>
      <c r="D50" s="590" t="s">
        <v>1140</v>
      </c>
      <c r="E50" s="590" t="s">
        <v>1141</v>
      </c>
      <c r="F50" s="591">
        <v>23670.34</v>
      </c>
      <c r="G50" s="591"/>
      <c r="H50" s="591">
        <v>23670.34</v>
      </c>
      <c r="I50" s="591">
        <v>23670.34</v>
      </c>
      <c r="J50" s="603"/>
      <c r="K50" s="603">
        <v>23670.34</v>
      </c>
      <c r="L50" s="603">
        <v>23670.34</v>
      </c>
      <c r="M50" s="603"/>
      <c r="N50" s="603"/>
      <c r="O50" s="603"/>
      <c r="P50" s="603"/>
    </row>
    <row r="51" spans="1:16">
      <c r="C51" s="609"/>
      <c r="D51" s="609"/>
      <c r="E51" s="610" t="s">
        <v>1142</v>
      </c>
      <c r="F51" s="611">
        <f>(+(+(3000/0.73)*1.27)*61)*5</f>
        <v>1591849.3150684936</v>
      </c>
      <c r="G51" s="611"/>
      <c r="H51" s="611">
        <f>(+(+(3000/0.73)*1.27)*61)*5</f>
        <v>1591849.3150684936</v>
      </c>
      <c r="I51" s="611"/>
      <c r="J51" s="611">
        <f>(+(+(3000/0.73)*1.27)*61)*5</f>
        <v>1591849.3150684936</v>
      </c>
      <c r="K51" s="611">
        <f>(+(+(3000/0.73)*1.27)*61)*5</f>
        <v>1591849.3150684936</v>
      </c>
      <c r="L51" s="611">
        <f>(1564.96/0.73)*61</f>
        <v>130770.63013698631</v>
      </c>
      <c r="M51" s="611">
        <f>(+(+(3000/0.73)*1.27)*61)*1</f>
        <v>318369.86301369872</v>
      </c>
      <c r="N51" s="611">
        <f>(+(+(3000/0.73)*1.27)*61)*1</f>
        <v>318369.86301369872</v>
      </c>
      <c r="O51" s="611">
        <f>(+(+(3000/0.73)*1.27)*61)*1</f>
        <v>318369.86301369872</v>
      </c>
      <c r="P51" s="611">
        <f>+K51-L51-M51-N51-O51</f>
        <v>505969.09589041118</v>
      </c>
    </row>
    <row r="52" spans="1:16">
      <c r="C52" s="609"/>
      <c r="D52" s="609"/>
      <c r="E52" s="610" t="s">
        <v>1143</v>
      </c>
      <c r="F52" s="611">
        <f>142190*5</f>
        <v>710950</v>
      </c>
      <c r="G52" s="611"/>
      <c r="H52" s="611">
        <f>142190*5</f>
        <v>710950</v>
      </c>
      <c r="I52" s="611"/>
      <c r="J52" s="611">
        <f>142190*5</f>
        <v>710950</v>
      </c>
      <c r="K52" s="611">
        <f>142190*5</f>
        <v>710950</v>
      </c>
      <c r="L52" s="611">
        <v>142190</v>
      </c>
      <c r="M52" s="611">
        <v>142190</v>
      </c>
      <c r="N52" s="611">
        <v>142190</v>
      </c>
      <c r="O52" s="611">
        <v>142190</v>
      </c>
      <c r="P52" s="611">
        <v>142190</v>
      </c>
    </row>
    <row r="53" spans="1:16">
      <c r="C53" s="609"/>
      <c r="D53" s="609"/>
      <c r="E53" s="610" t="s">
        <v>1144</v>
      </c>
      <c r="F53" s="611">
        <f>92323.2*5</f>
        <v>461616</v>
      </c>
      <c r="G53" s="611"/>
      <c r="H53" s="611">
        <f>92323.2*5</f>
        <v>461616</v>
      </c>
      <c r="I53" s="611"/>
      <c r="J53" s="611">
        <f>92323.2*5</f>
        <v>461616</v>
      </c>
      <c r="K53" s="611">
        <f>92323.2*5</f>
        <v>461616</v>
      </c>
      <c r="L53" s="611">
        <v>92323.199999999997</v>
      </c>
      <c r="M53" s="611">
        <v>92323.199999999997</v>
      </c>
      <c r="N53" s="611">
        <v>92323.199999999997</v>
      </c>
      <c r="O53" s="611">
        <v>92323.199999999997</v>
      </c>
      <c r="P53" s="611">
        <v>92323.199999999997</v>
      </c>
    </row>
    <row r="54" spans="1:16">
      <c r="C54" s="609"/>
      <c r="D54" s="609"/>
      <c r="E54" s="610" t="s">
        <v>1145</v>
      </c>
      <c r="F54" s="611">
        <f>75000*5</f>
        <v>375000</v>
      </c>
      <c r="G54" s="611"/>
      <c r="H54" s="611">
        <f>75000*5</f>
        <v>375000</v>
      </c>
      <c r="I54" s="611"/>
      <c r="J54" s="611">
        <f>75000*5</f>
        <v>375000</v>
      </c>
      <c r="K54" s="611">
        <f>75000*5</f>
        <v>375000</v>
      </c>
      <c r="L54" s="611">
        <v>75000</v>
      </c>
      <c r="M54" s="611">
        <v>75000</v>
      </c>
      <c r="N54" s="611">
        <v>75000</v>
      </c>
      <c r="O54" s="611">
        <v>75000</v>
      </c>
      <c r="P54" s="611">
        <v>75000</v>
      </c>
    </row>
    <row r="55" spans="1:16">
      <c r="C55" s="609"/>
      <c r="D55" s="609"/>
      <c r="E55" s="610" t="s">
        <v>958</v>
      </c>
      <c r="F55" s="611">
        <v>500000</v>
      </c>
      <c r="G55" s="611"/>
      <c r="H55" s="611">
        <v>500000</v>
      </c>
      <c r="I55" s="611"/>
      <c r="J55" s="611">
        <v>500000</v>
      </c>
      <c r="K55" s="611">
        <v>500000</v>
      </c>
      <c r="L55" s="611">
        <f>+K55*0.5</f>
        <v>250000</v>
      </c>
      <c r="M55" s="611">
        <f>+K55*0.5</f>
        <v>250000</v>
      </c>
      <c r="N55" s="611"/>
      <c r="O55" s="611"/>
      <c r="P55" s="611"/>
    </row>
    <row r="56" spans="1:16">
      <c r="C56" s="609"/>
      <c r="D56" s="609"/>
      <c r="E56" s="610" t="s">
        <v>959</v>
      </c>
      <c r="F56" s="611">
        <v>1799500</v>
      </c>
      <c r="G56" s="611"/>
      <c r="H56" s="611">
        <v>1799500</v>
      </c>
      <c r="I56" s="611"/>
      <c r="J56" s="611">
        <v>1799500</v>
      </c>
      <c r="K56" s="611"/>
      <c r="L56" s="611"/>
      <c r="M56" s="611">
        <v>1799500</v>
      </c>
      <c r="N56" s="611"/>
      <c r="O56" s="611"/>
      <c r="P56" s="611"/>
    </row>
    <row r="57" spans="1:16">
      <c r="C57" s="609"/>
      <c r="D57" s="609"/>
      <c r="E57" s="609" t="s">
        <v>1146</v>
      </c>
      <c r="F57" s="611">
        <f>57357.44+65544.52</f>
        <v>122901.96</v>
      </c>
      <c r="G57" s="611"/>
      <c r="H57" s="611">
        <f>57357.44+65544.52</f>
        <v>122901.96</v>
      </c>
      <c r="I57" s="611"/>
      <c r="J57" s="611">
        <f>57357.44+65544.52</f>
        <v>122901.96</v>
      </c>
      <c r="K57" s="611">
        <f>57357.44+65544.52</f>
        <v>122901.96</v>
      </c>
      <c r="L57" s="611">
        <f>57357.44+65544.52</f>
        <v>122901.96</v>
      </c>
      <c r="M57" s="611"/>
      <c r="N57" s="611"/>
      <c r="O57" s="611"/>
      <c r="P57" s="611"/>
    </row>
    <row r="58" spans="1:16">
      <c r="D58" s="600"/>
      <c r="E58" s="600"/>
      <c r="F58" s="599">
        <f t="shared" ref="F58:P58" si="3">SUM(F40:F57)</f>
        <v>8626609.3650684953</v>
      </c>
      <c r="G58" s="599">
        <f t="shared" si="3"/>
        <v>88796.67</v>
      </c>
      <c r="H58" s="598">
        <f t="shared" si="3"/>
        <v>8715406.0350684952</v>
      </c>
      <c r="I58" s="598">
        <f t="shared" si="3"/>
        <v>1945803.91</v>
      </c>
      <c r="J58" s="598">
        <f t="shared" si="3"/>
        <v>6769602.1250684941</v>
      </c>
      <c r="K58" s="598">
        <f t="shared" si="3"/>
        <v>5778541.465068494</v>
      </c>
      <c r="L58" s="598">
        <f t="shared" si="3"/>
        <v>1851558.7701369862</v>
      </c>
      <c r="M58" s="598">
        <f t="shared" si="3"/>
        <v>3255677.4930136986</v>
      </c>
      <c r="N58" s="598">
        <f t="shared" si="3"/>
        <v>1027439.8430136987</v>
      </c>
      <c r="O58" s="598">
        <f t="shared" si="3"/>
        <v>627883.06301369867</v>
      </c>
      <c r="P58" s="598">
        <f t="shared" si="3"/>
        <v>815482.29589041113</v>
      </c>
    </row>
    <row r="59" spans="1:16">
      <c r="F59" s="602"/>
      <c r="G59" s="602"/>
      <c r="H59" s="601"/>
      <c r="I59" s="601"/>
      <c r="J59" s="601"/>
      <c r="K59" s="601"/>
    </row>
    <row r="60" spans="1:16">
      <c r="A60" s="590" t="s">
        <v>628</v>
      </c>
      <c r="B60" s="590" t="s">
        <v>1147</v>
      </c>
      <c r="C60" s="590" t="s">
        <v>948</v>
      </c>
      <c r="D60" s="590" t="s">
        <v>947</v>
      </c>
      <c r="E60" s="590" t="s">
        <v>1148</v>
      </c>
      <c r="F60" s="592">
        <v>1155000</v>
      </c>
      <c r="H60" s="591">
        <v>1155000</v>
      </c>
      <c r="I60" s="591">
        <v>0</v>
      </c>
      <c r="J60" s="591">
        <v>1155000</v>
      </c>
      <c r="K60" s="591">
        <v>1155000</v>
      </c>
      <c r="M60" s="591">
        <f>+K60</f>
        <v>1155000</v>
      </c>
    </row>
    <row r="61" spans="1:16">
      <c r="A61" s="590" t="s">
        <v>628</v>
      </c>
      <c r="B61" s="590" t="s">
        <v>1147</v>
      </c>
      <c r="C61" s="590" t="s">
        <v>795</v>
      </c>
      <c r="D61" s="590" t="s">
        <v>946</v>
      </c>
      <c r="E61" s="590" t="s">
        <v>1149</v>
      </c>
      <c r="F61" s="592">
        <v>370000.8</v>
      </c>
      <c r="H61" s="591">
        <v>370000.8</v>
      </c>
      <c r="I61" s="591">
        <v>0</v>
      </c>
      <c r="J61" s="591">
        <v>370000.8</v>
      </c>
      <c r="K61" s="591">
        <v>17225</v>
      </c>
      <c r="M61" s="591">
        <f>+K61</f>
        <v>17225</v>
      </c>
    </row>
    <row r="62" spans="1:16">
      <c r="A62" s="590" t="s">
        <v>628</v>
      </c>
      <c r="B62" s="590" t="s">
        <v>1147</v>
      </c>
      <c r="C62" s="590" t="s">
        <v>950</v>
      </c>
      <c r="D62" s="590" t="s">
        <v>949</v>
      </c>
      <c r="E62" s="590" t="s">
        <v>1150</v>
      </c>
      <c r="F62" s="592">
        <v>2587042.39</v>
      </c>
      <c r="H62" s="591">
        <v>2587042.39</v>
      </c>
      <c r="I62" s="591">
        <v>0</v>
      </c>
      <c r="J62" s="591">
        <v>2587042.39</v>
      </c>
      <c r="K62" s="591">
        <v>2587042.39</v>
      </c>
      <c r="M62" s="591">
        <f>+K62</f>
        <v>2587042.39</v>
      </c>
    </row>
    <row r="63" spans="1:16">
      <c r="A63" s="590" t="s">
        <v>628</v>
      </c>
      <c r="B63" s="590" t="s">
        <v>1147</v>
      </c>
      <c r="C63" s="590" t="s">
        <v>715</v>
      </c>
      <c r="D63" s="590" t="s">
        <v>1066</v>
      </c>
      <c r="E63" s="590" t="s">
        <v>1067</v>
      </c>
      <c r="F63" s="592">
        <v>552632.57999999996</v>
      </c>
      <c r="H63" s="591">
        <v>552632.57999999996</v>
      </c>
      <c r="I63" s="591">
        <v>552632.57999999996</v>
      </c>
      <c r="J63" s="591">
        <v>0</v>
      </c>
      <c r="K63" s="591">
        <v>552632.57999999996</v>
      </c>
      <c r="L63" s="591">
        <f>+K63</f>
        <v>552632.57999999996</v>
      </c>
    </row>
    <row r="64" spans="1:16">
      <c r="A64" s="590" t="s">
        <v>628</v>
      </c>
      <c r="B64" s="590" t="s">
        <v>1147</v>
      </c>
      <c r="C64" s="590" t="s">
        <v>715</v>
      </c>
      <c r="D64" s="590" t="s">
        <v>1097</v>
      </c>
      <c r="E64" s="590" t="s">
        <v>1098</v>
      </c>
      <c r="F64" s="592">
        <v>123900</v>
      </c>
      <c r="H64" s="591">
        <v>123900</v>
      </c>
      <c r="I64" s="591">
        <v>0</v>
      </c>
      <c r="J64" s="591">
        <v>123900</v>
      </c>
      <c r="K64" s="591">
        <v>123900</v>
      </c>
      <c r="L64" s="591">
        <f>+K64/5</f>
        <v>24780</v>
      </c>
      <c r="M64" s="591">
        <v>24780</v>
      </c>
      <c r="N64" s="591">
        <v>24780</v>
      </c>
      <c r="O64" s="591">
        <v>24780</v>
      </c>
      <c r="P64" s="591">
        <v>24780</v>
      </c>
    </row>
    <row r="65" spans="1:16">
      <c r="D65" s="600"/>
      <c r="E65" s="600"/>
      <c r="F65" s="599">
        <f t="shared" ref="F65:P65" si="4">SUM(F60:F64)</f>
        <v>4788575.7700000005</v>
      </c>
      <c r="G65" s="599">
        <f t="shared" si="4"/>
        <v>0</v>
      </c>
      <c r="H65" s="598">
        <f t="shared" si="4"/>
        <v>4788575.7700000005</v>
      </c>
      <c r="I65" s="598">
        <f t="shared" si="4"/>
        <v>552632.57999999996</v>
      </c>
      <c r="J65" s="598">
        <f t="shared" si="4"/>
        <v>4235943.1900000004</v>
      </c>
      <c r="K65" s="598">
        <f t="shared" si="4"/>
        <v>4435799.97</v>
      </c>
      <c r="L65" s="598">
        <f t="shared" si="4"/>
        <v>577412.57999999996</v>
      </c>
      <c r="M65" s="598">
        <f t="shared" si="4"/>
        <v>3784047.39</v>
      </c>
      <c r="N65" s="598">
        <f t="shared" si="4"/>
        <v>24780</v>
      </c>
      <c r="O65" s="598">
        <f t="shared" si="4"/>
        <v>24780</v>
      </c>
      <c r="P65" s="598">
        <f t="shared" si="4"/>
        <v>24780</v>
      </c>
    </row>
    <row r="67" spans="1:16" s="593" customFormat="1">
      <c r="A67" s="597" t="s">
        <v>447</v>
      </c>
      <c r="B67" s="597"/>
      <c r="C67" s="597"/>
      <c r="D67" s="596"/>
      <c r="E67" s="596"/>
      <c r="F67" s="595">
        <f>+F9+F33+F38+F65</f>
        <v>37627090.550000004</v>
      </c>
      <c r="G67" s="595">
        <f>+G9+G33+G38+G65</f>
        <v>0</v>
      </c>
      <c r="H67" s="594">
        <f t="shared" ref="H67:O67" si="5">+H9+H33+H38+H58+H65</f>
        <v>46342496.585068502</v>
      </c>
      <c r="I67" s="594">
        <f t="shared" si="5"/>
        <v>5421196.2999999998</v>
      </c>
      <c r="J67" s="594">
        <f t="shared" si="5"/>
        <v>40921300.28506849</v>
      </c>
      <c r="K67" s="594">
        <f t="shared" si="5"/>
        <v>39501606.215068497</v>
      </c>
      <c r="L67" s="594">
        <f t="shared" si="5"/>
        <v>12426595.620636987</v>
      </c>
      <c r="M67" s="594">
        <f t="shared" si="5"/>
        <v>13860572.1995137</v>
      </c>
      <c r="N67" s="594">
        <f t="shared" si="5"/>
        <v>7248902.1515136994</v>
      </c>
      <c r="O67" s="594">
        <f t="shared" si="5"/>
        <v>6849345.3715136992</v>
      </c>
      <c r="P67" s="594">
        <f>+P9+P33+P38+P58+P65</f>
        <v>915690.87189041113</v>
      </c>
    </row>
    <row r="68" spans="1:16">
      <c r="J68" s="591" t="s">
        <v>1151</v>
      </c>
      <c r="K68" s="591">
        <f>SUM(K51:K57)</f>
        <v>3762317.2750684936</v>
      </c>
    </row>
    <row r="69" spans="1:16">
      <c r="J69" s="591" t="s">
        <v>1152</v>
      </c>
      <c r="K69" s="591">
        <f>+K67-K68</f>
        <v>35739288.940000005</v>
      </c>
    </row>
    <row r="70" spans="1:16">
      <c r="J70" s="591" t="s">
        <v>1153</v>
      </c>
      <c r="K70" s="591">
        <f>+'PRESENTACIÓN 04-25'!K23</f>
        <v>35739288.939999998</v>
      </c>
    </row>
    <row r="71" spans="1:16">
      <c r="J71" s="591" t="s">
        <v>1154</v>
      </c>
      <c r="K71" s="591">
        <f>+K69-K70</f>
        <v>0</v>
      </c>
    </row>
  </sheetData>
  <autoFilter ref="A1:P109" xr:uid="{00000000-0001-0000-0000-000000000000}"/>
  <conditionalFormatting sqref="D40:D57">
    <cfRule type="duplicateValues" dxfId="24" priority="1"/>
    <cfRule type="duplicateValues" dxfId="23" priority="2"/>
  </conditionalFormatting>
  <pageMargins left="0.7" right="0.7" top="0.75" bottom="0.75" header="0.3" footer="0.3"/>
  <pageSetup orientation="portrait" horizontalDpi="4294967295" verticalDpi="4294967295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511F4-025D-4B95-99BF-B32BA11BB375}">
  <sheetPr>
    <tabColor theme="5" tint="0.79998168889431442"/>
  </sheetPr>
  <dimension ref="A1:P49"/>
  <sheetViews>
    <sheetView showGridLines="0" topLeftCell="A5" zoomScaleNormal="100" workbookViewId="0">
      <selection activeCell="C15" sqref="C15"/>
    </sheetView>
  </sheetViews>
  <sheetFormatPr baseColWidth="10" defaultColWidth="11.44140625" defaultRowHeight="14.4"/>
  <cols>
    <col min="1" max="1" width="10.109375" customWidth="1"/>
    <col min="2" max="2" width="25.6640625" bestFit="1" customWidth="1"/>
    <col min="3" max="4" width="18" bestFit="1" customWidth="1"/>
    <col min="5" max="5" width="15.109375" bestFit="1" customWidth="1"/>
    <col min="6" max="6" width="16.5546875" bestFit="1" customWidth="1"/>
    <col min="7" max="7" width="16.33203125" customWidth="1"/>
    <col min="8" max="8" width="20.88671875" customWidth="1"/>
    <col min="9" max="9" width="18" customWidth="1"/>
    <col min="10" max="10" width="16.5546875" bestFit="1" customWidth="1"/>
    <col min="11" max="11" width="18.6640625" customWidth="1"/>
    <col min="12" max="12" width="19.88671875" customWidth="1"/>
    <col min="13" max="13" width="16.109375" customWidth="1"/>
    <col min="14" max="14" width="18.5546875" customWidth="1"/>
    <col min="15" max="15" width="17" customWidth="1"/>
    <col min="16" max="18" width="15.44140625" bestFit="1" customWidth="1"/>
    <col min="19" max="19" width="14.44140625" bestFit="1" customWidth="1"/>
  </cols>
  <sheetData>
    <row r="1" spans="1:16" ht="21.6" customHeight="1">
      <c r="M1" s="2109" t="s">
        <v>185</v>
      </c>
      <c r="N1" s="2109"/>
      <c r="O1" s="2109"/>
      <c r="P1" s="2109"/>
    </row>
    <row r="2" spans="1:16" ht="15" thickBot="1">
      <c r="F2" s="181" t="s">
        <v>197</v>
      </c>
      <c r="G2" s="181"/>
      <c r="H2" s="181"/>
      <c r="I2" s="181"/>
      <c r="J2" s="181"/>
      <c r="K2" s="181" t="s">
        <v>199</v>
      </c>
      <c r="L2" s="181" t="s">
        <v>225</v>
      </c>
      <c r="M2" s="2109"/>
      <c r="N2" s="2109"/>
      <c r="O2" s="2109"/>
      <c r="P2" s="2109"/>
    </row>
    <row r="3" spans="1:16" ht="15.6" customHeight="1">
      <c r="B3" s="160" t="s">
        <v>761</v>
      </c>
      <c r="C3" s="62" t="s">
        <v>1155</v>
      </c>
      <c r="D3" s="478"/>
      <c r="E3" s="483">
        <v>63</v>
      </c>
      <c r="F3" s="2122" t="s">
        <v>145</v>
      </c>
      <c r="G3" s="2137" t="s">
        <v>650</v>
      </c>
      <c r="H3" s="2137" t="s">
        <v>651</v>
      </c>
      <c r="I3" s="2137" t="s">
        <v>652</v>
      </c>
      <c r="J3" s="2122" t="s">
        <v>227</v>
      </c>
      <c r="K3" s="2124" t="s">
        <v>807</v>
      </c>
      <c r="L3" s="2124" t="s">
        <v>146</v>
      </c>
      <c r="M3" s="183"/>
      <c r="N3" s="183"/>
      <c r="O3" s="183"/>
      <c r="P3" s="183"/>
    </row>
    <row r="4" spans="1:16" ht="16.95" customHeight="1" thickBot="1">
      <c r="A4" s="152"/>
      <c r="B4" s="25" t="s">
        <v>29</v>
      </c>
      <c r="C4" s="25" t="s">
        <v>762</v>
      </c>
      <c r="D4" s="479" t="s">
        <v>763</v>
      </c>
      <c r="E4" s="479" t="s">
        <v>31</v>
      </c>
      <c r="F4" s="2123"/>
      <c r="G4" s="2138"/>
      <c r="H4" s="2138"/>
      <c r="I4" s="2138"/>
      <c r="J4" s="2123"/>
      <c r="K4" s="2125"/>
      <c r="L4" s="2125"/>
      <c r="M4" s="183"/>
      <c r="N4" s="183"/>
      <c r="O4" s="183"/>
      <c r="P4" s="183"/>
    </row>
    <row r="5" spans="1:16">
      <c r="A5">
        <v>1</v>
      </c>
      <c r="B5" s="254" t="s">
        <v>33</v>
      </c>
      <c r="C5" s="658">
        <f>SUM('budget (11)'!D2:D3)</f>
        <v>103385169</v>
      </c>
      <c r="D5" s="659">
        <v>103385169</v>
      </c>
      <c r="E5" s="659">
        <f>D5/E3</f>
        <v>1641034.4285714286</v>
      </c>
      <c r="F5" s="651">
        <f>+'Finanza 04-25'!F2</f>
        <v>94172341.829999998</v>
      </c>
      <c r="G5" s="651">
        <f>+'Finanza 03-25'!F2</f>
        <v>94172341.829999998</v>
      </c>
      <c r="H5" s="651">
        <v>0</v>
      </c>
      <c r="I5" s="651"/>
      <c r="J5" s="651">
        <f>+G5-H5+I5</f>
        <v>94172341.829999998</v>
      </c>
      <c r="K5" s="652">
        <f>F5-J5</f>
        <v>0</v>
      </c>
      <c r="L5" s="652">
        <f>+D5-F5</f>
        <v>9212827.1700000018</v>
      </c>
      <c r="M5" s="183"/>
      <c r="N5" s="183"/>
      <c r="O5" s="183"/>
      <c r="P5" s="183"/>
    </row>
    <row r="6" spans="1:16">
      <c r="B6" s="115" t="s">
        <v>35</v>
      </c>
      <c r="C6" s="660">
        <f>SUM('budget (11)'!D11:D24)</f>
        <v>451758999.99999994</v>
      </c>
      <c r="D6" s="661">
        <v>451758999.99999994</v>
      </c>
      <c r="E6" s="661">
        <f>D6/$E$3</f>
        <v>7170777.7777777771</v>
      </c>
      <c r="F6" s="653">
        <f>+'Finanza 04-25'!E4</f>
        <v>38631430.189999998</v>
      </c>
      <c r="G6" s="653">
        <f>+'Finanza 04-25'!F4</f>
        <v>9572516.7899999991</v>
      </c>
      <c r="H6" s="653">
        <f>+'CXP 04-25'!E21</f>
        <v>353433.2</v>
      </c>
      <c r="I6" s="653">
        <f>+'Anticipos 04-25'!D7</f>
        <v>3200000</v>
      </c>
      <c r="J6" s="653">
        <f>+G6-H6+I6</f>
        <v>12419083.59</v>
      </c>
      <c r="K6" s="654">
        <f>F6-J6</f>
        <v>26212346.599999998</v>
      </c>
      <c r="L6" s="654">
        <f>+D6-F6</f>
        <v>413127569.80999994</v>
      </c>
      <c r="M6" s="183"/>
      <c r="N6" s="184"/>
      <c r="O6" s="183"/>
      <c r="P6" s="183"/>
    </row>
    <row r="7" spans="1:16" ht="13.95" customHeight="1">
      <c r="B7" s="112" t="s">
        <v>38</v>
      </c>
      <c r="C7" s="662">
        <f>SUM('budget (11)'!D25:D39)</f>
        <v>1265953920</v>
      </c>
      <c r="D7" s="663">
        <f>1447934796</f>
        <v>1447934796</v>
      </c>
      <c r="E7" s="663">
        <f>D7/$E$3</f>
        <v>22983092</v>
      </c>
      <c r="F7" s="647">
        <f>+'Finanza 04-25'!E5</f>
        <v>0</v>
      </c>
      <c r="G7" s="647">
        <f>+'Finanza 04-25'!F5</f>
        <v>0</v>
      </c>
      <c r="H7" s="647"/>
      <c r="I7" s="647"/>
      <c r="J7" s="647">
        <f t="shared" ref="J7:J10" si="0">+G7-H7+I7</f>
        <v>0</v>
      </c>
      <c r="K7" s="648">
        <f t="shared" ref="K7:K21" si="1">F7-J7</f>
        <v>0</v>
      </c>
      <c r="L7" s="648">
        <f>+D7-F7</f>
        <v>1447934796</v>
      </c>
      <c r="M7" s="183"/>
      <c r="N7" s="184"/>
      <c r="O7" s="183"/>
      <c r="P7" s="183"/>
    </row>
    <row r="8" spans="1:16">
      <c r="B8" s="115" t="s">
        <v>764</v>
      </c>
      <c r="C8" s="664">
        <v>0</v>
      </c>
      <c r="D8" s="661">
        <v>37993876</v>
      </c>
      <c r="E8" s="661">
        <f>D8/$E$3</f>
        <v>603077.39682539681</v>
      </c>
      <c r="F8" s="649">
        <f>+'Finanza 04-25'!E8</f>
        <v>0</v>
      </c>
      <c r="G8" s="649">
        <f>+'Finanza 04-25'!F8</f>
        <v>0</v>
      </c>
      <c r="H8" s="649"/>
      <c r="I8" s="649"/>
      <c r="J8" s="649"/>
      <c r="K8" s="650"/>
      <c r="L8" s="650"/>
      <c r="M8" s="183"/>
      <c r="N8" s="184"/>
      <c r="O8" s="183"/>
      <c r="P8" s="183"/>
    </row>
    <row r="9" spans="1:16" ht="13.95" customHeight="1">
      <c r="B9" s="112" t="s">
        <v>148</v>
      </c>
      <c r="C9" s="662">
        <f>SUM('budget (11)'!D40:D41)</f>
        <v>171771292</v>
      </c>
      <c r="D9" s="663">
        <v>189969380</v>
      </c>
      <c r="E9" s="663">
        <f>D9/$E$3</f>
        <v>3015386.9841269841</v>
      </c>
      <c r="F9" s="647">
        <f>+'Finanza 04-25'!E6</f>
        <v>7134191.54</v>
      </c>
      <c r="G9" s="647">
        <f>+'Finanza 04-25'!F6</f>
        <v>6755468.5700000003</v>
      </c>
      <c r="H9" s="647">
        <f>+'CXP 04-25'!E26</f>
        <v>2455806.54</v>
      </c>
      <c r="I9" s="647"/>
      <c r="J9" s="647">
        <f>+G9-H9+I9</f>
        <v>4299662.03</v>
      </c>
      <c r="K9" s="648">
        <f>F9-J9</f>
        <v>2834529.51</v>
      </c>
      <c r="L9" s="648">
        <f>+D9-F9</f>
        <v>182835188.46000001</v>
      </c>
      <c r="M9" s="183"/>
      <c r="N9" s="184"/>
      <c r="O9" s="183"/>
      <c r="P9" s="183"/>
    </row>
    <row r="10" spans="1:16">
      <c r="B10" s="115" t="s">
        <v>40</v>
      </c>
      <c r="C10" s="664">
        <f>SUM('budget (11)'!D42)</f>
        <v>34354258</v>
      </c>
      <c r="D10" s="661">
        <v>37993876</v>
      </c>
      <c r="E10" s="661">
        <f>D10/$E$3</f>
        <v>603077.39682539681</v>
      </c>
      <c r="F10" s="649">
        <f>+'Finanza 04-25'!E7</f>
        <v>0</v>
      </c>
      <c r="G10" s="649">
        <f>+'Finanza 04-25'!F7</f>
        <v>0</v>
      </c>
      <c r="H10" s="649"/>
      <c r="I10" s="649"/>
      <c r="J10" s="649">
        <f t="shared" si="0"/>
        <v>0</v>
      </c>
      <c r="K10" s="650">
        <f t="shared" si="1"/>
        <v>0</v>
      </c>
      <c r="L10" s="650">
        <f>+D10-F10</f>
        <v>37993876</v>
      </c>
      <c r="M10" s="183"/>
      <c r="N10" s="184"/>
      <c r="O10" s="183"/>
      <c r="P10" s="183"/>
    </row>
    <row r="11" spans="1:16">
      <c r="B11" s="254" t="s">
        <v>41</v>
      </c>
      <c r="C11" s="665">
        <f t="shared" ref="C11:I11" si="2">SUM(C6:C10)</f>
        <v>1923838470</v>
      </c>
      <c r="D11" s="665">
        <f>SUM(D6:D10)</f>
        <v>2165650928</v>
      </c>
      <c r="E11" s="665">
        <f>SUM(E6:E10)</f>
        <v>34375411.555555552</v>
      </c>
      <c r="F11" s="655">
        <f t="shared" si="2"/>
        <v>45765621.729999997</v>
      </c>
      <c r="G11" s="655">
        <f t="shared" si="2"/>
        <v>16327985.359999999</v>
      </c>
      <c r="H11" s="655">
        <f t="shared" si="2"/>
        <v>2809239.74</v>
      </c>
      <c r="I11" s="655">
        <f t="shared" si="2"/>
        <v>3200000</v>
      </c>
      <c r="J11" s="655">
        <f>SUM(J6:J10)</f>
        <v>16718745.620000001</v>
      </c>
      <c r="K11" s="655">
        <f>SUM(K6:K10)</f>
        <v>29046876.109999999</v>
      </c>
      <c r="L11" s="655">
        <f>SUM(L6:L10)</f>
        <v>2081891430.27</v>
      </c>
      <c r="M11" s="183"/>
      <c r="N11" s="184"/>
      <c r="O11" s="183"/>
      <c r="P11" s="183"/>
    </row>
    <row r="12" spans="1:16">
      <c r="B12" s="112" t="s">
        <v>42</v>
      </c>
      <c r="C12" s="666">
        <f>SUM('budget (11)'!D43)</f>
        <v>137417034</v>
      </c>
      <c r="D12" s="667">
        <v>151975504</v>
      </c>
      <c r="E12" s="667">
        <f>D12/$E$3</f>
        <v>2412309.5873015872</v>
      </c>
      <c r="F12" s="645">
        <f>+'Finanza 04-25'!E9</f>
        <v>1931175.97</v>
      </c>
      <c r="G12" s="645">
        <f>+'Finanza 04-25'!F9</f>
        <v>1931175.97</v>
      </c>
      <c r="H12" s="645"/>
      <c r="I12" s="645"/>
      <c r="J12" s="645">
        <f>+G12-H12+I12</f>
        <v>1931175.97</v>
      </c>
      <c r="K12" s="645">
        <f t="shared" si="1"/>
        <v>0</v>
      </c>
      <c r="L12" s="645">
        <f>+D12-F12</f>
        <v>150044328.03</v>
      </c>
      <c r="M12" s="183"/>
      <c r="N12" s="184"/>
      <c r="O12" s="183"/>
      <c r="P12" s="183"/>
    </row>
    <row r="13" spans="1:16">
      <c r="B13" s="115" t="s">
        <v>43</v>
      </c>
      <c r="C13" s="668">
        <f>SUM('budget (11)'!D45:D46)</f>
        <v>281704919</v>
      </c>
      <c r="D13" s="669">
        <v>308130334</v>
      </c>
      <c r="E13" s="669">
        <f>D13/$E$3</f>
        <v>4890957.6825396828</v>
      </c>
      <c r="F13" s="646">
        <f>+'Finanza 04-25'!E10</f>
        <v>3244295.75</v>
      </c>
      <c r="G13" s="646">
        <f>+'Finanza 04-25'!F10</f>
        <v>3244295.75</v>
      </c>
      <c r="H13" s="646"/>
      <c r="I13" s="646"/>
      <c r="J13" s="646">
        <f t="shared" ref="J13:J16" si="3">+G13-H13+I13</f>
        <v>3244295.75</v>
      </c>
      <c r="K13" s="646">
        <f>F13-J13</f>
        <v>0</v>
      </c>
      <c r="L13" s="646">
        <f>+D13-F13</f>
        <v>304886038.25</v>
      </c>
      <c r="M13" s="183"/>
      <c r="N13" s="184"/>
      <c r="O13" s="183"/>
      <c r="P13" s="183"/>
    </row>
    <row r="14" spans="1:16">
      <c r="B14" s="112" t="s">
        <v>44</v>
      </c>
      <c r="C14" s="666">
        <f>SUM('budget (11)'!D47)</f>
        <v>67334346</v>
      </c>
      <c r="D14" s="667">
        <v>75797782</v>
      </c>
      <c r="E14" s="667">
        <f>D14/$E$3</f>
        <v>1203139.3968253969</v>
      </c>
      <c r="F14" s="645">
        <f>+'Finanza 04-25'!E11</f>
        <v>541691.47</v>
      </c>
      <c r="G14" s="645">
        <f>+'Finanza 04-25'!F11</f>
        <v>541691.47</v>
      </c>
      <c r="H14" s="645"/>
      <c r="I14" s="645"/>
      <c r="J14" s="645">
        <f t="shared" si="3"/>
        <v>541691.47</v>
      </c>
      <c r="K14" s="645">
        <f t="shared" si="1"/>
        <v>0</v>
      </c>
      <c r="L14" s="645">
        <f>+D14-F14</f>
        <v>75256090.530000001</v>
      </c>
      <c r="M14" s="183"/>
      <c r="N14" s="184"/>
      <c r="O14" s="183"/>
      <c r="P14" s="183"/>
    </row>
    <row r="15" spans="1:16">
      <c r="A15">
        <v>1</v>
      </c>
      <c r="B15" s="115" t="s">
        <v>45</v>
      </c>
      <c r="C15" s="668">
        <f>SUM('budget (11)'!D48:D49)</f>
        <v>51531387.949999996</v>
      </c>
      <c r="D15" s="669">
        <v>56990814</v>
      </c>
      <c r="E15" s="669">
        <f>D15/$E$3</f>
        <v>904616.09523809527</v>
      </c>
      <c r="F15" s="646">
        <f>+'Finanza 04-25'!E12</f>
        <v>17369004.440000001</v>
      </c>
      <c r="G15" s="646">
        <f>+'Finanza 04-25'!F12</f>
        <v>15930765.59</v>
      </c>
      <c r="H15" s="646">
        <f>+'CXP 04-25'!E37</f>
        <v>577985.34</v>
      </c>
      <c r="I15" s="646"/>
      <c r="J15" s="646">
        <f>+G15-H15+I15</f>
        <v>15352780.25</v>
      </c>
      <c r="K15" s="646">
        <f>F15-J15</f>
        <v>2016224.1900000013</v>
      </c>
      <c r="L15" s="646">
        <f>+D15-F15</f>
        <v>39621809.560000002</v>
      </c>
      <c r="M15" s="183"/>
      <c r="N15" s="184"/>
      <c r="O15" s="183"/>
      <c r="P15" s="183"/>
    </row>
    <row r="16" spans="1:16">
      <c r="B16" s="112" t="s">
        <v>46</v>
      </c>
      <c r="C16" s="666">
        <f>SUM('budget (11)'!D50)</f>
        <v>19238385</v>
      </c>
      <c r="D16" s="667">
        <v>21656506</v>
      </c>
      <c r="E16" s="667">
        <f>D16/$E$3</f>
        <v>343754.06349206349</v>
      </c>
      <c r="F16" s="645">
        <f>+'Finanza 04-25'!E13</f>
        <v>0</v>
      </c>
      <c r="G16" s="645">
        <f>+'Finanza 04-25'!F13</f>
        <v>0</v>
      </c>
      <c r="H16" s="645"/>
      <c r="I16" s="645"/>
      <c r="J16" s="645">
        <f t="shared" si="3"/>
        <v>0</v>
      </c>
      <c r="K16" s="645">
        <f t="shared" si="1"/>
        <v>0</v>
      </c>
      <c r="L16" s="645">
        <f>+D16-F16</f>
        <v>21656506</v>
      </c>
      <c r="M16" s="183"/>
      <c r="N16" s="184"/>
      <c r="O16" s="183"/>
      <c r="P16" s="183"/>
    </row>
    <row r="17" spans="2:16">
      <c r="B17" s="254" t="s">
        <v>47</v>
      </c>
      <c r="C17" s="665">
        <f t="shared" ref="C17:K17" si="4">SUM(C12:C16)</f>
        <v>557226071.95000005</v>
      </c>
      <c r="D17" s="665">
        <f t="shared" si="4"/>
        <v>614550940</v>
      </c>
      <c r="E17" s="665">
        <f>SUM(E12:E16)</f>
        <v>9754776.8253968265</v>
      </c>
      <c r="F17" s="655">
        <f>SUM(F12:F16)</f>
        <v>23086167.630000003</v>
      </c>
      <c r="G17" s="655">
        <f t="shared" si="4"/>
        <v>21647928.780000001</v>
      </c>
      <c r="H17" s="655">
        <f t="shared" si="4"/>
        <v>577985.34</v>
      </c>
      <c r="I17" s="655">
        <f t="shared" si="4"/>
        <v>0</v>
      </c>
      <c r="J17" s="655">
        <f t="shared" si="4"/>
        <v>21069943.439999998</v>
      </c>
      <c r="K17" s="655">
        <f t="shared" si="4"/>
        <v>2016224.1900000013</v>
      </c>
      <c r="L17" s="655">
        <f t="shared" ref="L17" si="5">SUM(L12:L16)</f>
        <v>591464772.36999989</v>
      </c>
      <c r="M17" s="183"/>
      <c r="N17" s="184"/>
      <c r="O17" s="183"/>
      <c r="P17" s="183"/>
    </row>
    <row r="18" spans="2:16">
      <c r="B18" s="112" t="s">
        <v>48</v>
      </c>
      <c r="C18" s="670">
        <f>SUM('budget (11)'!D51:D52)</f>
        <v>15000000</v>
      </c>
      <c r="D18" s="671">
        <v>30500000</v>
      </c>
      <c r="E18" s="671">
        <f>D18/$E$3</f>
        <v>484126.98412698414</v>
      </c>
      <c r="F18" s="656">
        <f>+'Finanza 04-25'!E14</f>
        <v>17642705.52</v>
      </c>
      <c r="G18" s="656">
        <f>+'Finanza 04-25'!F14</f>
        <v>13396762.33</v>
      </c>
      <c r="H18" s="656">
        <f>+'CXP 04-25'!E41</f>
        <v>552632.57999999996</v>
      </c>
      <c r="I18" s="656">
        <f>+'Anticipos 04-25'!D5+'Anticipos 04-25'!D6</f>
        <v>362775.8</v>
      </c>
      <c r="J18" s="656">
        <f>+G18-H18+I18</f>
        <v>13206905.550000001</v>
      </c>
      <c r="K18" s="645">
        <f>F18-J18</f>
        <v>4435799.9699999988</v>
      </c>
      <c r="L18" s="645">
        <f>+D18-F18</f>
        <v>12857294.48</v>
      </c>
      <c r="M18" s="183"/>
      <c r="N18" s="184"/>
      <c r="O18" s="183"/>
      <c r="P18" s="185"/>
    </row>
    <row r="19" spans="2:16">
      <c r="B19" s="115" t="s">
        <v>49</v>
      </c>
      <c r="C19" s="668">
        <f>SUM('budget (11)'!D4:D10)</f>
        <v>20789999.999999996</v>
      </c>
      <c r="D19" s="669">
        <v>20789999.999999996</v>
      </c>
      <c r="E19" s="669">
        <f>D19/$E$3</f>
        <v>329999.99999999994</v>
      </c>
      <c r="F19" s="646">
        <f>+'Finanza 04-25'!E3</f>
        <v>22145624.059999999</v>
      </c>
      <c r="G19" s="646">
        <f>+'Finanza 04-25'!F3</f>
        <v>21662335.649999999</v>
      </c>
      <c r="H19" s="646">
        <f>+'CXP 04-25'!E14</f>
        <v>108350.26</v>
      </c>
      <c r="I19" s="646">
        <f>+'Anticipos 04-25'!D2+'Anticipos 04-25'!D3+'Anticipos 04-25'!D4</f>
        <v>351250</v>
      </c>
      <c r="J19" s="646">
        <f>+G19-H19+I19</f>
        <v>21905235.389999997</v>
      </c>
      <c r="K19" s="646">
        <f>F19-J19</f>
        <v>240388.67000000179</v>
      </c>
      <c r="L19" s="646">
        <f>+D19-F19</f>
        <v>-1355624.0600000024</v>
      </c>
      <c r="M19" s="183"/>
      <c r="N19" s="184"/>
      <c r="O19" s="183"/>
      <c r="P19" s="183"/>
    </row>
    <row r="20" spans="2:16">
      <c r="B20" s="112" t="s">
        <v>50</v>
      </c>
      <c r="C20" s="666">
        <f>SUM('budget (11)'!D54)</f>
        <v>192383847</v>
      </c>
      <c r="D20" s="667">
        <v>216565093</v>
      </c>
      <c r="E20" s="667">
        <f>D20/$E$3</f>
        <v>3437541.1587301586</v>
      </c>
      <c r="F20" s="645">
        <f>+'Finanza 04-25'!E16</f>
        <v>0</v>
      </c>
      <c r="G20" s="645">
        <f>+'Finanza 04-25'!F16</f>
        <v>0</v>
      </c>
      <c r="H20" s="645"/>
      <c r="I20" s="645"/>
      <c r="J20" s="645">
        <f t="shared" ref="J20:J21" si="6">+G20-H20+I20</f>
        <v>0</v>
      </c>
      <c r="K20" s="645">
        <f t="shared" si="1"/>
        <v>0</v>
      </c>
      <c r="L20" s="645">
        <f>+D20-F20</f>
        <v>216565093</v>
      </c>
      <c r="M20" s="183"/>
      <c r="N20" s="184"/>
      <c r="O20" s="183"/>
      <c r="P20" s="183"/>
    </row>
    <row r="21" spans="2:16">
      <c r="B21" s="115" t="s">
        <v>51</v>
      </c>
      <c r="C21" s="668">
        <f>SUM('budget (11)'!D53)</f>
        <v>19238385</v>
      </c>
      <c r="D21" s="669">
        <v>21656509</v>
      </c>
      <c r="E21" s="669">
        <f>D21/$E$3</f>
        <v>343754.11111111112</v>
      </c>
      <c r="F21" s="646">
        <f>+'Finanza 04-25'!E15</f>
        <v>0</v>
      </c>
      <c r="G21" s="646">
        <f>+'Finanza 04-25'!F15</f>
        <v>0</v>
      </c>
      <c r="H21" s="646"/>
      <c r="I21" s="646"/>
      <c r="J21" s="646">
        <f t="shared" si="6"/>
        <v>0</v>
      </c>
      <c r="K21" s="646">
        <f t="shared" si="1"/>
        <v>0</v>
      </c>
      <c r="L21" s="646">
        <f>+D21-F21</f>
        <v>21656509</v>
      </c>
      <c r="M21" s="183"/>
      <c r="N21" s="184"/>
      <c r="O21" s="183"/>
      <c r="P21" s="183"/>
    </row>
    <row r="22" spans="2:16">
      <c r="B22" s="254" t="s">
        <v>52</v>
      </c>
      <c r="C22" s="665">
        <f t="shared" ref="C22:L22" si="7">SUM(C18:C21)</f>
        <v>247412232</v>
      </c>
      <c r="D22" s="665">
        <f t="shared" si="7"/>
        <v>289511602</v>
      </c>
      <c r="E22" s="665">
        <f t="shared" si="7"/>
        <v>4595422.2539682537</v>
      </c>
      <c r="F22" s="655">
        <f t="shared" si="7"/>
        <v>39788329.579999998</v>
      </c>
      <c r="G22" s="655">
        <f t="shared" si="7"/>
        <v>35059097.979999997</v>
      </c>
      <c r="H22" s="655">
        <f t="shared" si="7"/>
        <v>660982.84</v>
      </c>
      <c r="I22" s="655">
        <f t="shared" si="7"/>
        <v>714025.8</v>
      </c>
      <c r="J22" s="655">
        <f t="shared" si="7"/>
        <v>35112140.939999998</v>
      </c>
      <c r="K22" s="655">
        <f t="shared" si="7"/>
        <v>4676188.6400000006</v>
      </c>
      <c r="L22" s="655">
        <f t="shared" si="7"/>
        <v>249723272.41999999</v>
      </c>
      <c r="M22" s="183"/>
      <c r="N22" s="184"/>
      <c r="O22" s="183"/>
      <c r="P22" s="183"/>
    </row>
    <row r="23" spans="2:16" ht="18.600000000000001" thickBot="1">
      <c r="B23" s="333" t="s">
        <v>1156</v>
      </c>
      <c r="C23" s="672">
        <f>C5+C11+C17+C22</f>
        <v>2831861942.9499998</v>
      </c>
      <c r="D23" s="672">
        <f>D5+D11+D17+D22</f>
        <v>3173098639</v>
      </c>
      <c r="E23" s="672">
        <f>E5+E11+E17+E22</f>
        <v>50366645.06349206</v>
      </c>
      <c r="F23" s="657">
        <f t="shared" ref="F23:L23" si="8">F22+F17+F11+F5</f>
        <v>202812460.76999998</v>
      </c>
      <c r="G23" s="657">
        <f t="shared" si="8"/>
        <v>167207353.94999999</v>
      </c>
      <c r="H23" s="657">
        <f t="shared" si="8"/>
        <v>4048207.92</v>
      </c>
      <c r="I23" s="657">
        <f t="shared" si="8"/>
        <v>3914025.8</v>
      </c>
      <c r="J23" s="657">
        <f>J22+J17+J11+J5</f>
        <v>167073171.82999998</v>
      </c>
      <c r="K23" s="657">
        <f>K22+K17+K11+K5</f>
        <v>35739288.939999998</v>
      </c>
      <c r="L23" s="657">
        <f t="shared" si="8"/>
        <v>2932292302.23</v>
      </c>
      <c r="M23" s="183"/>
      <c r="N23" s="184"/>
      <c r="O23" s="183"/>
      <c r="P23" s="183"/>
    </row>
    <row r="24" spans="2:16" ht="15" thickBot="1">
      <c r="F24" s="369">
        <f>+'Finanza 25-03-25'!E17</f>
        <v>164536552.51999998</v>
      </c>
      <c r="G24" s="369">
        <f>+'Finanza 25-03-25'!F17</f>
        <v>158993430.36000001</v>
      </c>
      <c r="H24" s="369"/>
      <c r="I24" s="369"/>
      <c r="J24" s="369"/>
      <c r="K24" s="320"/>
      <c r="L24" s="368"/>
    </row>
    <row r="25" spans="2:16" ht="15" thickBot="1">
      <c r="D25" s="320"/>
      <c r="F25" s="368">
        <f>+F23-F24</f>
        <v>38275908.25</v>
      </c>
      <c r="G25" s="368">
        <f>+G23-G24</f>
        <v>8213923.5899999738</v>
      </c>
      <c r="H25" s="434" t="s">
        <v>653</v>
      </c>
      <c r="I25" s="435">
        <f>+'BCE 04-25'!C40</f>
        <v>159695773.63999999</v>
      </c>
      <c r="J25" s="368">
        <v>160000000</v>
      </c>
      <c r="K25" s="142"/>
      <c r="L25" s="108"/>
      <c r="N25" s="186" t="s">
        <v>189</v>
      </c>
      <c r="O25" s="190">
        <v>2831861942.3920002</v>
      </c>
    </row>
    <row r="26" spans="2:16" ht="15" thickBot="1">
      <c r="D26" s="320"/>
      <c r="F26" s="368"/>
      <c r="G26" s="368"/>
      <c r="H26" s="586" t="s">
        <v>1157</v>
      </c>
      <c r="I26" s="587">
        <f>+'BCE 04-25'!C29</f>
        <v>15000000</v>
      </c>
      <c r="J26" s="368"/>
      <c r="K26" s="142"/>
      <c r="L26" s="108"/>
      <c r="N26" s="186"/>
      <c r="O26" s="190"/>
    </row>
    <row r="27" spans="2:16" ht="15" thickBot="1">
      <c r="D27" s="370"/>
      <c r="E27" s="320"/>
      <c r="F27" s="474"/>
      <c r="H27" s="436" t="s">
        <v>654</v>
      </c>
      <c r="I27" s="437">
        <f>-'BCE 04-25'!C14</f>
        <v>-12564439.189999999</v>
      </c>
      <c r="J27" s="108">
        <f>J25-J23</f>
        <v>-7073171.8299999833</v>
      </c>
      <c r="K27" s="320"/>
      <c r="N27" s="188" t="s">
        <v>190</v>
      </c>
      <c r="O27" s="189">
        <f>C23</f>
        <v>2831861942.9499998</v>
      </c>
    </row>
    <row r="28" spans="2:16" ht="15" thickBot="1">
      <c r="C28" s="489"/>
      <c r="D28" s="370"/>
      <c r="F28" s="474"/>
      <c r="H28" s="441" t="s">
        <v>655</v>
      </c>
      <c r="I28" s="442">
        <f>+'BCE 04-25'!C31+'BCE 04-25'!C32+'BCE 04-25'!C33</f>
        <v>730727.94</v>
      </c>
      <c r="J28" s="445">
        <f>+K23</f>
        <v>35739288.939999998</v>
      </c>
      <c r="K28" s="320"/>
      <c r="N28" s="187" t="s">
        <v>191</v>
      </c>
      <c r="O28" s="191">
        <f>O25-O27</f>
        <v>-0.55799961090087891</v>
      </c>
    </row>
    <row r="29" spans="2:16">
      <c r="C29" s="489"/>
      <c r="D29" s="370"/>
      <c r="F29" s="474"/>
      <c r="H29" s="441" t="s">
        <v>808</v>
      </c>
      <c r="I29" s="442">
        <f>+'BCE 04-25'!C30</f>
        <v>4150308.72</v>
      </c>
      <c r="J29" s="445"/>
      <c r="K29" s="320"/>
      <c r="N29" s="183"/>
      <c r="O29" s="508"/>
    </row>
    <row r="30" spans="2:16">
      <c r="C30" s="489"/>
      <c r="D30" s="370"/>
      <c r="F30" s="474"/>
      <c r="H30" s="441" t="s">
        <v>896</v>
      </c>
      <c r="I30" s="442">
        <v>0</v>
      </c>
      <c r="J30" s="445"/>
      <c r="K30" s="320"/>
      <c r="N30" s="183"/>
      <c r="O30" s="508"/>
    </row>
    <row r="31" spans="2:16">
      <c r="C31" s="489"/>
      <c r="D31" s="370"/>
      <c r="F31" s="474"/>
      <c r="H31" s="441" t="s">
        <v>888</v>
      </c>
      <c r="I31" s="442">
        <v>0</v>
      </c>
      <c r="J31" s="445"/>
      <c r="K31" s="320"/>
      <c r="N31" s="183"/>
      <c r="O31" s="508"/>
    </row>
    <row r="32" spans="2:16" ht="15" thickBot="1">
      <c r="C32" s="369"/>
      <c r="D32" s="370"/>
      <c r="H32" s="438" t="s">
        <v>656</v>
      </c>
      <c r="I32" s="439">
        <f>SUM(I25:I31)</f>
        <v>167012371.10999998</v>
      </c>
      <c r="J32" s="445">
        <f>J27-J28</f>
        <v>-42812460.769999981</v>
      </c>
    </row>
    <row r="33" spans="1:16">
      <c r="C33" s="161"/>
      <c r="D33" s="370"/>
      <c r="H33" s="440" t="s">
        <v>657</v>
      </c>
      <c r="I33" s="445">
        <f>+J23</f>
        <v>167073171.82999998</v>
      </c>
    </row>
    <row r="34" spans="1:16">
      <c r="H34" s="443" t="s">
        <v>658</v>
      </c>
      <c r="I34" s="443">
        <f>+I32-I33</f>
        <v>-60800.719999998808</v>
      </c>
      <c r="J34" s="444">
        <f>+'BCE 04-25'!C41+'BCE 04-25'!C42</f>
        <v>60800.790000000008</v>
      </c>
      <c r="K34" s="444">
        <f>+I34+J34</f>
        <v>7.0000001200241968E-2</v>
      </c>
    </row>
    <row r="35" spans="1:16">
      <c r="A35" s="192"/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</row>
    <row r="37" spans="1:16">
      <c r="B37" s="254" t="s">
        <v>47</v>
      </c>
    </row>
    <row r="38" spans="1:16">
      <c r="B38" s="112" t="s">
        <v>48</v>
      </c>
    </row>
    <row r="39" spans="1:16">
      <c r="B39" s="115" t="s">
        <v>49</v>
      </c>
    </row>
    <row r="40" spans="1:16">
      <c r="B40" s="112" t="s">
        <v>50</v>
      </c>
    </row>
    <row r="41" spans="1:16">
      <c r="B41" s="115" t="s">
        <v>51</v>
      </c>
    </row>
    <row r="42" spans="1:16">
      <c r="B42" s="254" t="s">
        <v>52</v>
      </c>
    </row>
    <row r="43" spans="1:16" ht="18.600000000000001" thickBot="1">
      <c r="B43" s="333" t="s">
        <v>229</v>
      </c>
    </row>
    <row r="45" spans="1:16" ht="15" thickBot="1"/>
    <row r="46" spans="1:16">
      <c r="B46" s="335" t="s">
        <v>234</v>
      </c>
      <c r="C46" s="336">
        <v>160000000</v>
      </c>
      <c r="D46" s="336"/>
      <c r="E46" s="336"/>
    </row>
    <row r="47" spans="1:16">
      <c r="B47" s="588" t="s">
        <v>1158</v>
      </c>
      <c r="C47" s="589">
        <v>15000000</v>
      </c>
      <c r="D47" s="589"/>
      <c r="E47" s="589"/>
    </row>
    <row r="48" spans="1:16">
      <c r="B48" s="112" t="s">
        <v>153</v>
      </c>
      <c r="C48" s="403">
        <f>+J23+K23</f>
        <v>202812460.76999998</v>
      </c>
      <c r="D48" s="403"/>
      <c r="E48" s="403">
        <f>C48/C46</f>
        <v>1.2675778798124999</v>
      </c>
    </row>
    <row r="49" spans="2:5" ht="15" thickBot="1">
      <c r="B49" s="339" t="s">
        <v>154</v>
      </c>
      <c r="C49" s="340">
        <f>+C46+C47-C48</f>
        <v>-27812460.769999981</v>
      </c>
      <c r="D49" s="340"/>
      <c r="E49" s="340">
        <f>C49/C46</f>
        <v>-0.17382787981249989</v>
      </c>
    </row>
  </sheetData>
  <mergeCells count="8">
    <mergeCell ref="M1:P2"/>
    <mergeCell ref="F3:F4"/>
    <mergeCell ref="G3:G4"/>
    <mergeCell ref="H3:H4"/>
    <mergeCell ref="I3:I4"/>
    <mergeCell ref="J3:J4"/>
    <mergeCell ref="K3:K4"/>
    <mergeCell ref="L3:L4"/>
  </mergeCells>
  <conditionalFormatting sqref="M6:M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M9">
    <cfRule type="iconSet" priority="1">
      <iconSet iconSet="3Arrows">
        <cfvo type="percent" val="0"/>
        <cfvo type="percent" val="45"/>
        <cfvo type="percent" val="80"/>
      </iconSet>
    </cfRule>
  </conditionalFormatting>
  <conditionalFormatting sqref="M13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M15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M19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M21">
    <cfRule type="iconSet" priority="2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ignoredErrors>
    <ignoredError sqref="C5:C19" formulaRange="1"/>
    <ignoredError sqref="E11:L11 E17:L17" formula="1"/>
  </ignoredErrors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67B61-FA15-445E-ADFB-FF5247A11043}">
  <dimension ref="B2:H35"/>
  <sheetViews>
    <sheetView showGridLines="0" zoomScale="110" zoomScaleNormal="110" workbookViewId="0">
      <selection activeCell="C15" sqref="C15"/>
    </sheetView>
  </sheetViews>
  <sheetFormatPr baseColWidth="10" defaultColWidth="11.44140625" defaultRowHeight="14.4"/>
  <cols>
    <col min="1" max="1" width="18.6640625" customWidth="1"/>
    <col min="2" max="2" width="39.88671875" bestFit="1" customWidth="1"/>
    <col min="3" max="3" width="18.44140625" bestFit="1" customWidth="1"/>
    <col min="4" max="4" width="18" bestFit="1" customWidth="1"/>
    <col min="5" max="5" width="17.44140625" bestFit="1" customWidth="1"/>
    <col min="6" max="6" width="18.6640625" customWidth="1"/>
    <col min="7" max="7" width="18.5546875" customWidth="1"/>
    <col min="8" max="8" width="17.5546875" bestFit="1" customWidth="1"/>
    <col min="10" max="10" width="15.5546875" bestFit="1" customWidth="1"/>
    <col min="11" max="11" width="14.33203125" bestFit="1" customWidth="1"/>
    <col min="12" max="12" width="13.6640625" bestFit="1" customWidth="1"/>
  </cols>
  <sheetData>
    <row r="2" spans="2:8">
      <c r="D2">
        <v>59.9</v>
      </c>
    </row>
    <row r="3" spans="2:8">
      <c r="B3" s="142">
        <v>160000000</v>
      </c>
      <c r="C3" s="162">
        <f>B3-C4</f>
        <v>65967960.159999996</v>
      </c>
      <c r="D3" s="162">
        <f>C3-(SUM(D5:D8))</f>
        <v>41084982.207438283</v>
      </c>
    </row>
    <row r="4" spans="2:8" ht="15" thickBot="1">
      <c r="B4" s="284" t="s">
        <v>259</v>
      </c>
      <c r="C4" s="142">
        <v>94032039.840000004</v>
      </c>
      <c r="D4" s="142"/>
    </row>
    <row r="5" spans="2:8" ht="15.6" thickTop="1" thickBot="1">
      <c r="B5" s="284" t="s">
        <v>260</v>
      </c>
      <c r="C5" s="142"/>
      <c r="D5" s="162">
        <f>D10*$D$2</f>
        <v>9215810.2113617156</v>
      </c>
    </row>
    <row r="6" spans="2:8" ht="15.6" thickTop="1" thickBot="1">
      <c r="B6" s="285" t="s">
        <v>261</v>
      </c>
      <c r="C6" s="142"/>
      <c r="D6" s="162">
        <f t="shared" ref="D6:D7" si="0">D11*$D$2</f>
        <v>781278.0959999999</v>
      </c>
    </row>
    <row r="7" spans="2:8" ht="15.6" thickTop="1" thickBot="1">
      <c r="B7" s="285" t="s">
        <v>149</v>
      </c>
      <c r="C7" s="142"/>
      <c r="D7" s="162">
        <f t="shared" si="0"/>
        <v>11511123.645199999</v>
      </c>
    </row>
    <row r="8" spans="2:8" ht="15.6" thickTop="1" thickBot="1">
      <c r="B8" s="285" t="s">
        <v>262</v>
      </c>
      <c r="C8" s="142"/>
      <c r="D8" s="162">
        <f>D13*$D$2</f>
        <v>3374766</v>
      </c>
    </row>
    <row r="9" spans="2:8" ht="15" thickTop="1"/>
    <row r="10" spans="2:8">
      <c r="D10" s="142">
        <v>153853.25895428573</v>
      </c>
    </row>
    <row r="11" spans="2:8">
      <c r="D11" s="142">
        <v>13043.039999999999</v>
      </c>
    </row>
    <row r="12" spans="2:8">
      <c r="D12" s="142">
        <v>192172.348</v>
      </c>
    </row>
    <row r="13" spans="2:8">
      <c r="D13" s="142">
        <v>56340</v>
      </c>
    </row>
    <row r="15" spans="2:8" ht="15" thickBot="1"/>
    <row r="16" spans="2:8" ht="31.2">
      <c r="B16" s="676"/>
      <c r="C16" s="677" t="s">
        <v>263</v>
      </c>
      <c r="D16" s="678" t="s">
        <v>1159</v>
      </c>
      <c r="E16" s="679">
        <v>45778</v>
      </c>
      <c r="F16" s="679">
        <v>45809</v>
      </c>
      <c r="G16" s="679">
        <v>45839</v>
      </c>
      <c r="H16" s="680">
        <v>45870</v>
      </c>
    </row>
    <row r="17" spans="2:8" ht="15.6">
      <c r="B17" s="681" t="s">
        <v>265</v>
      </c>
      <c r="C17" s="484">
        <f>160000000</f>
        <v>160000000</v>
      </c>
      <c r="D17" s="682"/>
      <c r="E17" s="682"/>
      <c r="F17" s="682"/>
      <c r="G17" s="682"/>
      <c r="H17" s="683"/>
    </row>
    <row r="18" spans="2:8" ht="15.6">
      <c r="B18" s="681" t="s">
        <v>960</v>
      </c>
      <c r="C18" s="684">
        <f>15000000</f>
        <v>15000000</v>
      </c>
      <c r="D18" s="347"/>
      <c r="E18" s="347"/>
      <c r="F18" s="347"/>
      <c r="G18" s="347"/>
      <c r="H18" s="685"/>
    </row>
    <row r="19" spans="2:8" ht="15.6">
      <c r="B19" s="681" t="s">
        <v>266</v>
      </c>
      <c r="C19" s="152"/>
      <c r="D19" s="686">
        <f>C17+C18-D20</f>
        <v>7926828.1700000167</v>
      </c>
      <c r="E19" s="686">
        <f>D19-E20</f>
        <v>-10054738.950636968</v>
      </c>
      <c r="F19" s="686">
        <f>E19-F20</f>
        <v>-33348746.650150668</v>
      </c>
      <c r="G19" s="686">
        <f t="shared" ref="G19:H19" si="1">F19-G20</f>
        <v>-50031084.301664367</v>
      </c>
      <c r="H19" s="687">
        <f t="shared" si="1"/>
        <v>-66313865.173178062</v>
      </c>
    </row>
    <row r="20" spans="2:8" ht="15.6">
      <c r="B20" s="681" t="s">
        <v>267</v>
      </c>
      <c r="C20" s="688"/>
      <c r="D20" s="684">
        <f>SUM(D22:D35)</f>
        <v>167073171.82999998</v>
      </c>
      <c r="E20" s="684">
        <f>SUM(E22:E35)</f>
        <v>17981567.120636985</v>
      </c>
      <c r="F20" s="684">
        <f>SUM(F22:F35)</f>
        <v>23294007.6995137</v>
      </c>
      <c r="G20" s="684">
        <f t="shared" ref="G20:H20" si="2">SUM(G22:G35)</f>
        <v>16682337.651513699</v>
      </c>
      <c r="H20" s="689">
        <f t="shared" si="2"/>
        <v>16282780.871513698</v>
      </c>
    </row>
    <row r="21" spans="2:8" ht="2.4" customHeight="1">
      <c r="B21" s="690"/>
      <c r="C21" s="691"/>
      <c r="D21" s="692"/>
      <c r="E21" s="692"/>
      <c r="F21" s="692"/>
      <c r="G21" s="692"/>
      <c r="H21" s="693"/>
    </row>
    <row r="22" spans="2:8" ht="15.6">
      <c r="B22" s="694" t="s">
        <v>259</v>
      </c>
      <c r="C22" s="354"/>
      <c r="D22" s="695">
        <f>+'PRESENTACIÓN 04-25'!J5</f>
        <v>94172341.829999998</v>
      </c>
      <c r="E22" s="695">
        <f>+'PRESENTACIÓN 04-25'!K5</f>
        <v>0</v>
      </c>
      <c r="F22" s="695"/>
      <c r="G22" s="695"/>
      <c r="H22" s="696"/>
    </row>
    <row r="23" spans="2:8" ht="15.6">
      <c r="B23" s="697" t="s">
        <v>260</v>
      </c>
      <c r="C23" s="688"/>
      <c r="D23" s="684">
        <f>+'PRESENTACIÓN 04-25'!J19</f>
        <v>21905235.389999997</v>
      </c>
      <c r="E23" s="684">
        <f>'Compromisos 04-25'!L9</f>
        <v>113449.78</v>
      </c>
      <c r="F23" s="684">
        <f>+'Compromisos 04-25'!M9</f>
        <v>126938.89</v>
      </c>
      <c r="G23" s="684"/>
      <c r="H23" s="689"/>
    </row>
    <row r="24" spans="2:8" ht="15.6">
      <c r="B24" s="697" t="s">
        <v>766</v>
      </c>
      <c r="C24" s="354"/>
      <c r="D24" s="695">
        <f>+'PRESENTACIÓN 04-25'!J18</f>
        <v>13206905.550000001</v>
      </c>
      <c r="E24" s="695">
        <f>+'Compromisos 04-25'!L65</f>
        <v>577412.57999999996</v>
      </c>
      <c r="F24" s="698">
        <f>+'Compromisos 04-25'!M65</f>
        <v>3784047.39</v>
      </c>
      <c r="G24" s="695">
        <f>+'Compromisos 04-25'!N65</f>
        <v>24780</v>
      </c>
      <c r="H24" s="696">
        <f>+'Compromisos 04-25'!O65</f>
        <v>24780</v>
      </c>
    </row>
    <row r="25" spans="2:8" ht="15.6">
      <c r="B25" s="697" t="s">
        <v>271</v>
      </c>
      <c r="C25" s="688"/>
      <c r="D25" s="699">
        <f>+'PRESENTACIÓN 04-25'!J6</f>
        <v>12419083.59</v>
      </c>
      <c r="E25" s="684">
        <f>+'Compromisos 04-25'!L33</f>
        <v>7049644.9804999996</v>
      </c>
      <c r="F25" s="684">
        <f>+'Compromisos 04-25'!M33</f>
        <v>6693908.4265000001</v>
      </c>
      <c r="G25" s="684">
        <f>+'Compromisos 04-25'!N33</f>
        <v>6196682.3085000003</v>
      </c>
      <c r="H25" s="689">
        <f>+'Compromisos 04-25'!O33</f>
        <v>6196682.3085000003</v>
      </c>
    </row>
    <row r="26" spans="2:8" ht="15.6">
      <c r="B26" s="697" t="s">
        <v>449</v>
      </c>
      <c r="C26" s="354"/>
      <c r="D26" s="695">
        <f>+'PRESENTACIÓN 04-25'!J15</f>
        <v>15352780.25</v>
      </c>
      <c r="E26" s="695">
        <f>+'Compromisos 04-25'!L58</f>
        <v>1851558.7701369862</v>
      </c>
      <c r="F26" s="695">
        <f>+'Compromisos 04-25'!M58</f>
        <v>3255677.4930136986</v>
      </c>
      <c r="G26" s="695">
        <f>+'Compromisos 04-25'!N58</f>
        <v>1027439.8430136987</v>
      </c>
      <c r="H26" s="696">
        <f>+'Compromisos 04-25'!O58</f>
        <v>627883.06301369867</v>
      </c>
    </row>
    <row r="27" spans="2:8" ht="15.6">
      <c r="B27" s="697" t="s">
        <v>810</v>
      </c>
      <c r="C27" s="688"/>
      <c r="D27" s="684">
        <f>+'PRESENTACIÓN 04-25'!J14</f>
        <v>541691.47</v>
      </c>
      <c r="E27" s="684">
        <f>590*63.45</f>
        <v>37435.5</v>
      </c>
      <c r="F27" s="684">
        <f t="shared" ref="F27:H27" si="3">590*63.45</f>
        <v>37435.5</v>
      </c>
      <c r="G27" s="684">
        <f t="shared" si="3"/>
        <v>37435.5</v>
      </c>
      <c r="H27" s="689">
        <f t="shared" si="3"/>
        <v>37435.5</v>
      </c>
    </row>
    <row r="28" spans="2:8" ht="3.6" customHeight="1">
      <c r="B28" s="700"/>
      <c r="C28" s="360"/>
      <c r="D28" s="701"/>
      <c r="E28" s="701"/>
      <c r="F28" s="701"/>
      <c r="G28" s="701"/>
      <c r="H28" s="702"/>
    </row>
    <row r="29" spans="2:8" ht="15.6">
      <c r="B29" s="703" t="s">
        <v>767</v>
      </c>
      <c r="C29" s="484"/>
      <c r="D29" s="485">
        <f>+'PRESENTACIÓN 04-25'!J9</f>
        <v>4299662.03</v>
      </c>
      <c r="E29" s="485">
        <f>+'Compromisos 04-25'!L38+2360000</f>
        <v>5194529.51</v>
      </c>
      <c r="F29" s="485">
        <f>2000000*1.18</f>
        <v>2360000</v>
      </c>
      <c r="G29" s="485">
        <f t="shared" ref="G29:H29" si="4">2000000*1.18</f>
        <v>2360000</v>
      </c>
      <c r="H29" s="704">
        <f t="shared" si="4"/>
        <v>2360000</v>
      </c>
    </row>
    <row r="30" spans="2:8" ht="15.6">
      <c r="B30" s="703" t="s">
        <v>768</v>
      </c>
      <c r="C30" s="688"/>
      <c r="D30" s="699">
        <f>+'PRESENTACIÓN 04-25'!J12</f>
        <v>1931175.97</v>
      </c>
      <c r="E30" s="684">
        <f>+'Compromiso 15-04-25'!H35</f>
        <v>1770000</v>
      </c>
      <c r="F30" s="684">
        <v>1770000</v>
      </c>
      <c r="G30" s="684">
        <v>1770000</v>
      </c>
      <c r="H30" s="689">
        <v>1770000</v>
      </c>
    </row>
    <row r="31" spans="2:8" ht="15.6">
      <c r="B31" s="703" t="s">
        <v>961</v>
      </c>
      <c r="C31" s="484"/>
      <c r="D31" s="485">
        <f>+'PRESENTACIÓN 04-25'!J13-D32</f>
        <v>2477295.75</v>
      </c>
      <c r="E31" s="485">
        <v>620536</v>
      </c>
      <c r="F31" s="485">
        <v>677000</v>
      </c>
      <c r="G31" s="485">
        <v>677000</v>
      </c>
      <c r="H31" s="704">
        <v>677000</v>
      </c>
    </row>
    <row r="32" spans="2:8" ht="15.6">
      <c r="B32" s="705" t="s">
        <v>962</v>
      </c>
      <c r="C32" s="673"/>
      <c r="D32" s="674">
        <v>767000</v>
      </c>
      <c r="E32" s="675">
        <f>650000*1.18</f>
        <v>767000</v>
      </c>
      <c r="F32" s="675">
        <f t="shared" ref="F32:H32" si="5">650000*1.18</f>
        <v>767000</v>
      </c>
      <c r="G32" s="675">
        <f t="shared" si="5"/>
        <v>767000</v>
      </c>
      <c r="H32" s="706">
        <f t="shared" si="5"/>
        <v>767000</v>
      </c>
    </row>
    <row r="33" spans="2:8" ht="15.6">
      <c r="B33" s="703" t="s">
        <v>770</v>
      </c>
      <c r="C33" s="484"/>
      <c r="D33" s="485"/>
      <c r="E33" s="485"/>
      <c r="F33" s="485">
        <f>60000*63.7</f>
        <v>3822000</v>
      </c>
      <c r="G33" s="485">
        <f t="shared" ref="G33:H33" si="6">60000*63.7</f>
        <v>3822000</v>
      </c>
      <c r="H33" s="704">
        <f t="shared" si="6"/>
        <v>3822000</v>
      </c>
    </row>
    <row r="34" spans="2:8" ht="15.6">
      <c r="B34" s="703" t="s">
        <v>273</v>
      </c>
      <c r="C34" s="688"/>
      <c r="D34" s="684"/>
      <c r="E34" s="684"/>
      <c r="F34" s="684"/>
      <c r="G34" s="684"/>
      <c r="H34" s="689"/>
    </row>
    <row r="35" spans="2:8" ht="16.2" thickBot="1">
      <c r="B35" s="707" t="s">
        <v>274</v>
      </c>
      <c r="C35" s="708"/>
      <c r="D35" s="709"/>
      <c r="E35" s="710"/>
      <c r="F35" s="711"/>
      <c r="G35" s="709"/>
      <c r="H35" s="712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F5AFF-78F1-41CF-A290-0EBFE09CB202}">
  <dimension ref="A1:K71"/>
  <sheetViews>
    <sheetView showGridLines="0" zoomScaleNormal="100" workbookViewId="0">
      <selection activeCell="C15" sqref="C15"/>
    </sheetView>
  </sheetViews>
  <sheetFormatPr baseColWidth="10" defaultColWidth="8" defaultRowHeight="14.4"/>
  <cols>
    <col min="1" max="1" width="40.109375" style="408" customWidth="1"/>
    <col min="2" max="2" width="17.88671875" style="408" bestFit="1" customWidth="1"/>
    <col min="3" max="3" width="12.6640625" style="408" bestFit="1" customWidth="1"/>
    <col min="4" max="4" width="8.6640625" style="408" bestFit="1" customWidth="1"/>
    <col min="5" max="5" width="10.109375" style="408" bestFit="1" customWidth="1"/>
    <col min="6" max="6" width="16.6640625" style="408" bestFit="1" customWidth="1"/>
    <col min="7" max="7" width="11.6640625" style="713" bestFit="1" customWidth="1"/>
    <col min="8" max="8" width="11.44140625" style="713" bestFit="1" customWidth="1"/>
    <col min="9" max="9" width="9.33203125" style="714" bestFit="1" customWidth="1"/>
    <col min="10" max="10" width="11.44140625" style="713" bestFit="1" customWidth="1"/>
    <col min="11" max="16384" width="8" style="408"/>
  </cols>
  <sheetData>
    <row r="1" spans="1:11" s="405" customFormat="1" ht="16.649999999999999" customHeight="1">
      <c r="A1" s="404" t="s">
        <v>967</v>
      </c>
      <c r="B1" s="404"/>
      <c r="C1" s="404"/>
      <c r="D1" s="404"/>
      <c r="E1" s="404"/>
      <c r="G1" s="728"/>
      <c r="H1" s="728"/>
      <c r="I1" s="729"/>
      <c r="J1" s="728"/>
    </row>
    <row r="2" spans="1:11" s="407" customFormat="1" ht="14.4" customHeight="1">
      <c r="A2" s="406" t="s">
        <v>236</v>
      </c>
      <c r="B2" s="406"/>
      <c r="C2" s="406"/>
      <c r="D2" s="406"/>
      <c r="E2" s="406"/>
      <c r="G2" s="726"/>
      <c r="H2" s="726"/>
      <c r="I2" s="727"/>
      <c r="J2" s="726"/>
    </row>
    <row r="3" spans="1:11" s="407" customFormat="1" ht="14.4" customHeight="1">
      <c r="A3" s="406" t="s">
        <v>1160</v>
      </c>
      <c r="B3" s="406"/>
      <c r="C3" s="406"/>
      <c r="D3" s="406"/>
      <c r="E3" s="406"/>
      <c r="G3" s="726"/>
      <c r="H3" s="726"/>
      <c r="I3" s="727"/>
      <c r="J3" s="726"/>
    </row>
    <row r="4" spans="1:11" ht="13.35" customHeight="1"/>
    <row r="5" spans="1:11" s="721" customFormat="1" ht="43.2">
      <c r="A5" s="529" t="s">
        <v>690</v>
      </c>
      <c r="B5" s="529" t="s">
        <v>972</v>
      </c>
      <c r="C5" s="725" t="s">
        <v>973</v>
      </c>
      <c r="D5" s="725" t="s">
        <v>974</v>
      </c>
      <c r="E5" s="529" t="s">
        <v>976</v>
      </c>
      <c r="F5" s="724" t="s">
        <v>451</v>
      </c>
      <c r="G5" s="722" t="s">
        <v>968</v>
      </c>
      <c r="H5" s="722" t="s">
        <v>969</v>
      </c>
      <c r="I5" s="723" t="s">
        <v>970</v>
      </c>
      <c r="J5" s="722" t="s">
        <v>971</v>
      </c>
    </row>
    <row r="6" spans="1:11" ht="10.95" customHeight="1">
      <c r="A6" s="421" t="s">
        <v>1161</v>
      </c>
      <c r="B6" s="421" t="s">
        <v>980</v>
      </c>
      <c r="C6" s="422">
        <v>0</v>
      </c>
      <c r="D6" s="422">
        <v>972.41</v>
      </c>
      <c r="E6" s="715">
        <f t="shared" ref="E6:E37" si="0">+D6-C6</f>
        <v>972.41</v>
      </c>
      <c r="F6" s="717" t="s">
        <v>977</v>
      </c>
      <c r="G6" s="713">
        <v>0</v>
      </c>
      <c r="H6" s="713">
        <v>160662</v>
      </c>
      <c r="I6" s="714">
        <v>34</v>
      </c>
      <c r="J6" s="713">
        <v>160662</v>
      </c>
    </row>
    <row r="7" spans="1:11" ht="10.95" customHeight="1">
      <c r="A7" s="414" t="s">
        <v>982</v>
      </c>
      <c r="B7" s="716" t="s">
        <v>977</v>
      </c>
      <c r="C7" s="415">
        <v>0</v>
      </c>
      <c r="D7" s="415">
        <v>24470</v>
      </c>
      <c r="E7" s="715">
        <f t="shared" si="0"/>
        <v>24470</v>
      </c>
      <c r="F7" s="720" t="s">
        <v>979</v>
      </c>
      <c r="G7" s="718">
        <v>3000</v>
      </c>
      <c r="H7" s="718">
        <v>3000</v>
      </c>
      <c r="I7" s="719">
        <v>2</v>
      </c>
      <c r="J7" s="718">
        <v>0</v>
      </c>
    </row>
    <row r="8" spans="1:11" ht="10.95" customHeight="1">
      <c r="A8" s="414" t="s">
        <v>983</v>
      </c>
      <c r="B8" s="414" t="s">
        <v>1162</v>
      </c>
      <c r="C8" s="415">
        <v>0</v>
      </c>
      <c r="D8" s="415">
        <v>996</v>
      </c>
      <c r="E8" s="715">
        <f t="shared" si="0"/>
        <v>996</v>
      </c>
      <c r="F8" s="717" t="s">
        <v>980</v>
      </c>
      <c r="G8" s="713">
        <v>0</v>
      </c>
      <c r="H8" s="713">
        <v>2972.41</v>
      </c>
      <c r="I8" s="714">
        <v>3</v>
      </c>
      <c r="J8" s="713">
        <v>2972.41</v>
      </c>
    </row>
    <row r="9" spans="1:11" ht="10.95" customHeight="1">
      <c r="A9" s="414" t="s">
        <v>1163</v>
      </c>
      <c r="B9" s="414" t="s">
        <v>977</v>
      </c>
      <c r="C9" s="415">
        <v>0</v>
      </c>
      <c r="D9" s="415">
        <v>13930</v>
      </c>
      <c r="E9" s="715">
        <f t="shared" si="0"/>
        <v>13930</v>
      </c>
      <c r="F9" s="717" t="s">
        <v>1162</v>
      </c>
      <c r="G9" s="713">
        <v>0</v>
      </c>
      <c r="H9" s="713">
        <v>3989</v>
      </c>
      <c r="I9" s="714">
        <v>4</v>
      </c>
      <c r="J9" s="713">
        <v>3989</v>
      </c>
      <c r="K9" s="408" t="s">
        <v>1164</v>
      </c>
    </row>
    <row r="10" spans="1:11" ht="10.95" customHeight="1">
      <c r="A10" s="414" t="s">
        <v>984</v>
      </c>
      <c r="B10" s="414" t="s">
        <v>977</v>
      </c>
      <c r="C10" s="415">
        <v>0</v>
      </c>
      <c r="D10" s="415">
        <v>1000</v>
      </c>
      <c r="E10" s="715">
        <f t="shared" si="0"/>
        <v>1000</v>
      </c>
      <c r="F10" s="717" t="s">
        <v>1165</v>
      </c>
      <c r="G10" s="713">
        <v>0</v>
      </c>
      <c r="H10" s="713">
        <v>17975.87</v>
      </c>
      <c r="I10" s="714">
        <v>16</v>
      </c>
      <c r="J10" s="713">
        <v>17975.87</v>
      </c>
    </row>
    <row r="11" spans="1:11" ht="10.95" customHeight="1">
      <c r="A11" s="414" t="s">
        <v>985</v>
      </c>
      <c r="B11" s="414" t="s">
        <v>977</v>
      </c>
      <c r="C11" s="415">
        <v>0</v>
      </c>
      <c r="D11" s="415">
        <v>1000</v>
      </c>
      <c r="E11" s="715">
        <f t="shared" si="0"/>
        <v>1000</v>
      </c>
      <c r="F11" s="720" t="s">
        <v>981</v>
      </c>
      <c r="G11" s="718">
        <v>8132</v>
      </c>
      <c r="H11" s="718">
        <v>8132</v>
      </c>
      <c r="I11" s="719">
        <v>7</v>
      </c>
      <c r="J11" s="718">
        <v>0</v>
      </c>
    </row>
    <row r="12" spans="1:11" ht="10.95" customHeight="1">
      <c r="A12" s="414" t="s">
        <v>986</v>
      </c>
      <c r="B12" s="414" t="s">
        <v>1165</v>
      </c>
      <c r="C12" s="415">
        <v>0</v>
      </c>
      <c r="D12" s="415">
        <v>1000</v>
      </c>
      <c r="E12" s="715">
        <f t="shared" si="0"/>
        <v>1000</v>
      </c>
      <c r="F12" s="717" t="s">
        <v>455</v>
      </c>
      <c r="G12" s="713">
        <v>11132</v>
      </c>
      <c r="H12" s="713">
        <v>196731.28</v>
      </c>
      <c r="I12" s="714">
        <v>66</v>
      </c>
      <c r="J12" s="713">
        <v>185599.28</v>
      </c>
    </row>
    <row r="13" spans="1:11" ht="10.95" customHeight="1">
      <c r="A13" s="414" t="s">
        <v>987</v>
      </c>
      <c r="B13" s="414" t="s">
        <v>977</v>
      </c>
      <c r="C13" s="415">
        <v>0</v>
      </c>
      <c r="D13" s="415">
        <v>981</v>
      </c>
      <c r="E13" s="715">
        <f t="shared" si="0"/>
        <v>981</v>
      </c>
      <c r="J13" s="713">
        <v>186898.3</v>
      </c>
    </row>
    <row r="14" spans="1:11" ht="10.95" customHeight="1">
      <c r="A14" s="414" t="s">
        <v>1166</v>
      </c>
      <c r="B14" s="414" t="s">
        <v>1165</v>
      </c>
      <c r="C14" s="415">
        <v>0</v>
      </c>
      <c r="D14" s="415">
        <v>1000</v>
      </c>
      <c r="E14" s="715">
        <f t="shared" si="0"/>
        <v>1000</v>
      </c>
      <c r="J14" s="713">
        <f>+GETPIVOTDATA("Suma de Balance",$F$5)-J13</f>
        <v>-1299.0199999999895</v>
      </c>
    </row>
    <row r="15" spans="1:11" ht="10.95" customHeight="1">
      <c r="A15" s="414" t="s">
        <v>988</v>
      </c>
      <c r="B15" s="716" t="s">
        <v>977</v>
      </c>
      <c r="C15" s="415">
        <v>0</v>
      </c>
      <c r="D15" s="415">
        <v>13008</v>
      </c>
      <c r="E15" s="715">
        <f t="shared" si="0"/>
        <v>13008</v>
      </c>
    </row>
    <row r="16" spans="1:11" ht="10.95" customHeight="1">
      <c r="A16" s="414" t="s">
        <v>1167</v>
      </c>
      <c r="B16" s="414" t="s">
        <v>1165</v>
      </c>
      <c r="C16" s="415">
        <v>0</v>
      </c>
      <c r="D16" s="415">
        <v>1993</v>
      </c>
      <c r="E16" s="715">
        <f t="shared" si="0"/>
        <v>1993</v>
      </c>
    </row>
    <row r="17" spans="1:5" ht="10.95" customHeight="1">
      <c r="A17" s="414" t="s">
        <v>989</v>
      </c>
      <c r="B17" s="414" t="s">
        <v>977</v>
      </c>
      <c r="C17" s="415">
        <v>0</v>
      </c>
      <c r="D17" s="415">
        <v>1000</v>
      </c>
      <c r="E17" s="715">
        <f t="shared" si="0"/>
        <v>1000</v>
      </c>
    </row>
    <row r="18" spans="1:5" ht="10.95" customHeight="1">
      <c r="A18" s="414" t="s">
        <v>1168</v>
      </c>
      <c r="B18" s="414" t="s">
        <v>1165</v>
      </c>
      <c r="C18" s="415">
        <v>0</v>
      </c>
      <c r="D18" s="415">
        <v>1000</v>
      </c>
      <c r="E18" s="715">
        <f t="shared" si="0"/>
        <v>1000</v>
      </c>
    </row>
    <row r="19" spans="1:5" ht="10.95" customHeight="1">
      <c r="A19" s="414" t="s">
        <v>990</v>
      </c>
      <c r="B19" s="414" t="s">
        <v>977</v>
      </c>
      <c r="C19" s="415">
        <v>0</v>
      </c>
      <c r="D19" s="415">
        <v>981</v>
      </c>
      <c r="E19" s="715">
        <f t="shared" si="0"/>
        <v>981</v>
      </c>
    </row>
    <row r="20" spans="1:5" ht="10.95" customHeight="1">
      <c r="A20" s="414" t="s">
        <v>991</v>
      </c>
      <c r="B20" s="414" t="s">
        <v>979</v>
      </c>
      <c r="C20" s="415">
        <v>1000</v>
      </c>
      <c r="D20" s="415">
        <v>1000</v>
      </c>
      <c r="E20" s="715">
        <f t="shared" si="0"/>
        <v>0</v>
      </c>
    </row>
    <row r="21" spans="1:5" ht="10.95" customHeight="1">
      <c r="A21" s="414" t="s">
        <v>992</v>
      </c>
      <c r="B21" s="716" t="s">
        <v>981</v>
      </c>
      <c r="C21" s="415">
        <v>993</v>
      </c>
      <c r="D21" s="415">
        <v>993</v>
      </c>
      <c r="E21" s="715">
        <f t="shared" si="0"/>
        <v>0</v>
      </c>
    </row>
    <row r="22" spans="1:5" ht="10.95" customHeight="1">
      <c r="A22" s="414" t="s">
        <v>993</v>
      </c>
      <c r="B22" s="414" t="s">
        <v>977</v>
      </c>
      <c r="C22" s="415">
        <v>0</v>
      </c>
      <c r="D22" s="415">
        <v>1000</v>
      </c>
      <c r="E22" s="715">
        <f t="shared" si="0"/>
        <v>1000</v>
      </c>
    </row>
    <row r="23" spans="1:5" ht="10.95" customHeight="1">
      <c r="A23" s="414" t="s">
        <v>1169</v>
      </c>
      <c r="B23" s="414" t="s">
        <v>1165</v>
      </c>
      <c r="C23" s="415">
        <v>0</v>
      </c>
      <c r="D23" s="415">
        <v>1015</v>
      </c>
      <c r="E23" s="715">
        <f t="shared" si="0"/>
        <v>1015</v>
      </c>
    </row>
    <row r="24" spans="1:5" ht="10.95" customHeight="1">
      <c r="A24" s="414" t="s">
        <v>1170</v>
      </c>
      <c r="B24" s="414" t="s">
        <v>980</v>
      </c>
      <c r="C24" s="415">
        <v>0</v>
      </c>
      <c r="D24" s="415">
        <v>1000</v>
      </c>
      <c r="E24" s="715">
        <f t="shared" si="0"/>
        <v>1000</v>
      </c>
    </row>
    <row r="25" spans="1:5" ht="10.95" customHeight="1">
      <c r="A25" s="414" t="s">
        <v>994</v>
      </c>
      <c r="B25" s="414" t="s">
        <v>977</v>
      </c>
      <c r="C25" s="415">
        <v>0</v>
      </c>
      <c r="D25" s="415">
        <v>11630</v>
      </c>
      <c r="E25" s="715">
        <f t="shared" si="0"/>
        <v>11630</v>
      </c>
    </row>
    <row r="26" spans="1:5" ht="10.95" customHeight="1">
      <c r="A26" s="414" t="s">
        <v>1171</v>
      </c>
      <c r="B26" s="716" t="s">
        <v>981</v>
      </c>
      <c r="C26" s="415">
        <v>996</v>
      </c>
      <c r="D26" s="415">
        <v>996</v>
      </c>
      <c r="E26" s="715">
        <f t="shared" si="0"/>
        <v>0</v>
      </c>
    </row>
    <row r="27" spans="1:5" ht="10.95" customHeight="1">
      <c r="A27" s="414" t="s">
        <v>995</v>
      </c>
      <c r="B27" s="716" t="s">
        <v>977</v>
      </c>
      <c r="C27" s="415">
        <v>0</v>
      </c>
      <c r="D27" s="415">
        <v>1993</v>
      </c>
      <c r="E27" s="715">
        <f t="shared" si="0"/>
        <v>1993</v>
      </c>
    </row>
    <row r="28" spans="1:5" ht="10.95" customHeight="1">
      <c r="A28" s="414" t="s">
        <v>1172</v>
      </c>
      <c r="B28" s="414" t="s">
        <v>1165</v>
      </c>
      <c r="C28" s="415">
        <v>0</v>
      </c>
      <c r="D28" s="415">
        <v>1000</v>
      </c>
      <c r="E28" s="715">
        <f t="shared" si="0"/>
        <v>1000</v>
      </c>
    </row>
    <row r="29" spans="1:5" ht="10.95" customHeight="1">
      <c r="A29" s="414" t="s">
        <v>996</v>
      </c>
      <c r="B29" s="716" t="s">
        <v>979</v>
      </c>
      <c r="C29" s="415">
        <v>2000</v>
      </c>
      <c r="D29" s="415">
        <v>2000</v>
      </c>
      <c r="E29" s="715">
        <f t="shared" si="0"/>
        <v>0</v>
      </c>
    </row>
    <row r="30" spans="1:5" ht="10.95" customHeight="1">
      <c r="A30" s="414" t="s">
        <v>1173</v>
      </c>
      <c r="B30" s="414" t="s">
        <v>1162</v>
      </c>
      <c r="C30" s="415">
        <v>0</v>
      </c>
      <c r="D30" s="415">
        <v>1000</v>
      </c>
      <c r="E30" s="715">
        <f t="shared" si="0"/>
        <v>1000</v>
      </c>
    </row>
    <row r="31" spans="1:5" ht="10.95" customHeight="1">
      <c r="A31" s="414" t="s">
        <v>1174</v>
      </c>
      <c r="B31" s="414" t="s">
        <v>977</v>
      </c>
      <c r="C31" s="415">
        <v>0</v>
      </c>
      <c r="D31" s="415">
        <v>1000</v>
      </c>
      <c r="E31" s="715">
        <f t="shared" si="0"/>
        <v>1000</v>
      </c>
    </row>
    <row r="32" spans="1:5" ht="10.95" customHeight="1">
      <c r="A32" s="414" t="s">
        <v>997</v>
      </c>
      <c r="B32" s="414" t="s">
        <v>977</v>
      </c>
      <c r="C32" s="415">
        <v>0</v>
      </c>
      <c r="D32" s="415">
        <v>1000</v>
      </c>
      <c r="E32" s="715">
        <f t="shared" si="0"/>
        <v>1000</v>
      </c>
    </row>
    <row r="33" spans="1:5" ht="10.95" customHeight="1">
      <c r="A33" s="414" t="s">
        <v>998</v>
      </c>
      <c r="B33" s="414" t="s">
        <v>977</v>
      </c>
      <c r="C33" s="415">
        <v>0</v>
      </c>
      <c r="D33" s="415">
        <v>1000</v>
      </c>
      <c r="E33" s="715">
        <f t="shared" si="0"/>
        <v>1000</v>
      </c>
    </row>
    <row r="34" spans="1:5" ht="10.95" customHeight="1">
      <c r="A34" s="414" t="s">
        <v>999</v>
      </c>
      <c r="B34" s="414" t="s">
        <v>977</v>
      </c>
      <c r="C34" s="415">
        <v>0</v>
      </c>
      <c r="D34" s="415">
        <v>1000</v>
      </c>
      <c r="E34" s="715">
        <f t="shared" si="0"/>
        <v>1000</v>
      </c>
    </row>
    <row r="35" spans="1:5" ht="10.95" customHeight="1">
      <c r="A35" s="414" t="s">
        <v>1000</v>
      </c>
      <c r="B35" s="716" t="s">
        <v>977</v>
      </c>
      <c r="C35" s="415">
        <v>0</v>
      </c>
      <c r="D35" s="415">
        <v>10055</v>
      </c>
      <c r="E35" s="715">
        <f t="shared" si="0"/>
        <v>10055</v>
      </c>
    </row>
    <row r="36" spans="1:5" ht="10.95" customHeight="1">
      <c r="A36" s="414" t="s">
        <v>1001</v>
      </c>
      <c r="B36" s="414" t="s">
        <v>977</v>
      </c>
      <c r="C36" s="415">
        <v>0</v>
      </c>
      <c r="D36" s="415">
        <v>993</v>
      </c>
      <c r="E36" s="715">
        <f t="shared" si="0"/>
        <v>993</v>
      </c>
    </row>
    <row r="37" spans="1:5" ht="10.95" customHeight="1">
      <c r="A37" s="414" t="s">
        <v>1175</v>
      </c>
      <c r="B37" s="414" t="s">
        <v>1165</v>
      </c>
      <c r="C37" s="415">
        <v>0</v>
      </c>
      <c r="D37" s="415">
        <v>990</v>
      </c>
      <c r="E37" s="715">
        <f t="shared" si="0"/>
        <v>990</v>
      </c>
    </row>
    <row r="38" spans="1:5" ht="10.95" customHeight="1">
      <c r="A38" s="414" t="s">
        <v>1002</v>
      </c>
      <c r="B38" s="716" t="s">
        <v>981</v>
      </c>
      <c r="C38" s="415">
        <v>1000</v>
      </c>
      <c r="D38" s="415">
        <v>1000</v>
      </c>
      <c r="E38" s="715">
        <f t="shared" ref="E38:E69" si="1">+D38-C38</f>
        <v>0</v>
      </c>
    </row>
    <row r="39" spans="1:5" ht="10.95" customHeight="1">
      <c r="A39" s="414" t="s">
        <v>1003</v>
      </c>
      <c r="B39" s="414" t="s">
        <v>977</v>
      </c>
      <c r="C39" s="415">
        <v>0</v>
      </c>
      <c r="D39" s="415">
        <v>18109</v>
      </c>
      <c r="E39" s="715">
        <f t="shared" si="1"/>
        <v>18109</v>
      </c>
    </row>
    <row r="40" spans="1:5" ht="10.95" customHeight="1">
      <c r="A40" s="414" t="s">
        <v>1004</v>
      </c>
      <c r="B40" s="716" t="s">
        <v>977</v>
      </c>
      <c r="C40" s="415">
        <v>0</v>
      </c>
      <c r="D40" s="415">
        <v>1993</v>
      </c>
      <c r="E40" s="715">
        <f t="shared" si="1"/>
        <v>1993</v>
      </c>
    </row>
    <row r="41" spans="1:5" ht="10.95" customHeight="1">
      <c r="A41" s="414" t="s">
        <v>1176</v>
      </c>
      <c r="B41" s="414" t="s">
        <v>1165</v>
      </c>
      <c r="C41" s="415">
        <v>0</v>
      </c>
      <c r="D41" s="415">
        <v>993</v>
      </c>
      <c r="E41" s="715">
        <f t="shared" si="1"/>
        <v>993</v>
      </c>
    </row>
    <row r="42" spans="1:5" ht="10.95" customHeight="1">
      <c r="A42" s="414" t="s">
        <v>1005</v>
      </c>
      <c r="B42" s="414" t="s">
        <v>977</v>
      </c>
      <c r="C42" s="415">
        <v>0</v>
      </c>
      <c r="D42" s="415">
        <v>6965</v>
      </c>
      <c r="E42" s="715">
        <f t="shared" si="1"/>
        <v>6965</v>
      </c>
    </row>
    <row r="43" spans="1:5" ht="10.95" customHeight="1">
      <c r="A43" s="414" t="s">
        <v>1177</v>
      </c>
      <c r="B43" s="716" t="s">
        <v>981</v>
      </c>
      <c r="C43" s="415">
        <v>1150</v>
      </c>
      <c r="D43" s="415">
        <v>1150</v>
      </c>
      <c r="E43" s="715">
        <f t="shared" si="1"/>
        <v>0</v>
      </c>
    </row>
    <row r="44" spans="1:5" ht="10.95" customHeight="1">
      <c r="A44" s="414" t="s">
        <v>1006</v>
      </c>
      <c r="B44" s="414" t="s">
        <v>1165</v>
      </c>
      <c r="C44" s="415">
        <v>0</v>
      </c>
      <c r="D44" s="415">
        <v>2003</v>
      </c>
      <c r="E44" s="715">
        <f t="shared" si="1"/>
        <v>2003</v>
      </c>
    </row>
    <row r="45" spans="1:5" ht="10.95" customHeight="1">
      <c r="A45" s="414" t="s">
        <v>1178</v>
      </c>
      <c r="B45" s="414" t="s">
        <v>977</v>
      </c>
      <c r="C45" s="415">
        <v>0</v>
      </c>
      <c r="D45" s="415">
        <v>1000</v>
      </c>
      <c r="E45" s="715">
        <f t="shared" si="1"/>
        <v>1000</v>
      </c>
    </row>
    <row r="46" spans="1:5" ht="10.95" customHeight="1">
      <c r="A46" s="414" t="s">
        <v>1007</v>
      </c>
      <c r="B46" s="414" t="s">
        <v>977</v>
      </c>
      <c r="C46" s="415">
        <v>0</v>
      </c>
      <c r="D46" s="415">
        <v>1000</v>
      </c>
      <c r="E46" s="715">
        <f t="shared" si="1"/>
        <v>1000</v>
      </c>
    </row>
    <row r="47" spans="1:5" ht="10.95" customHeight="1">
      <c r="A47" s="414" t="s">
        <v>1008</v>
      </c>
      <c r="B47" s="716" t="s">
        <v>981</v>
      </c>
      <c r="C47" s="415">
        <v>1000</v>
      </c>
      <c r="D47" s="415">
        <v>1000</v>
      </c>
      <c r="E47" s="715">
        <f t="shared" si="1"/>
        <v>0</v>
      </c>
    </row>
    <row r="48" spans="1:5" ht="10.95" customHeight="1">
      <c r="A48" s="414" t="s">
        <v>1009</v>
      </c>
      <c r="B48" s="716" t="s">
        <v>981</v>
      </c>
      <c r="C48" s="415">
        <v>1000</v>
      </c>
      <c r="D48" s="415">
        <v>1000</v>
      </c>
      <c r="E48" s="715">
        <f t="shared" si="1"/>
        <v>0</v>
      </c>
    </row>
    <row r="49" spans="1:5" ht="10.95" customHeight="1">
      <c r="A49" s="414" t="s">
        <v>1179</v>
      </c>
      <c r="B49" s="414" t="s">
        <v>1165</v>
      </c>
      <c r="C49" s="415">
        <v>0</v>
      </c>
      <c r="D49" s="415">
        <v>993</v>
      </c>
      <c r="E49" s="715">
        <f t="shared" si="1"/>
        <v>993</v>
      </c>
    </row>
    <row r="50" spans="1:5" ht="10.95" customHeight="1">
      <c r="A50" s="414" t="s">
        <v>1010</v>
      </c>
      <c r="B50" s="716" t="s">
        <v>977</v>
      </c>
      <c r="C50" s="415">
        <v>0</v>
      </c>
      <c r="D50" s="415">
        <v>6727</v>
      </c>
      <c r="E50" s="715">
        <f t="shared" si="1"/>
        <v>6727</v>
      </c>
    </row>
    <row r="51" spans="1:5" ht="10.95" customHeight="1">
      <c r="A51" s="414" t="s">
        <v>1180</v>
      </c>
      <c r="B51" s="414" t="s">
        <v>1165</v>
      </c>
      <c r="C51" s="415">
        <v>0</v>
      </c>
      <c r="D51" s="415">
        <v>993</v>
      </c>
      <c r="E51" s="715">
        <f t="shared" si="1"/>
        <v>993</v>
      </c>
    </row>
    <row r="52" spans="1:5" ht="10.95" customHeight="1">
      <c r="A52" s="414" t="s">
        <v>1181</v>
      </c>
      <c r="B52" s="414" t="s">
        <v>1165</v>
      </c>
      <c r="C52" s="415">
        <v>0</v>
      </c>
      <c r="D52" s="415">
        <v>1000</v>
      </c>
      <c r="E52" s="715">
        <f t="shared" si="1"/>
        <v>1000</v>
      </c>
    </row>
    <row r="53" spans="1:5" ht="10.95" customHeight="1">
      <c r="A53" s="414" t="s">
        <v>1182</v>
      </c>
      <c r="B53" s="414" t="s">
        <v>1165</v>
      </c>
      <c r="C53" s="415">
        <v>0</v>
      </c>
      <c r="D53" s="415">
        <v>1000</v>
      </c>
      <c r="E53" s="715">
        <f t="shared" si="1"/>
        <v>1000</v>
      </c>
    </row>
    <row r="54" spans="1:5" ht="10.95" customHeight="1">
      <c r="A54" s="414" t="s">
        <v>1183</v>
      </c>
      <c r="B54" s="414" t="s">
        <v>1165</v>
      </c>
      <c r="C54" s="415">
        <v>0</v>
      </c>
      <c r="D54" s="415">
        <v>1000</v>
      </c>
      <c r="E54" s="715">
        <f t="shared" si="1"/>
        <v>1000</v>
      </c>
    </row>
    <row r="55" spans="1:5" ht="10.95" customHeight="1">
      <c r="A55" s="414" t="s">
        <v>1184</v>
      </c>
      <c r="B55" s="414" t="s">
        <v>977</v>
      </c>
      <c r="C55" s="415">
        <v>0</v>
      </c>
      <c r="D55" s="415">
        <v>993</v>
      </c>
      <c r="E55" s="715">
        <f t="shared" si="1"/>
        <v>993</v>
      </c>
    </row>
    <row r="56" spans="1:5" ht="10.95" customHeight="1">
      <c r="A56" s="414" t="s">
        <v>1011</v>
      </c>
      <c r="B56" s="716" t="s">
        <v>977</v>
      </c>
      <c r="C56" s="415">
        <v>0</v>
      </c>
      <c r="D56" s="415">
        <v>15134</v>
      </c>
      <c r="E56" s="715">
        <f t="shared" si="1"/>
        <v>15134</v>
      </c>
    </row>
    <row r="57" spans="1:5" ht="10.95" customHeight="1">
      <c r="A57" s="414" t="s">
        <v>886</v>
      </c>
      <c r="B57" s="716" t="s">
        <v>981</v>
      </c>
      <c r="C57" s="415">
        <v>1993</v>
      </c>
      <c r="D57" s="415">
        <v>1993</v>
      </c>
      <c r="E57" s="715">
        <f t="shared" si="1"/>
        <v>0</v>
      </c>
    </row>
    <row r="58" spans="1:5" ht="10.95" customHeight="1">
      <c r="A58" s="414" t="s">
        <v>1012</v>
      </c>
      <c r="B58" s="414" t="s">
        <v>1162</v>
      </c>
      <c r="C58" s="415">
        <v>0</v>
      </c>
      <c r="D58" s="415">
        <v>993</v>
      </c>
      <c r="E58" s="715">
        <f t="shared" si="1"/>
        <v>993</v>
      </c>
    </row>
    <row r="59" spans="1:5" ht="10.95" customHeight="1">
      <c r="A59" s="414" t="s">
        <v>1013</v>
      </c>
      <c r="B59" s="414" t="s">
        <v>977</v>
      </c>
      <c r="C59" s="415">
        <v>0</v>
      </c>
      <c r="D59" s="415">
        <v>2000</v>
      </c>
      <c r="E59" s="715">
        <f t="shared" si="1"/>
        <v>2000</v>
      </c>
    </row>
    <row r="60" spans="1:5" ht="10.95" customHeight="1">
      <c r="A60" s="414" t="s">
        <v>1185</v>
      </c>
      <c r="B60" s="414" t="s">
        <v>1165</v>
      </c>
      <c r="C60" s="415">
        <v>0</v>
      </c>
      <c r="D60" s="415">
        <v>995.87</v>
      </c>
      <c r="E60" s="715">
        <f t="shared" si="1"/>
        <v>995.87</v>
      </c>
    </row>
    <row r="61" spans="1:5" ht="10.95" customHeight="1">
      <c r="A61" s="414" t="s">
        <v>1014</v>
      </c>
      <c r="B61" s="414" t="s">
        <v>977</v>
      </c>
      <c r="C61" s="415">
        <v>0</v>
      </c>
      <c r="D61" s="415">
        <v>2000</v>
      </c>
      <c r="E61" s="715">
        <f t="shared" si="1"/>
        <v>2000</v>
      </c>
    </row>
    <row r="62" spans="1:5" ht="10.95" customHeight="1">
      <c r="A62" s="414" t="s">
        <v>1015</v>
      </c>
      <c r="B62" s="414" t="s">
        <v>977</v>
      </c>
      <c r="C62" s="415">
        <v>0</v>
      </c>
      <c r="D62" s="415">
        <v>978</v>
      </c>
      <c r="E62" s="715">
        <f t="shared" si="1"/>
        <v>978</v>
      </c>
    </row>
    <row r="63" spans="1:5" ht="10.95" customHeight="1">
      <c r="A63" s="414" t="s">
        <v>1016</v>
      </c>
      <c r="B63" s="414" t="s">
        <v>977</v>
      </c>
      <c r="C63" s="415">
        <v>0</v>
      </c>
      <c r="D63" s="415">
        <v>981</v>
      </c>
      <c r="E63" s="715">
        <f t="shared" si="1"/>
        <v>981</v>
      </c>
    </row>
    <row r="64" spans="1:5" ht="10.95" customHeight="1">
      <c r="A64" s="414" t="s">
        <v>1017</v>
      </c>
      <c r="B64" s="414" t="s">
        <v>980</v>
      </c>
      <c r="C64" s="415">
        <v>0</v>
      </c>
      <c r="D64" s="415">
        <v>1000</v>
      </c>
      <c r="E64" s="715">
        <f t="shared" si="1"/>
        <v>1000</v>
      </c>
    </row>
    <row r="65" spans="1:5" ht="10.95" customHeight="1">
      <c r="A65" s="414" t="s">
        <v>1018</v>
      </c>
      <c r="B65" s="414" t="s">
        <v>977</v>
      </c>
      <c r="C65" s="415">
        <v>0</v>
      </c>
      <c r="D65" s="415">
        <v>993</v>
      </c>
      <c r="E65" s="715">
        <f t="shared" si="1"/>
        <v>993</v>
      </c>
    </row>
    <row r="66" spans="1:5" ht="10.95" customHeight="1">
      <c r="A66" s="414" t="s">
        <v>1019</v>
      </c>
      <c r="B66" s="414" t="s">
        <v>977</v>
      </c>
      <c r="C66" s="415">
        <v>0</v>
      </c>
      <c r="D66" s="415">
        <v>11770</v>
      </c>
      <c r="E66" s="715">
        <f t="shared" si="1"/>
        <v>11770</v>
      </c>
    </row>
    <row r="67" spans="1:5" ht="10.95" customHeight="1">
      <c r="A67" s="414" t="s">
        <v>1186</v>
      </c>
      <c r="B67" s="414" t="s">
        <v>1162</v>
      </c>
      <c r="C67" s="415">
        <v>0</v>
      </c>
      <c r="D67" s="415">
        <v>1000</v>
      </c>
      <c r="E67" s="715">
        <f t="shared" si="1"/>
        <v>1000</v>
      </c>
    </row>
    <row r="68" spans="1:5" ht="10.95" customHeight="1">
      <c r="A68" s="414" t="s">
        <v>1187</v>
      </c>
      <c r="B68" s="414" t="s">
        <v>1165</v>
      </c>
      <c r="C68" s="415">
        <v>0</v>
      </c>
      <c r="D68" s="415">
        <v>1000</v>
      </c>
      <c r="E68" s="715">
        <f t="shared" si="1"/>
        <v>1000</v>
      </c>
    </row>
    <row r="69" spans="1:5" ht="10.95" customHeight="1">
      <c r="A69" s="414" t="s">
        <v>1020</v>
      </c>
      <c r="B69" s="716" t="s">
        <v>977</v>
      </c>
      <c r="C69" s="415">
        <v>0</v>
      </c>
      <c r="D69" s="415">
        <v>1978</v>
      </c>
      <c r="E69" s="715">
        <f t="shared" si="1"/>
        <v>1978</v>
      </c>
    </row>
    <row r="70" spans="1:5" ht="10.95" customHeight="1">
      <c r="A70" s="414" t="s">
        <v>1021</v>
      </c>
      <c r="B70" s="414" t="s">
        <v>977</v>
      </c>
      <c r="C70" s="415">
        <v>0</v>
      </c>
      <c r="D70" s="415">
        <v>1000</v>
      </c>
      <c r="E70" s="715">
        <f t="shared" ref="E70:E71" si="2">+D70-C70</f>
        <v>1000</v>
      </c>
    </row>
    <row r="71" spans="1:5" ht="10.95" customHeight="1">
      <c r="A71" s="414" t="s">
        <v>1022</v>
      </c>
      <c r="B71" s="414" t="s">
        <v>977</v>
      </c>
      <c r="C71" s="415">
        <v>0</v>
      </c>
      <c r="D71" s="415">
        <v>1000</v>
      </c>
      <c r="E71" s="715">
        <f t="shared" si="2"/>
        <v>1000</v>
      </c>
    </row>
  </sheetData>
  <autoFilter ref="A5:E71" xr:uid="{00000000-0001-0000-0000-000000000000}"/>
  <pageMargins left="0.7" right="0.7" top="0.75" bottom="0.75" header="0.3" footer="0.3"/>
  <pageSetup paperSize="9" fitToWidth="0" fitToHeight="0" orientation="portrait"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FFFCF-90C2-497F-BA46-BA123E3B93F0}">
  <dimension ref="A1:G17"/>
  <sheetViews>
    <sheetView workbookViewId="0">
      <selection activeCell="C15" sqref="C15"/>
    </sheetView>
  </sheetViews>
  <sheetFormatPr baseColWidth="10" defaultColWidth="11.44140625" defaultRowHeight="14.4"/>
  <cols>
    <col min="1" max="1" width="35.109375" bestFit="1" customWidth="1"/>
    <col min="2" max="2" width="20.33203125" style="370" customWidth="1"/>
    <col min="3" max="3" width="21.44140625" style="370" customWidth="1"/>
    <col min="4" max="4" width="18.33203125" style="370" customWidth="1"/>
    <col min="5" max="5" width="16.5546875" style="370" customWidth="1"/>
    <col min="6" max="6" width="16.6640625" style="549" customWidth="1"/>
    <col min="7" max="7" width="15" style="370" bestFit="1" customWidth="1"/>
    <col min="8" max="8" width="14" bestFit="1" customWidth="1"/>
    <col min="9" max="9" width="14.6640625" bestFit="1" customWidth="1"/>
  </cols>
  <sheetData>
    <row r="1" spans="1:6" s="546" customFormat="1" ht="43.2">
      <c r="A1" s="523" t="s">
        <v>458</v>
      </c>
      <c r="B1" s="548" t="s">
        <v>788</v>
      </c>
      <c r="C1" s="548" t="s">
        <v>848</v>
      </c>
      <c r="D1" s="548" t="s">
        <v>885</v>
      </c>
      <c r="E1" s="548" t="s">
        <v>850</v>
      </c>
      <c r="F1" s="548" t="s">
        <v>851</v>
      </c>
    </row>
    <row r="2" spans="1:6">
      <c r="A2" t="s">
        <v>65</v>
      </c>
      <c r="B2" s="370">
        <v>103385169</v>
      </c>
      <c r="C2" s="370">
        <v>0</v>
      </c>
      <c r="D2" s="370">
        <v>103385169</v>
      </c>
      <c r="E2" s="370">
        <v>94191221.829999998</v>
      </c>
      <c r="F2" s="549">
        <v>94191221.829999998</v>
      </c>
    </row>
    <row r="3" spans="1:6">
      <c r="A3" t="s">
        <v>68</v>
      </c>
      <c r="B3" s="370">
        <v>20789999.999999996</v>
      </c>
      <c r="C3" s="370">
        <v>0</v>
      </c>
      <c r="D3" s="370">
        <v>20790000</v>
      </c>
      <c r="E3" s="583">
        <v>22198724.059999999</v>
      </c>
      <c r="F3" s="549">
        <v>21715435.649999999</v>
      </c>
    </row>
    <row r="4" spans="1:6">
      <c r="A4" t="s">
        <v>78</v>
      </c>
      <c r="B4" s="370">
        <v>451758999.99999994</v>
      </c>
      <c r="C4" s="370">
        <v>0</v>
      </c>
      <c r="D4" s="370">
        <v>451758999.99999994</v>
      </c>
      <c r="E4" s="370">
        <v>38724993.57</v>
      </c>
      <c r="F4" s="549">
        <v>9666080.1699999999</v>
      </c>
    </row>
    <row r="5" spans="1:6">
      <c r="A5" t="s">
        <v>90</v>
      </c>
      <c r="B5" s="370">
        <v>1265953920</v>
      </c>
      <c r="C5" s="370">
        <v>0</v>
      </c>
      <c r="D5" s="370">
        <v>1265953920</v>
      </c>
      <c r="F5" s="549">
        <v>0</v>
      </c>
    </row>
    <row r="6" spans="1:6">
      <c r="A6" t="s">
        <v>105</v>
      </c>
      <c r="B6" s="370">
        <v>171771292</v>
      </c>
      <c r="C6" s="370">
        <v>18198088</v>
      </c>
      <c r="D6" s="370">
        <v>189969380</v>
      </c>
      <c r="E6" s="370">
        <v>11866875.34</v>
      </c>
      <c r="F6" s="549">
        <v>9115468.5700000003</v>
      </c>
    </row>
    <row r="7" spans="1:6">
      <c r="A7" t="s">
        <v>108</v>
      </c>
      <c r="B7" s="370">
        <v>34354258</v>
      </c>
      <c r="C7" s="370">
        <v>3639618</v>
      </c>
      <c r="D7" s="370">
        <v>37993876</v>
      </c>
      <c r="F7" s="549">
        <v>0</v>
      </c>
    </row>
    <row r="8" spans="1:6">
      <c r="A8" t="s">
        <v>816</v>
      </c>
      <c r="B8" s="370">
        <v>0</v>
      </c>
      <c r="C8" s="370">
        <v>37993876</v>
      </c>
      <c r="D8" s="370">
        <v>37993876</v>
      </c>
      <c r="F8" s="549">
        <v>0</v>
      </c>
    </row>
    <row r="9" spans="1:6">
      <c r="A9" t="s">
        <v>112</v>
      </c>
      <c r="B9" s="370">
        <v>137417034</v>
      </c>
      <c r="C9" s="370">
        <v>14558470</v>
      </c>
      <c r="D9" s="370">
        <v>151975504</v>
      </c>
      <c r="E9" s="370">
        <v>3701175.97</v>
      </c>
      <c r="F9" s="370">
        <v>3701175.97</v>
      </c>
    </row>
    <row r="10" spans="1:6">
      <c r="A10" t="s">
        <v>115</v>
      </c>
      <c r="B10" s="370">
        <v>281704919</v>
      </c>
      <c r="C10" s="370">
        <v>26425415</v>
      </c>
      <c r="D10" s="370">
        <v>308130334</v>
      </c>
      <c r="E10" s="370">
        <v>5398831.6600000001</v>
      </c>
      <c r="F10" s="370">
        <v>4631831.66</v>
      </c>
    </row>
    <row r="11" spans="1:6">
      <c r="A11" t="s">
        <v>119</v>
      </c>
      <c r="B11" s="370">
        <v>67334346</v>
      </c>
      <c r="C11" s="370">
        <v>8463436</v>
      </c>
      <c r="D11" s="370">
        <v>75797782</v>
      </c>
      <c r="E11" s="370">
        <v>667663</v>
      </c>
      <c r="F11" s="370">
        <v>667663</v>
      </c>
    </row>
    <row r="12" spans="1:6">
      <c r="A12" t="s">
        <v>122</v>
      </c>
      <c r="B12" s="370">
        <v>51531387.949999996</v>
      </c>
      <c r="C12" s="370">
        <v>5459426.0500000045</v>
      </c>
      <c r="D12" s="370">
        <v>56990814</v>
      </c>
      <c r="E12" s="370">
        <v>18022576.77</v>
      </c>
      <c r="F12" s="549">
        <f>16883156.05-176258.56</f>
        <v>16706897.49</v>
      </c>
    </row>
    <row r="13" spans="1:6">
      <c r="A13" t="s">
        <v>126</v>
      </c>
      <c r="B13" s="370">
        <v>19238385</v>
      </c>
      <c r="C13" s="370">
        <v>2418121</v>
      </c>
      <c r="D13" s="370">
        <v>21656506</v>
      </c>
      <c r="F13" s="549">
        <v>0</v>
      </c>
    </row>
    <row r="14" spans="1:6">
      <c r="A14" t="s">
        <v>193</v>
      </c>
      <c r="B14" s="370">
        <v>15000000</v>
      </c>
      <c r="C14" s="370">
        <v>15500000</v>
      </c>
      <c r="D14" s="370">
        <v>30500000</v>
      </c>
      <c r="E14" s="370">
        <v>17840153.52</v>
      </c>
      <c r="F14" s="549">
        <v>13516768.33</v>
      </c>
    </row>
    <row r="15" spans="1:6">
      <c r="A15" t="s">
        <v>133</v>
      </c>
      <c r="B15" s="370">
        <v>19238385</v>
      </c>
      <c r="C15" s="370">
        <v>2418124</v>
      </c>
      <c r="D15" s="370">
        <v>21656509</v>
      </c>
      <c r="F15" s="549">
        <v>0</v>
      </c>
    </row>
    <row r="16" spans="1:6">
      <c r="A16" t="s">
        <v>136</v>
      </c>
      <c r="B16" s="370">
        <v>192383847</v>
      </c>
      <c r="C16" s="370">
        <v>24181246</v>
      </c>
      <c r="D16" s="370">
        <v>216565093</v>
      </c>
      <c r="F16" s="549">
        <v>0</v>
      </c>
    </row>
    <row r="17" spans="2:6">
      <c r="B17" s="432">
        <f t="shared" ref="B17:F17" si="0">SUM(B2:B16)</f>
        <v>2831861942.9499998</v>
      </c>
      <c r="C17" s="432">
        <f t="shared" si="0"/>
        <v>159255820.05000001</v>
      </c>
      <c r="D17" s="432">
        <f t="shared" si="0"/>
        <v>2991117763</v>
      </c>
      <c r="E17" s="432">
        <f>SUM(E2:E16)</f>
        <v>212612215.72000003</v>
      </c>
      <c r="F17" s="550">
        <f t="shared" si="0"/>
        <v>173912542.67000002</v>
      </c>
    </row>
  </sheetData>
  <autoFilter ref="A1:F1" xr:uid="{DCFAD519-5D8F-4964-9E95-1F3AB7E20DF4}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14DB1-608F-46BE-980E-496D729ABE66}">
  <dimension ref="A1:G10"/>
  <sheetViews>
    <sheetView workbookViewId="0">
      <selection activeCell="C15" sqref="C15"/>
    </sheetView>
  </sheetViews>
  <sheetFormatPr baseColWidth="10" defaultColWidth="11.44140625" defaultRowHeight="14.4"/>
  <cols>
    <col min="1" max="1" width="44.6640625" bestFit="1" customWidth="1"/>
    <col min="2" max="2" width="11" bestFit="1" customWidth="1"/>
    <col min="3" max="3" width="12.6640625" style="370" bestFit="1" customWidth="1"/>
    <col min="4" max="4" width="14.5546875" style="370" customWidth="1"/>
    <col min="5" max="5" width="32.5546875" customWidth="1"/>
    <col min="6" max="6" width="32.109375" bestFit="1" customWidth="1"/>
    <col min="7" max="7" width="33.6640625" bestFit="1" customWidth="1"/>
  </cols>
  <sheetData>
    <row r="1" spans="1:7">
      <c r="A1" t="s">
        <v>707</v>
      </c>
      <c r="B1" t="s">
        <v>708</v>
      </c>
      <c r="C1" s="370" t="s">
        <v>164</v>
      </c>
      <c r="D1" s="370" t="s">
        <v>709</v>
      </c>
      <c r="E1" t="s">
        <v>817</v>
      </c>
      <c r="F1" t="s">
        <v>710</v>
      </c>
      <c r="G1" t="s">
        <v>852</v>
      </c>
    </row>
    <row r="2" spans="1:7">
      <c r="A2" t="s">
        <v>735</v>
      </c>
      <c r="B2" s="193">
        <v>45469</v>
      </c>
      <c r="C2" s="370">
        <v>38250</v>
      </c>
      <c r="D2" s="370">
        <v>38250</v>
      </c>
      <c r="E2" t="s">
        <v>821</v>
      </c>
      <c r="F2" t="s">
        <v>853</v>
      </c>
      <c r="G2" t="s">
        <v>853</v>
      </c>
    </row>
    <row r="3" spans="1:7">
      <c r="A3" t="s">
        <v>737</v>
      </c>
      <c r="B3" s="193">
        <v>45429</v>
      </c>
      <c r="C3" s="370">
        <v>40000</v>
      </c>
      <c r="D3" s="370">
        <v>40000</v>
      </c>
      <c r="E3" t="s">
        <v>738</v>
      </c>
      <c r="F3" t="s">
        <v>853</v>
      </c>
      <c r="G3" t="s">
        <v>853</v>
      </c>
    </row>
    <row r="4" spans="1:7">
      <c r="A4" t="s">
        <v>369</v>
      </c>
      <c r="B4" s="193">
        <v>45266</v>
      </c>
      <c r="C4" s="370">
        <v>273000</v>
      </c>
      <c r="D4" s="370">
        <v>273000</v>
      </c>
      <c r="E4" t="s">
        <v>911</v>
      </c>
      <c r="F4" t="s">
        <v>853</v>
      </c>
      <c r="G4" t="s">
        <v>853</v>
      </c>
    </row>
    <row r="5" spans="1:7">
      <c r="A5" t="s">
        <v>795</v>
      </c>
      <c r="B5" s="193">
        <v>45622</v>
      </c>
      <c r="C5" s="370">
        <v>352775.8</v>
      </c>
      <c r="D5" s="370">
        <v>352775.8</v>
      </c>
      <c r="E5" t="s">
        <v>912</v>
      </c>
      <c r="F5" t="s">
        <v>859</v>
      </c>
      <c r="G5" t="s">
        <v>860</v>
      </c>
    </row>
    <row r="6" spans="1:7">
      <c r="A6" t="s">
        <v>400</v>
      </c>
      <c r="B6" s="193">
        <v>45747</v>
      </c>
      <c r="C6" s="370">
        <v>10000</v>
      </c>
      <c r="D6" s="370">
        <v>10000</v>
      </c>
      <c r="E6" t="s">
        <v>913</v>
      </c>
      <c r="F6" t="s">
        <v>859</v>
      </c>
      <c r="G6" t="s">
        <v>860</v>
      </c>
    </row>
    <row r="7" spans="1:7">
      <c r="A7" t="s">
        <v>715</v>
      </c>
      <c r="B7" s="193">
        <v>45771</v>
      </c>
      <c r="C7" s="370">
        <v>3200000</v>
      </c>
      <c r="D7" s="370">
        <v>3200000</v>
      </c>
      <c r="E7" t="s">
        <v>1023</v>
      </c>
      <c r="F7" t="s">
        <v>1024</v>
      </c>
      <c r="G7" t="s">
        <v>1025</v>
      </c>
    </row>
    <row r="8" spans="1:7">
      <c r="A8" t="s">
        <v>1111</v>
      </c>
      <c r="B8" s="193">
        <v>45785</v>
      </c>
      <c r="C8" s="370">
        <v>606726.64</v>
      </c>
      <c r="D8" s="370">
        <v>606726.64</v>
      </c>
      <c r="E8" t="s">
        <v>1188</v>
      </c>
      <c r="F8" t="s">
        <v>1024</v>
      </c>
      <c r="G8" t="s">
        <v>1025</v>
      </c>
    </row>
    <row r="9" spans="1:7">
      <c r="A9" t="s">
        <v>1084</v>
      </c>
      <c r="B9" s="193">
        <v>45805</v>
      </c>
      <c r="C9" s="370">
        <v>5000000</v>
      </c>
      <c r="D9" s="370">
        <v>5000000</v>
      </c>
      <c r="E9" t="s">
        <v>1189</v>
      </c>
      <c r="F9" t="s">
        <v>1024</v>
      </c>
      <c r="G9" t="s">
        <v>1025</v>
      </c>
    </row>
    <row r="10" spans="1:7">
      <c r="D10" s="432">
        <f>SUM(D2:D9)</f>
        <v>9520752.4399999995</v>
      </c>
    </row>
  </sheetData>
  <autoFilter ref="A1:G1" xr:uid="{8F833D8D-E3A2-49C0-BA28-FAE8897AAB0B}">
    <sortState xmlns:xlrd2="http://schemas.microsoft.com/office/spreadsheetml/2017/richdata2" ref="A2:G5">
      <sortCondition ref="G1"/>
    </sortState>
  </autoFilter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20758-4F42-46EC-8E12-76071C0E76E1}">
  <dimension ref="A1:F42"/>
  <sheetViews>
    <sheetView showGridLines="0" topLeftCell="A24" zoomScaleNormal="100" workbookViewId="0">
      <selection activeCell="C15" sqref="C15"/>
    </sheetView>
  </sheetViews>
  <sheetFormatPr baseColWidth="10" defaultColWidth="8" defaultRowHeight="11.4"/>
  <cols>
    <col min="1" max="1" width="45.109375" style="408" customWidth="1"/>
    <col min="2" max="2" width="12.6640625" style="408" customWidth="1"/>
    <col min="3" max="3" width="11.5546875" style="408" customWidth="1"/>
    <col min="4" max="4" width="24.6640625" style="408" customWidth="1"/>
    <col min="5" max="5" width="9.88671875" style="408" customWidth="1"/>
    <col min="6" max="6" width="41.6640625" style="408" customWidth="1"/>
    <col min="7" max="16384" width="8" style="408"/>
  </cols>
  <sheetData>
    <row r="1" spans="1:6" s="405" customFormat="1" ht="16.649999999999999" customHeight="1">
      <c r="A1" s="404" t="s">
        <v>771</v>
      </c>
      <c r="B1" s="404"/>
      <c r="C1" s="404"/>
      <c r="D1" s="404"/>
      <c r="E1" s="404"/>
      <c r="F1" s="404"/>
    </row>
    <row r="2" spans="1:6" s="407" customFormat="1" ht="14.4" customHeight="1">
      <c r="A2" s="406" t="s">
        <v>236</v>
      </c>
      <c r="B2" s="406"/>
      <c r="C2" s="406"/>
      <c r="D2" s="406"/>
      <c r="E2" s="406"/>
      <c r="F2" s="406"/>
    </row>
    <row r="3" spans="1:6" s="407" customFormat="1" ht="14.4" customHeight="1">
      <c r="A3" s="406" t="s">
        <v>1190</v>
      </c>
      <c r="B3" s="406"/>
      <c r="C3" s="406"/>
      <c r="D3" s="406"/>
      <c r="E3" s="406"/>
      <c r="F3" s="406"/>
    </row>
    <row r="4" spans="1:6" s="407" customFormat="1" ht="14.4" customHeight="1">
      <c r="A4" s="406" t="s">
        <v>724</v>
      </c>
      <c r="B4" s="406"/>
      <c r="C4" s="406"/>
      <c r="D4" s="406"/>
      <c r="E4" s="406"/>
      <c r="F4" s="406"/>
    </row>
    <row r="5" spans="1:6" ht="13.35" customHeight="1"/>
    <row r="6" spans="1:6" s="412" customFormat="1" ht="12.15" customHeight="1">
      <c r="A6" s="410" t="s">
        <v>690</v>
      </c>
      <c r="B6" s="410" t="s">
        <v>689</v>
      </c>
      <c r="C6" s="410" t="s">
        <v>823</v>
      </c>
      <c r="D6" s="410" t="s">
        <v>773</v>
      </c>
      <c r="E6" s="411" t="s">
        <v>164</v>
      </c>
      <c r="F6" s="410" t="s">
        <v>862</v>
      </c>
    </row>
    <row r="7" spans="1:6" ht="10.95" customHeight="1">
      <c r="A7" s="421" t="s">
        <v>992</v>
      </c>
      <c r="B7" s="429">
        <v>45794</v>
      </c>
      <c r="C7" s="429">
        <v>45794</v>
      </c>
      <c r="D7" s="421" t="s">
        <v>1191</v>
      </c>
      <c r="E7" s="422">
        <v>58586.14</v>
      </c>
      <c r="F7" s="421" t="s">
        <v>1192</v>
      </c>
    </row>
    <row r="8" spans="1:6" ht="10.95" customHeight="1">
      <c r="A8" s="414" t="s">
        <v>991</v>
      </c>
      <c r="B8" s="430">
        <v>45799</v>
      </c>
      <c r="C8" s="430">
        <v>45799</v>
      </c>
      <c r="D8" s="414" t="s">
        <v>1193</v>
      </c>
      <c r="E8" s="415">
        <v>58999.14</v>
      </c>
      <c r="F8" s="414" t="s">
        <v>1192</v>
      </c>
    </row>
    <row r="9" spans="1:6" ht="10.95" customHeight="1">
      <c r="A9" s="414" t="s">
        <v>1177</v>
      </c>
      <c r="B9" s="430">
        <v>45799</v>
      </c>
      <c r="C9" s="430">
        <v>45799</v>
      </c>
      <c r="D9" s="414" t="s">
        <v>1194</v>
      </c>
      <c r="E9" s="415">
        <v>67849.009999999995</v>
      </c>
      <c r="F9" s="414" t="s">
        <v>1192</v>
      </c>
    </row>
    <row r="10" spans="1:6" ht="10.95" customHeight="1">
      <c r="A10" s="414" t="s">
        <v>1171</v>
      </c>
      <c r="B10" s="430">
        <v>45804</v>
      </c>
      <c r="C10" s="430">
        <v>45804</v>
      </c>
      <c r="D10" s="414" t="s">
        <v>1195</v>
      </c>
      <c r="E10" s="415">
        <v>58763.14</v>
      </c>
      <c r="F10" s="414" t="s">
        <v>1192</v>
      </c>
    </row>
    <row r="11" spans="1:6" ht="10.95" customHeight="1">
      <c r="A11" s="416" t="s">
        <v>164</v>
      </c>
      <c r="B11" s="416"/>
      <c r="C11" s="416"/>
      <c r="D11" s="416"/>
      <c r="E11" s="417">
        <f>SUM(E7:E10)</f>
        <v>244197.43</v>
      </c>
      <c r="F11" s="416"/>
    </row>
    <row r="12" spans="1:6" ht="13.35" customHeight="1"/>
    <row r="13" spans="1:6" s="412" customFormat="1" ht="12.15" customHeight="1">
      <c r="A13" s="409" t="s">
        <v>1196</v>
      </c>
      <c r="B13" s="409"/>
      <c r="C13" s="409"/>
      <c r="D13" s="409"/>
      <c r="E13" s="409"/>
      <c r="F13" s="409"/>
    </row>
    <row r="14" spans="1:6" ht="10.95" customHeight="1">
      <c r="A14" s="421" t="s">
        <v>436</v>
      </c>
      <c r="B14" s="429">
        <v>45789</v>
      </c>
      <c r="C14" s="429">
        <v>45789</v>
      </c>
      <c r="D14" s="421" t="s">
        <v>1197</v>
      </c>
      <c r="E14" s="422">
        <v>18016</v>
      </c>
      <c r="F14" s="421" t="s">
        <v>1198</v>
      </c>
    </row>
    <row r="15" spans="1:6" ht="10.95" customHeight="1">
      <c r="A15" s="416" t="s">
        <v>1199</v>
      </c>
      <c r="B15" s="416"/>
      <c r="C15" s="416"/>
      <c r="D15" s="416"/>
      <c r="E15" s="417">
        <f>E14</f>
        <v>18016</v>
      </c>
      <c r="F15" s="416"/>
    </row>
    <row r="17" spans="1:6" s="412" customFormat="1" ht="12.15" customHeight="1">
      <c r="A17" s="409" t="s">
        <v>867</v>
      </c>
      <c r="B17" s="409"/>
      <c r="C17" s="409"/>
      <c r="D17" s="409"/>
      <c r="E17" s="409"/>
      <c r="F17" s="409"/>
    </row>
    <row r="18" spans="1:6" ht="10.95" customHeight="1">
      <c r="A18" s="421" t="s">
        <v>1200</v>
      </c>
      <c r="B18" s="429">
        <v>45796</v>
      </c>
      <c r="C18" s="429">
        <v>45796</v>
      </c>
      <c r="D18" s="421" t="s">
        <v>1201</v>
      </c>
      <c r="E18" s="422">
        <v>50670</v>
      </c>
      <c r="F18" s="421" t="s">
        <v>889</v>
      </c>
    </row>
    <row r="19" spans="1:6" ht="10.95" customHeight="1">
      <c r="A19" s="416" t="s">
        <v>890</v>
      </c>
      <c r="B19" s="416"/>
      <c r="C19" s="416"/>
      <c r="D19" s="416"/>
      <c r="E19" s="417">
        <f>E18</f>
        <v>50670</v>
      </c>
      <c r="F19" s="416"/>
    </row>
    <row r="20" spans="1:6" ht="13.35" customHeight="1"/>
    <row r="21" spans="1:6" s="412" customFormat="1" ht="12.15" customHeight="1">
      <c r="A21" s="409" t="s">
        <v>1027</v>
      </c>
      <c r="B21" s="409"/>
      <c r="C21" s="409"/>
      <c r="D21" s="409"/>
      <c r="E21" s="409"/>
      <c r="F21" s="409"/>
    </row>
    <row r="22" spans="1:6" ht="10.95" customHeight="1">
      <c r="A22" s="421" t="s">
        <v>1202</v>
      </c>
      <c r="B22" s="429">
        <v>45804</v>
      </c>
      <c r="C22" s="429">
        <v>45808</v>
      </c>
      <c r="D22" s="421" t="s">
        <v>1203</v>
      </c>
      <c r="E22" s="422">
        <v>50122.86</v>
      </c>
      <c r="F22" s="421" t="s">
        <v>1030</v>
      </c>
    </row>
    <row r="23" spans="1:6" ht="10.95" customHeight="1">
      <c r="A23" s="416" t="s">
        <v>1034</v>
      </c>
      <c r="B23" s="416"/>
      <c r="C23" s="416"/>
      <c r="D23" s="416"/>
      <c r="E23" s="417">
        <f>E22</f>
        <v>50122.86</v>
      </c>
      <c r="F23" s="416"/>
    </row>
    <row r="24" spans="1:6" ht="13.35" customHeight="1"/>
    <row r="25" spans="1:6" s="412" customFormat="1" ht="12.15" customHeight="1">
      <c r="A25" s="409" t="s">
        <v>864</v>
      </c>
      <c r="B25" s="409"/>
      <c r="C25" s="409"/>
      <c r="D25" s="409"/>
      <c r="E25" s="409"/>
      <c r="F25" s="409"/>
    </row>
    <row r="26" spans="1:6" ht="10.95" customHeight="1">
      <c r="A26" s="421" t="s">
        <v>420</v>
      </c>
      <c r="B26" s="429">
        <v>45779</v>
      </c>
      <c r="C26" s="429">
        <v>45808</v>
      </c>
      <c r="D26" s="421" t="s">
        <v>1204</v>
      </c>
      <c r="E26" s="422">
        <v>176258.56</v>
      </c>
      <c r="F26" s="421" t="s">
        <v>892</v>
      </c>
    </row>
    <row r="27" spans="1:6" ht="10.95" customHeight="1">
      <c r="A27" s="414" t="s">
        <v>746</v>
      </c>
      <c r="B27" s="430">
        <v>45797</v>
      </c>
      <c r="C27" s="430">
        <v>45797</v>
      </c>
      <c r="D27" s="414" t="s">
        <v>1205</v>
      </c>
      <c r="E27" s="415">
        <v>21240</v>
      </c>
      <c r="F27" s="414" t="s">
        <v>868</v>
      </c>
    </row>
    <row r="28" spans="1:6" ht="10.95" customHeight="1">
      <c r="A28" s="414" t="s">
        <v>1049</v>
      </c>
      <c r="B28" s="430">
        <v>45800</v>
      </c>
      <c r="C28" s="430">
        <v>45800</v>
      </c>
      <c r="D28" s="414" t="s">
        <v>1206</v>
      </c>
      <c r="E28" s="415">
        <v>78881.960000000006</v>
      </c>
      <c r="F28" s="414" t="s">
        <v>868</v>
      </c>
    </row>
    <row r="29" spans="1:6" ht="10.95" customHeight="1">
      <c r="A29" s="414" t="s">
        <v>1207</v>
      </c>
      <c r="B29" s="430">
        <v>45800</v>
      </c>
      <c r="C29" s="430">
        <v>45830</v>
      </c>
      <c r="D29" s="414" t="s">
        <v>1208</v>
      </c>
      <c r="E29" s="415">
        <v>44132</v>
      </c>
      <c r="F29" s="414" t="s">
        <v>868</v>
      </c>
    </row>
    <row r="30" spans="1:6" ht="10.95" customHeight="1">
      <c r="A30" s="414" t="s">
        <v>1207</v>
      </c>
      <c r="B30" s="430">
        <v>45805</v>
      </c>
      <c r="C30" s="430">
        <v>45835</v>
      </c>
      <c r="D30" s="414" t="s">
        <v>1209</v>
      </c>
      <c r="E30" s="415">
        <v>44132</v>
      </c>
      <c r="F30" s="414" t="s">
        <v>868</v>
      </c>
    </row>
    <row r="31" spans="1:6" ht="10.95" customHeight="1">
      <c r="A31" s="414" t="s">
        <v>1028</v>
      </c>
      <c r="B31" s="430">
        <v>45790</v>
      </c>
      <c r="C31" s="430">
        <v>45808</v>
      </c>
      <c r="D31" s="414" t="s">
        <v>1210</v>
      </c>
      <c r="E31" s="415">
        <v>10393.44</v>
      </c>
      <c r="F31" s="414" t="s">
        <v>876</v>
      </c>
    </row>
    <row r="32" spans="1:6" ht="10.95" customHeight="1">
      <c r="A32" s="414" t="s">
        <v>1043</v>
      </c>
      <c r="B32" s="430">
        <v>45793</v>
      </c>
      <c r="C32" s="430">
        <v>45823</v>
      </c>
      <c r="D32" s="414" t="s">
        <v>1211</v>
      </c>
      <c r="E32" s="415">
        <v>12761.28</v>
      </c>
      <c r="F32" s="414" t="s">
        <v>876</v>
      </c>
    </row>
    <row r="33" spans="1:6" ht="10.95" customHeight="1">
      <c r="A33" s="414" t="s">
        <v>1043</v>
      </c>
      <c r="B33" s="430">
        <v>45807</v>
      </c>
      <c r="C33" s="430">
        <v>45823</v>
      </c>
      <c r="D33" s="414" t="s">
        <v>1212</v>
      </c>
      <c r="E33" s="415">
        <v>12936.98</v>
      </c>
      <c r="F33" s="414" t="s">
        <v>876</v>
      </c>
    </row>
    <row r="34" spans="1:6" ht="10.95" customHeight="1">
      <c r="A34" s="416" t="s">
        <v>895</v>
      </c>
      <c r="B34" s="416"/>
      <c r="C34" s="416"/>
      <c r="D34" s="416"/>
      <c r="E34" s="417">
        <f>SUM(E26:E33)</f>
        <v>400736.22000000003</v>
      </c>
      <c r="F34" s="416"/>
    </row>
    <row r="35" spans="1:6" ht="13.35" customHeight="1"/>
    <row r="36" spans="1:6" s="412" customFormat="1" ht="12.15" customHeight="1">
      <c r="A36" s="409" t="s">
        <v>916</v>
      </c>
      <c r="B36" s="409"/>
      <c r="C36" s="409"/>
      <c r="D36" s="409"/>
      <c r="E36" s="409"/>
      <c r="F36" s="409"/>
    </row>
    <row r="37" spans="1:6" ht="10.95" customHeight="1">
      <c r="A37" s="421" t="s">
        <v>1213</v>
      </c>
      <c r="B37" s="429">
        <v>45791</v>
      </c>
      <c r="C37" s="429">
        <v>45822</v>
      </c>
      <c r="D37" s="421" t="s">
        <v>1214</v>
      </c>
      <c r="E37" s="422">
        <v>120006</v>
      </c>
      <c r="F37" s="421" t="s">
        <v>919</v>
      </c>
    </row>
    <row r="38" spans="1:6" ht="10.95" customHeight="1">
      <c r="A38" s="416" t="s">
        <v>920</v>
      </c>
      <c r="B38" s="416"/>
      <c r="C38" s="416"/>
      <c r="D38" s="416"/>
      <c r="E38" s="417">
        <f>E37</f>
        <v>120006</v>
      </c>
      <c r="F38" s="416"/>
    </row>
    <row r="39" spans="1:6" ht="13.35" customHeight="1"/>
    <row r="40" spans="1:6" ht="10.95" customHeight="1">
      <c r="A40" s="419" t="s">
        <v>164</v>
      </c>
      <c r="B40" s="419"/>
      <c r="C40" s="419"/>
      <c r="D40" s="419"/>
      <c r="E40" s="420">
        <f>SUM(E11,E15,E19,E23,E34,E38)</f>
        <v>883748.51</v>
      </c>
      <c r="F40" s="419"/>
    </row>
    <row r="42" spans="1:6">
      <c r="E42" s="425">
        <f>+E40-E11</f>
        <v>639551.08000000007</v>
      </c>
    </row>
  </sheetData>
  <conditionalFormatting sqref="D1:D1048576">
    <cfRule type="duplicateValues" dxfId="22" priority="1"/>
  </conditionalFormatting>
  <pageMargins left="0.7" right="0.7" top="0.75" bottom="0.75" header="0.3" footer="0.3"/>
  <pageSetup paperSize="9" fitToWidth="0" fitToHeight="0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98D4E-7C64-4403-9D75-360070B911B7}">
  <dimension ref="A1:R83"/>
  <sheetViews>
    <sheetView topLeftCell="K1" zoomScale="130" zoomScaleNormal="130" workbookViewId="0">
      <selection activeCell="C15" sqref="C15"/>
    </sheetView>
  </sheetViews>
  <sheetFormatPr baseColWidth="10" defaultColWidth="8.88671875" defaultRowHeight="10.199999999999999"/>
  <cols>
    <col min="1" max="1" width="18" style="373" hidden="1" customWidth="1"/>
    <col min="2" max="2" width="21.33203125" style="373" hidden="1" customWidth="1"/>
    <col min="3" max="3" width="27.109375" style="373" customWidth="1"/>
    <col min="4" max="4" width="11.6640625" style="373" customWidth="1"/>
    <col min="5" max="5" width="33.6640625" style="373" customWidth="1"/>
    <col min="6" max="6" width="12.5546875" style="374" hidden="1" customWidth="1"/>
    <col min="7" max="7" width="13.33203125" style="374" hidden="1" customWidth="1"/>
    <col min="8" max="8" width="18.109375" style="374" hidden="1" customWidth="1"/>
    <col min="9" max="9" width="16.109375" style="374" hidden="1" customWidth="1"/>
    <col min="10" max="10" width="14.6640625" style="374" hidden="1" customWidth="1"/>
    <col min="11" max="18" width="14.6640625" style="769" customWidth="1"/>
    <col min="19" max="16384" width="8.88671875" style="373"/>
  </cols>
  <sheetData>
    <row r="1" spans="1:18" s="785" customFormat="1" ht="31.95" customHeight="1">
      <c r="A1" s="791" t="s">
        <v>1052</v>
      </c>
      <c r="B1" s="790" t="s">
        <v>1053</v>
      </c>
      <c r="C1" s="789" t="s">
        <v>1054</v>
      </c>
      <c r="D1" s="789" t="s">
        <v>1055</v>
      </c>
      <c r="E1" s="789" t="s">
        <v>1056</v>
      </c>
      <c r="F1" s="788" t="s">
        <v>1057</v>
      </c>
      <c r="G1" s="788" t="s">
        <v>1058</v>
      </c>
      <c r="H1" s="788" t="s">
        <v>1059</v>
      </c>
      <c r="I1" s="788" t="s">
        <v>1060</v>
      </c>
      <c r="J1" s="788" t="s">
        <v>1061</v>
      </c>
      <c r="K1" s="787" t="s">
        <v>1215</v>
      </c>
      <c r="L1" s="786">
        <v>45809</v>
      </c>
      <c r="M1" s="786">
        <v>45839</v>
      </c>
      <c r="N1" s="786">
        <v>45870</v>
      </c>
      <c r="O1" s="786">
        <v>45901</v>
      </c>
      <c r="P1" s="786">
        <v>45931</v>
      </c>
      <c r="Q1" s="786">
        <v>45962</v>
      </c>
      <c r="R1" s="786">
        <v>45992</v>
      </c>
    </row>
    <row r="2" spans="1:18" s="785" customFormat="1" ht="12" customHeight="1">
      <c r="A2" s="792"/>
      <c r="B2" s="793"/>
      <c r="C2" s="794"/>
      <c r="D2" s="794"/>
      <c r="E2" s="794"/>
      <c r="F2" s="795"/>
      <c r="G2" s="795"/>
      <c r="H2" s="795"/>
      <c r="I2" s="795"/>
      <c r="J2" s="795"/>
      <c r="K2" s="796"/>
      <c r="L2" s="797"/>
      <c r="M2" s="797"/>
      <c r="N2" s="797"/>
      <c r="O2" s="797"/>
      <c r="P2" s="797"/>
      <c r="Q2" s="797"/>
      <c r="R2" s="797"/>
    </row>
    <row r="3" spans="1:18">
      <c r="A3" s="373" t="s">
        <v>480</v>
      </c>
      <c r="B3" s="373" t="s">
        <v>1216</v>
      </c>
      <c r="C3" s="373" t="s">
        <v>436</v>
      </c>
      <c r="D3" s="373" t="s">
        <v>1217</v>
      </c>
      <c r="E3" s="373" t="s">
        <v>1218</v>
      </c>
      <c r="F3" s="374">
        <v>18880</v>
      </c>
      <c r="H3" s="374">
        <v>18880</v>
      </c>
      <c r="I3" s="374">
        <v>18880</v>
      </c>
      <c r="J3" s="374">
        <v>0</v>
      </c>
      <c r="K3" s="769">
        <v>18880</v>
      </c>
      <c r="L3" s="769">
        <f>+K3</f>
        <v>18880</v>
      </c>
    </row>
    <row r="4" spans="1:18" ht="12">
      <c r="A4" s="773"/>
      <c r="B4" s="773"/>
      <c r="C4" s="774" t="s">
        <v>33</v>
      </c>
      <c r="D4" s="773"/>
      <c r="E4" s="773"/>
      <c r="F4" s="772">
        <f t="shared" ref="F4:R4" si="0">SUM(F3)</f>
        <v>18880</v>
      </c>
      <c r="G4" s="772">
        <f t="shared" si="0"/>
        <v>0</v>
      </c>
      <c r="H4" s="772">
        <f t="shared" si="0"/>
        <v>18880</v>
      </c>
      <c r="I4" s="772">
        <f t="shared" si="0"/>
        <v>18880</v>
      </c>
      <c r="J4" s="772">
        <f t="shared" si="0"/>
        <v>0</v>
      </c>
      <c r="K4" s="771">
        <f t="shared" si="0"/>
        <v>18880</v>
      </c>
      <c r="L4" s="771">
        <f t="shared" si="0"/>
        <v>18880</v>
      </c>
      <c r="M4" s="771">
        <f t="shared" si="0"/>
        <v>0</v>
      </c>
      <c r="N4" s="771">
        <f t="shared" si="0"/>
        <v>0</v>
      </c>
      <c r="O4" s="771">
        <f t="shared" si="0"/>
        <v>0</v>
      </c>
      <c r="P4" s="771">
        <f t="shared" si="0"/>
        <v>0</v>
      </c>
      <c r="Q4" s="771">
        <f t="shared" si="0"/>
        <v>0</v>
      </c>
      <c r="R4" s="771">
        <f t="shared" si="0"/>
        <v>0</v>
      </c>
    </row>
    <row r="6" spans="1:18">
      <c r="A6" s="373" t="s">
        <v>490</v>
      </c>
      <c r="B6" s="373" t="s">
        <v>1063</v>
      </c>
      <c r="C6" s="373" t="s">
        <v>728</v>
      </c>
      <c r="D6" s="373" t="s">
        <v>1219</v>
      </c>
      <c r="E6" s="373" t="s">
        <v>1220</v>
      </c>
      <c r="F6" s="374">
        <v>53100</v>
      </c>
      <c r="H6" s="374">
        <v>53100</v>
      </c>
      <c r="I6" s="374">
        <v>53100</v>
      </c>
      <c r="J6" s="374">
        <v>0</v>
      </c>
      <c r="K6" s="769">
        <v>53100</v>
      </c>
      <c r="L6" s="769">
        <f>+K6</f>
        <v>53100</v>
      </c>
    </row>
    <row r="7" spans="1:18">
      <c r="A7" s="373" t="s">
        <v>490</v>
      </c>
      <c r="B7" s="373" t="s">
        <v>1063</v>
      </c>
      <c r="C7" s="373" t="s">
        <v>369</v>
      </c>
      <c r="D7" s="373" t="s">
        <v>367</v>
      </c>
      <c r="E7" s="373" t="s">
        <v>368</v>
      </c>
      <c r="F7" s="374">
        <v>278099.52</v>
      </c>
      <c r="H7" s="374">
        <v>278099.52</v>
      </c>
      <c r="I7" s="374">
        <v>0</v>
      </c>
      <c r="J7" s="374">
        <v>278099.52</v>
      </c>
      <c r="K7" s="769">
        <v>5099.5200000000004</v>
      </c>
      <c r="L7" s="769">
        <f>+K7</f>
        <v>5099.5200000000004</v>
      </c>
    </row>
    <row r="8" spans="1:18">
      <c r="A8" s="373" t="s">
        <v>493</v>
      </c>
      <c r="B8" s="373" t="s">
        <v>1064</v>
      </c>
      <c r="C8" s="373" t="s">
        <v>737</v>
      </c>
      <c r="D8" s="373" t="s">
        <v>738</v>
      </c>
      <c r="E8" s="373" t="s">
        <v>1065</v>
      </c>
      <c r="F8" s="374">
        <v>104888.89</v>
      </c>
      <c r="H8" s="374">
        <v>104888.89</v>
      </c>
      <c r="I8" s="374">
        <v>0</v>
      </c>
      <c r="J8" s="374">
        <v>104888.89</v>
      </c>
      <c r="K8" s="769">
        <v>64888.89</v>
      </c>
      <c r="M8" s="769">
        <f>+K8</f>
        <v>64888.89</v>
      </c>
    </row>
    <row r="9" spans="1:18">
      <c r="A9" s="373" t="s">
        <v>496</v>
      </c>
      <c r="B9" s="373" t="s">
        <v>1068</v>
      </c>
      <c r="C9" s="373" t="s">
        <v>735</v>
      </c>
      <c r="D9" s="373" t="s">
        <v>821</v>
      </c>
      <c r="E9" s="373" t="s">
        <v>1069</v>
      </c>
      <c r="F9" s="374">
        <v>100300</v>
      </c>
      <c r="H9" s="374">
        <v>100300</v>
      </c>
      <c r="I9" s="374">
        <v>0</v>
      </c>
      <c r="J9" s="374">
        <v>100300</v>
      </c>
      <c r="K9" s="769">
        <v>62050</v>
      </c>
      <c r="M9" s="769">
        <f>+K9</f>
        <v>62050</v>
      </c>
    </row>
    <row r="10" spans="1:18" ht="12">
      <c r="A10" s="773"/>
      <c r="B10" s="773"/>
      <c r="C10" s="774" t="s">
        <v>49</v>
      </c>
      <c r="D10" s="773"/>
      <c r="E10" s="773"/>
      <c r="F10" s="772">
        <f t="shared" ref="F10:R10" si="1">SUM(F6:F9)</f>
        <v>536388.41</v>
      </c>
      <c r="G10" s="772">
        <f t="shared" si="1"/>
        <v>0</v>
      </c>
      <c r="H10" s="772">
        <f t="shared" si="1"/>
        <v>536388.41</v>
      </c>
      <c r="I10" s="772">
        <f t="shared" si="1"/>
        <v>53100</v>
      </c>
      <c r="J10" s="772">
        <f t="shared" si="1"/>
        <v>483288.41000000003</v>
      </c>
      <c r="K10" s="771">
        <f t="shared" si="1"/>
        <v>185138.41</v>
      </c>
      <c r="L10" s="771">
        <f t="shared" si="1"/>
        <v>58199.520000000004</v>
      </c>
      <c r="M10" s="771">
        <f t="shared" si="1"/>
        <v>126938.89</v>
      </c>
      <c r="N10" s="771">
        <f t="shared" si="1"/>
        <v>0</v>
      </c>
      <c r="O10" s="771">
        <f t="shared" si="1"/>
        <v>0</v>
      </c>
      <c r="P10" s="771">
        <f t="shared" si="1"/>
        <v>0</v>
      </c>
      <c r="Q10" s="771">
        <f t="shared" si="1"/>
        <v>0</v>
      </c>
      <c r="R10" s="771">
        <f t="shared" si="1"/>
        <v>0</v>
      </c>
    </row>
    <row r="12" spans="1:18">
      <c r="A12" s="373" t="s">
        <v>508</v>
      </c>
      <c r="B12" s="373" t="s">
        <v>1079</v>
      </c>
      <c r="C12" s="373" t="s">
        <v>715</v>
      </c>
      <c r="D12" s="373" t="s">
        <v>1080</v>
      </c>
      <c r="E12" s="373" t="s">
        <v>1081</v>
      </c>
      <c r="F12" s="374">
        <v>3209516.66</v>
      </c>
      <c r="H12" s="374">
        <v>3209516.66</v>
      </c>
      <c r="I12" s="374">
        <v>0</v>
      </c>
      <c r="J12" s="374">
        <v>3209516.66</v>
      </c>
      <c r="K12" s="769">
        <v>9516.66</v>
      </c>
      <c r="M12" s="769">
        <f>+K12</f>
        <v>9516.66</v>
      </c>
    </row>
    <row r="13" spans="1:18">
      <c r="A13" s="373" t="s">
        <v>1082</v>
      </c>
      <c r="B13" s="373" t="s">
        <v>1083</v>
      </c>
      <c r="C13" s="373" t="s">
        <v>1084</v>
      </c>
      <c r="D13" s="373" t="s">
        <v>1085</v>
      </c>
      <c r="E13" s="373" t="s">
        <v>1086</v>
      </c>
      <c r="F13" s="374">
        <v>24485014.93</v>
      </c>
      <c r="H13" s="374">
        <v>24485014.93</v>
      </c>
      <c r="I13" s="374">
        <v>0</v>
      </c>
      <c r="J13" s="374">
        <v>24485014.93</v>
      </c>
      <c r="K13" s="769">
        <v>19485014.93</v>
      </c>
      <c r="L13" s="800">
        <v>5000000</v>
      </c>
      <c r="M13" s="769">
        <v>5000000</v>
      </c>
      <c r="N13" s="769">
        <v>5000000</v>
      </c>
      <c r="O13" s="769">
        <v>4485014.93</v>
      </c>
    </row>
    <row r="14" spans="1:18">
      <c r="A14" s="373" t="s">
        <v>1105</v>
      </c>
      <c r="B14" s="373" t="s">
        <v>1106</v>
      </c>
      <c r="C14" s="373" t="s">
        <v>715</v>
      </c>
      <c r="D14" s="373" t="s">
        <v>1097</v>
      </c>
      <c r="E14" s="373" t="s">
        <v>1098</v>
      </c>
      <c r="F14" s="374">
        <v>377142.88</v>
      </c>
      <c r="H14" s="374">
        <v>377142.88</v>
      </c>
      <c r="I14" s="374">
        <v>0</v>
      </c>
      <c r="J14" s="374">
        <v>377142.88</v>
      </c>
      <c r="K14" s="769">
        <f>213877.56+163265.32</f>
        <v>377142.88</v>
      </c>
      <c r="M14" s="769">
        <f>+K14</f>
        <v>377142.88</v>
      </c>
    </row>
    <row r="15" spans="1:18">
      <c r="A15" s="373" t="s">
        <v>1109</v>
      </c>
      <c r="B15" s="373" t="s">
        <v>1110</v>
      </c>
      <c r="C15" s="373" t="s">
        <v>1111</v>
      </c>
      <c r="D15" s="373" t="s">
        <v>1112</v>
      </c>
      <c r="E15" s="373" t="s">
        <v>1113</v>
      </c>
      <c r="F15" s="374">
        <v>879749.12</v>
      </c>
      <c r="H15" s="374">
        <v>879749.12</v>
      </c>
      <c r="I15" s="374">
        <v>0</v>
      </c>
      <c r="J15" s="374">
        <v>879749.12</v>
      </c>
      <c r="K15" s="769">
        <v>273022.48</v>
      </c>
      <c r="L15" s="769">
        <f>+K15</f>
        <v>273022.48</v>
      </c>
    </row>
    <row r="16" spans="1:18">
      <c r="A16" s="373" t="s">
        <v>1114</v>
      </c>
      <c r="B16" s="373" t="s">
        <v>1115</v>
      </c>
      <c r="C16" s="373" t="s">
        <v>715</v>
      </c>
      <c r="D16" s="373" t="s">
        <v>1080</v>
      </c>
      <c r="E16" s="373" t="s">
        <v>1081</v>
      </c>
      <c r="F16" s="374">
        <v>0</v>
      </c>
      <c r="G16" s="374">
        <v>107489.81</v>
      </c>
      <c r="H16" s="374">
        <v>107489.81</v>
      </c>
      <c r="I16" s="374">
        <v>0</v>
      </c>
      <c r="J16" s="374">
        <v>107489.81</v>
      </c>
      <c r="K16" s="769">
        <v>107489.81</v>
      </c>
      <c r="M16" s="769">
        <f>+K16</f>
        <v>107489.81</v>
      </c>
    </row>
    <row r="17" spans="1:18">
      <c r="A17" s="373" t="s">
        <v>1114</v>
      </c>
      <c r="B17" s="373" t="s">
        <v>1115</v>
      </c>
      <c r="C17" s="373" t="s">
        <v>1221</v>
      </c>
      <c r="D17" s="373" t="s">
        <v>1222</v>
      </c>
      <c r="E17" s="373" t="s">
        <v>1223</v>
      </c>
      <c r="F17" s="374">
        <v>50122.86</v>
      </c>
      <c r="H17" s="374">
        <v>50122.86</v>
      </c>
      <c r="I17" s="374">
        <v>50122.86</v>
      </c>
      <c r="J17" s="374">
        <v>0</v>
      </c>
      <c r="K17" s="769">
        <v>50122.86</v>
      </c>
      <c r="L17" s="769">
        <f>+K17</f>
        <v>50122.86</v>
      </c>
    </row>
    <row r="18" spans="1:18">
      <c r="E18" s="777" t="s">
        <v>1224</v>
      </c>
      <c r="F18" s="776"/>
      <c r="G18" s="776"/>
      <c r="H18" s="776"/>
      <c r="I18" s="776"/>
      <c r="J18" s="776"/>
      <c r="K18" s="775">
        <v>318000</v>
      </c>
      <c r="L18" s="775"/>
      <c r="M18" s="775">
        <f>+K18</f>
        <v>318000</v>
      </c>
      <c r="N18" s="775"/>
      <c r="O18" s="775"/>
      <c r="P18" s="775"/>
      <c r="Q18" s="775"/>
      <c r="R18" s="775"/>
    </row>
    <row r="19" spans="1:18">
      <c r="E19" s="777" t="s">
        <v>1225</v>
      </c>
      <c r="F19" s="776"/>
      <c r="G19" s="776"/>
      <c r="H19" s="776"/>
      <c r="I19" s="776"/>
      <c r="J19" s="776"/>
      <c r="K19" s="775">
        <v>314985.0700000003</v>
      </c>
      <c r="L19" s="775"/>
      <c r="M19" s="775">
        <f>+K19</f>
        <v>314985.0700000003</v>
      </c>
      <c r="N19" s="775"/>
      <c r="O19" s="775"/>
      <c r="P19" s="775"/>
      <c r="Q19" s="775"/>
      <c r="R19" s="775"/>
    </row>
    <row r="20" spans="1:18">
      <c r="E20" s="777" t="s">
        <v>1226</v>
      </c>
      <c r="F20" s="776"/>
      <c r="G20" s="776"/>
      <c r="H20" s="776"/>
      <c r="I20" s="776"/>
      <c r="J20" s="776"/>
      <c r="K20" s="775">
        <v>5283734</v>
      </c>
      <c r="L20" s="775"/>
      <c r="M20" s="775">
        <v>500000</v>
      </c>
      <c r="N20" s="775">
        <v>1000000</v>
      </c>
      <c r="O20" s="775">
        <v>2000000</v>
      </c>
      <c r="P20" s="775">
        <v>1183734</v>
      </c>
      <c r="Q20" s="775">
        <v>600000</v>
      </c>
      <c r="R20" s="775"/>
    </row>
    <row r="21" spans="1:18">
      <c r="E21" s="777" t="s">
        <v>1227</v>
      </c>
      <c r="F21" s="776"/>
      <c r="G21" s="776"/>
      <c r="H21" s="776"/>
      <c r="I21" s="776"/>
      <c r="J21" s="776"/>
      <c r="K21" s="775">
        <v>7782000</v>
      </c>
      <c r="L21" s="775"/>
      <c r="M21" s="775"/>
      <c r="N21" s="775"/>
      <c r="O21" s="775">
        <v>2500000</v>
      </c>
      <c r="P21" s="775">
        <v>2500000</v>
      </c>
      <c r="Q21" s="775">
        <v>2782000</v>
      </c>
      <c r="R21" s="775"/>
    </row>
    <row r="22" spans="1:18">
      <c r="E22" s="777" t="s">
        <v>1228</v>
      </c>
      <c r="F22" s="776"/>
      <c r="G22" s="776"/>
      <c r="H22" s="776"/>
      <c r="I22" s="776"/>
      <c r="J22" s="776"/>
      <c r="K22" s="775">
        <v>918000</v>
      </c>
      <c r="L22" s="775"/>
      <c r="M22" s="775">
        <f>+K22</f>
        <v>918000</v>
      </c>
      <c r="N22" s="775"/>
      <c r="O22" s="775"/>
      <c r="P22" s="775"/>
      <c r="Q22" s="775"/>
      <c r="R22" s="775"/>
    </row>
    <row r="23" spans="1:18" ht="12">
      <c r="A23" s="773"/>
      <c r="B23" s="773"/>
      <c r="C23" s="774" t="s">
        <v>35</v>
      </c>
      <c r="D23" s="773"/>
      <c r="E23" s="773"/>
      <c r="F23" s="772">
        <f t="shared" ref="F23:R23" si="2">SUM(F12:F22)</f>
        <v>29001546.449999999</v>
      </c>
      <c r="G23" s="772">
        <f t="shared" si="2"/>
        <v>107489.81</v>
      </c>
      <c r="H23" s="772">
        <f t="shared" si="2"/>
        <v>29109036.259999998</v>
      </c>
      <c r="I23" s="772">
        <f t="shared" si="2"/>
        <v>50122.86</v>
      </c>
      <c r="J23" s="772">
        <f t="shared" si="2"/>
        <v>29058913.399999999</v>
      </c>
      <c r="K23" s="771">
        <f t="shared" si="2"/>
        <v>34919028.689999998</v>
      </c>
      <c r="L23" s="771">
        <f t="shared" si="2"/>
        <v>5323145.3400000008</v>
      </c>
      <c r="M23" s="771">
        <f t="shared" si="2"/>
        <v>7545134.4199999999</v>
      </c>
      <c r="N23" s="771">
        <f t="shared" si="2"/>
        <v>6000000</v>
      </c>
      <c r="O23" s="771">
        <f t="shared" si="2"/>
        <v>8985014.9299999997</v>
      </c>
      <c r="P23" s="771">
        <f t="shared" si="2"/>
        <v>3683734</v>
      </c>
      <c r="Q23" s="771">
        <f t="shared" si="2"/>
        <v>3382000</v>
      </c>
      <c r="R23" s="771">
        <f t="shared" si="2"/>
        <v>0</v>
      </c>
    </row>
    <row r="25" spans="1:18">
      <c r="C25" s="373" t="s">
        <v>715</v>
      </c>
      <c r="E25" s="777" t="s">
        <v>1229</v>
      </c>
      <c r="F25" s="776"/>
      <c r="G25" s="776"/>
      <c r="H25" s="776"/>
      <c r="I25" s="776"/>
      <c r="J25" s="777"/>
      <c r="K25" s="775">
        <v>19700000</v>
      </c>
      <c r="L25" s="775"/>
      <c r="M25" s="775"/>
      <c r="N25" s="775">
        <v>3000000</v>
      </c>
      <c r="O25" s="775">
        <v>3000000</v>
      </c>
      <c r="P25" s="775">
        <v>5700000</v>
      </c>
      <c r="Q25" s="775">
        <v>5000000</v>
      </c>
      <c r="R25" s="775">
        <v>3000000</v>
      </c>
    </row>
    <row r="26" spans="1:18" ht="12">
      <c r="A26" s="773"/>
      <c r="B26" s="773"/>
      <c r="C26" s="774" t="s">
        <v>38</v>
      </c>
      <c r="D26" s="773"/>
      <c r="E26" s="784"/>
      <c r="F26" s="772">
        <f t="shared" ref="F26:R26" si="3">SUM(F25)</f>
        <v>0</v>
      </c>
      <c r="G26" s="772">
        <f t="shared" si="3"/>
        <v>0</v>
      </c>
      <c r="H26" s="772">
        <f t="shared" si="3"/>
        <v>0</v>
      </c>
      <c r="I26" s="772">
        <f t="shared" si="3"/>
        <v>0</v>
      </c>
      <c r="J26" s="772">
        <f t="shared" si="3"/>
        <v>0</v>
      </c>
      <c r="K26" s="771">
        <f t="shared" si="3"/>
        <v>19700000</v>
      </c>
      <c r="L26" s="771">
        <f t="shared" si="3"/>
        <v>0</v>
      </c>
      <c r="M26" s="771">
        <f t="shared" si="3"/>
        <v>0</v>
      </c>
      <c r="N26" s="771">
        <f t="shared" si="3"/>
        <v>3000000</v>
      </c>
      <c r="O26" s="771">
        <f t="shared" si="3"/>
        <v>3000000</v>
      </c>
      <c r="P26" s="771">
        <f t="shared" si="3"/>
        <v>5700000</v>
      </c>
      <c r="Q26" s="771">
        <f t="shared" si="3"/>
        <v>5000000</v>
      </c>
      <c r="R26" s="771">
        <f t="shared" si="3"/>
        <v>3000000</v>
      </c>
    </row>
    <row r="28" spans="1:18">
      <c r="A28" s="373" t="s">
        <v>595</v>
      </c>
      <c r="B28" s="373" t="s">
        <v>1121</v>
      </c>
      <c r="C28" s="373" t="s">
        <v>715</v>
      </c>
      <c r="D28" s="373" t="s">
        <v>1080</v>
      </c>
      <c r="E28" s="373" t="s">
        <v>1081</v>
      </c>
      <c r="F28" s="374">
        <v>378722.97</v>
      </c>
      <c r="G28" s="374">
        <v>12683.8</v>
      </c>
      <c r="H28" s="374">
        <v>391406.77</v>
      </c>
      <c r="I28" s="374">
        <v>0</v>
      </c>
      <c r="J28" s="374">
        <v>391406.77</v>
      </c>
      <c r="K28" s="769">
        <v>391406.77</v>
      </c>
      <c r="M28" s="769">
        <f>+K28</f>
        <v>391406.77</v>
      </c>
    </row>
    <row r="29" spans="1:18">
      <c r="C29" s="373" t="s">
        <v>715</v>
      </c>
      <c r="E29" s="777" t="s">
        <v>1230</v>
      </c>
      <c r="F29" s="776"/>
      <c r="G29" s="776"/>
      <c r="H29" s="776"/>
      <c r="I29" s="776"/>
      <c r="J29" s="776"/>
      <c r="K29" s="775">
        <f>SUM(L29:R29)</f>
        <v>16520000</v>
      </c>
      <c r="L29" s="800">
        <v>2360000</v>
      </c>
      <c r="M29" s="775">
        <v>2360000</v>
      </c>
      <c r="N29" s="775">
        <v>2360000</v>
      </c>
      <c r="O29" s="775">
        <v>2360000</v>
      </c>
      <c r="P29" s="775">
        <v>2360000</v>
      </c>
      <c r="Q29" s="775">
        <v>2360000</v>
      </c>
      <c r="R29" s="775">
        <v>2360000</v>
      </c>
    </row>
    <row r="30" spans="1:18" ht="12">
      <c r="A30" s="773"/>
      <c r="B30" s="773"/>
      <c r="C30" s="774" t="s">
        <v>767</v>
      </c>
      <c r="D30" s="773"/>
      <c r="E30" s="773"/>
      <c r="F30" s="772">
        <f>SUM(F28)</f>
        <v>378722.97</v>
      </c>
      <c r="G30" s="772">
        <f>SUM(G28)</f>
        <v>12683.8</v>
      </c>
      <c r="H30" s="772">
        <f>SUM(H28)</f>
        <v>391406.77</v>
      </c>
      <c r="I30" s="772">
        <f>SUM(I28)</f>
        <v>0</v>
      </c>
      <c r="J30" s="772">
        <f>SUM(J28)</f>
        <v>391406.77</v>
      </c>
      <c r="K30" s="771">
        <f t="shared" ref="K30:R30" si="4">SUM(K28:K29)</f>
        <v>16911406.77</v>
      </c>
      <c r="L30" s="771">
        <f t="shared" si="4"/>
        <v>2360000</v>
      </c>
      <c r="M30" s="771">
        <f>SUM(M28:M29)</f>
        <v>2751406.77</v>
      </c>
      <c r="N30" s="771">
        <f t="shared" si="4"/>
        <v>2360000</v>
      </c>
      <c r="O30" s="771">
        <f t="shared" si="4"/>
        <v>2360000</v>
      </c>
      <c r="P30" s="771">
        <f t="shared" si="4"/>
        <v>2360000</v>
      </c>
      <c r="Q30" s="771">
        <f t="shared" si="4"/>
        <v>2360000</v>
      </c>
      <c r="R30" s="771">
        <f t="shared" si="4"/>
        <v>2360000</v>
      </c>
    </row>
    <row r="31" spans="1:18" ht="12">
      <c r="A31" s="590"/>
      <c r="B31" s="590"/>
      <c r="C31" s="781"/>
      <c r="D31" s="590"/>
      <c r="E31" s="590"/>
      <c r="F31" s="783"/>
      <c r="G31" s="783"/>
      <c r="H31" s="783"/>
      <c r="I31" s="783"/>
      <c r="J31" s="783"/>
      <c r="K31" s="782"/>
      <c r="L31" s="782"/>
      <c r="M31" s="782"/>
      <c r="N31" s="782"/>
      <c r="O31" s="782"/>
      <c r="P31" s="782"/>
      <c r="Q31" s="782"/>
      <c r="R31" s="782"/>
    </row>
    <row r="32" spans="1:18">
      <c r="C32" s="373" t="s">
        <v>1231</v>
      </c>
      <c r="E32" s="777" t="s">
        <v>768</v>
      </c>
      <c r="F32" s="776"/>
      <c r="G32" s="776"/>
      <c r="H32" s="776"/>
      <c r="I32" s="776"/>
      <c r="J32" s="776"/>
      <c r="K32" s="775">
        <f>SUM(L32:R32)</f>
        <v>12390000</v>
      </c>
      <c r="L32" s="800">
        <v>1770000</v>
      </c>
      <c r="M32" s="775">
        <v>1770000</v>
      </c>
      <c r="N32" s="775">
        <v>1770000</v>
      </c>
      <c r="O32" s="775">
        <v>1770000</v>
      </c>
      <c r="P32" s="775">
        <v>1770000</v>
      </c>
      <c r="Q32" s="775">
        <v>1770000</v>
      </c>
      <c r="R32" s="775">
        <v>1770000</v>
      </c>
    </row>
    <row r="33" spans="1:18" ht="12">
      <c r="A33" s="773"/>
      <c r="B33" s="773"/>
      <c r="C33" s="774" t="s">
        <v>768</v>
      </c>
      <c r="D33" s="773"/>
      <c r="E33" s="773"/>
      <c r="F33" s="772" t="e">
        <f>SUM(#REF!)</f>
        <v>#REF!</v>
      </c>
      <c r="G33" s="772" t="e">
        <f>SUM(#REF!)</f>
        <v>#REF!</v>
      </c>
      <c r="H33" s="772" t="e">
        <f>SUM(#REF!)</f>
        <v>#REF!</v>
      </c>
      <c r="I33" s="772" t="e">
        <f>SUM(#REF!)</f>
        <v>#REF!</v>
      </c>
      <c r="J33" s="772" t="e">
        <f>SUM(#REF!)</f>
        <v>#REF!</v>
      </c>
      <c r="K33" s="771">
        <f t="shared" ref="K33:R33" si="5">SUM(K32)</f>
        <v>12390000</v>
      </c>
      <c r="L33" s="771">
        <f t="shared" si="5"/>
        <v>1770000</v>
      </c>
      <c r="M33" s="771">
        <f t="shared" si="5"/>
        <v>1770000</v>
      </c>
      <c r="N33" s="771">
        <f t="shared" si="5"/>
        <v>1770000</v>
      </c>
      <c r="O33" s="771">
        <f t="shared" si="5"/>
        <v>1770000</v>
      </c>
      <c r="P33" s="771">
        <f t="shared" si="5"/>
        <v>1770000</v>
      </c>
      <c r="Q33" s="771">
        <f t="shared" si="5"/>
        <v>1770000</v>
      </c>
      <c r="R33" s="771">
        <f t="shared" si="5"/>
        <v>1770000</v>
      </c>
    </row>
    <row r="34" spans="1:18" ht="12">
      <c r="A34" s="590"/>
      <c r="B34" s="590"/>
      <c r="C34" s="781"/>
      <c r="D34" s="590"/>
      <c r="E34" s="590"/>
      <c r="F34" s="783"/>
      <c r="G34" s="783"/>
      <c r="H34" s="783"/>
      <c r="I34" s="783"/>
      <c r="J34" s="783"/>
      <c r="K34" s="782"/>
      <c r="L34" s="782"/>
      <c r="M34" s="782"/>
      <c r="N34" s="782"/>
      <c r="O34" s="782"/>
      <c r="P34" s="782"/>
      <c r="Q34" s="782"/>
      <c r="R34" s="782"/>
    </row>
    <row r="35" spans="1:18">
      <c r="C35" s="373" t="s">
        <v>1232</v>
      </c>
      <c r="E35" s="777" t="s">
        <v>1233</v>
      </c>
      <c r="F35" s="776"/>
      <c r="G35" s="776"/>
      <c r="H35" s="776"/>
      <c r="I35" s="776"/>
      <c r="J35" s="776"/>
      <c r="K35" s="775">
        <f>SUM(L35:R35)</f>
        <v>5779975.5999999996</v>
      </c>
      <c r="L35" s="800">
        <v>825710.8</v>
      </c>
      <c r="M35" s="775">
        <v>825710.8</v>
      </c>
      <c r="N35" s="775">
        <v>825710.8</v>
      </c>
      <c r="O35" s="775">
        <v>825710.8</v>
      </c>
      <c r="P35" s="775">
        <v>825710.8</v>
      </c>
      <c r="Q35" s="775">
        <v>825710.8</v>
      </c>
      <c r="R35" s="775">
        <v>825710.8</v>
      </c>
    </row>
    <row r="36" spans="1:18">
      <c r="C36" s="373" t="s">
        <v>1234</v>
      </c>
      <c r="E36" s="777" t="s">
        <v>1235</v>
      </c>
      <c r="F36" s="776"/>
      <c r="G36" s="776"/>
      <c r="H36" s="776"/>
      <c r="I36" s="776"/>
      <c r="J36" s="776"/>
      <c r="K36" s="775">
        <f>SUM(L36:R36)</f>
        <v>5369000</v>
      </c>
      <c r="L36" s="800">
        <v>767000</v>
      </c>
      <c r="M36" s="775">
        <v>767000</v>
      </c>
      <c r="N36" s="775">
        <v>767000</v>
      </c>
      <c r="O36" s="775">
        <v>767000</v>
      </c>
      <c r="P36" s="775">
        <v>767000</v>
      </c>
      <c r="Q36" s="775">
        <v>767000</v>
      </c>
      <c r="R36" s="775">
        <v>767000</v>
      </c>
    </row>
    <row r="37" spans="1:18" ht="12">
      <c r="A37" s="773"/>
      <c r="B37" s="773"/>
      <c r="C37" s="774" t="s">
        <v>43</v>
      </c>
      <c r="D37" s="773"/>
      <c r="E37" s="773"/>
      <c r="F37" s="772">
        <f>SUM(F35)</f>
        <v>0</v>
      </c>
      <c r="G37" s="772">
        <f>SUM(G35)</f>
        <v>0</v>
      </c>
      <c r="H37" s="772">
        <f>SUM(H35)</f>
        <v>0</v>
      </c>
      <c r="I37" s="772">
        <f>SUM(I35)</f>
        <v>0</v>
      </c>
      <c r="J37" s="772">
        <f>SUM(J35)</f>
        <v>0</v>
      </c>
      <c r="K37" s="771">
        <f t="shared" ref="K37:R37" si="6">SUM(K35:K36)</f>
        <v>11148975.6</v>
      </c>
      <c r="L37" s="771">
        <f t="shared" si="6"/>
        <v>1592710.8</v>
      </c>
      <c r="M37" s="771">
        <f t="shared" si="6"/>
        <v>1592710.8</v>
      </c>
      <c r="N37" s="771">
        <f t="shared" si="6"/>
        <v>1592710.8</v>
      </c>
      <c r="O37" s="771">
        <f t="shared" si="6"/>
        <v>1592710.8</v>
      </c>
      <c r="P37" s="771">
        <f t="shared" si="6"/>
        <v>1592710.8</v>
      </c>
      <c r="Q37" s="771">
        <f t="shared" si="6"/>
        <v>1592710.8</v>
      </c>
      <c r="R37" s="771">
        <f t="shared" si="6"/>
        <v>1592710.8</v>
      </c>
    </row>
    <row r="38" spans="1:18" ht="12">
      <c r="A38" s="590"/>
      <c r="B38" s="590"/>
      <c r="C38" s="781"/>
      <c r="D38" s="590"/>
      <c r="E38" s="590"/>
      <c r="F38" s="780"/>
      <c r="G38" s="780"/>
      <c r="H38" s="780"/>
      <c r="I38" s="780"/>
      <c r="J38" s="780"/>
      <c r="K38" s="779"/>
      <c r="L38" s="779"/>
      <c r="M38" s="779"/>
      <c r="N38" s="779"/>
      <c r="O38" s="779"/>
      <c r="P38" s="779"/>
      <c r="Q38" s="779"/>
      <c r="R38" s="779"/>
    </row>
    <row r="39" spans="1:18">
      <c r="C39" s="373" t="s">
        <v>1236</v>
      </c>
      <c r="E39" s="777" t="s">
        <v>1237</v>
      </c>
      <c r="F39" s="776"/>
      <c r="G39" s="776"/>
      <c r="H39" s="776"/>
      <c r="I39" s="776"/>
      <c r="J39" s="776"/>
      <c r="K39" s="775">
        <f>SUM(L39:R39)</f>
        <v>302316</v>
      </c>
      <c r="L39" s="800">
        <v>43188</v>
      </c>
      <c r="M39" s="775">
        <v>43188</v>
      </c>
      <c r="N39" s="775">
        <v>43188</v>
      </c>
      <c r="O39" s="775">
        <v>43188</v>
      </c>
      <c r="P39" s="775">
        <v>43188</v>
      </c>
      <c r="Q39" s="775">
        <v>43188</v>
      </c>
      <c r="R39" s="775">
        <v>43188</v>
      </c>
    </row>
    <row r="40" spans="1:18">
      <c r="C40" s="373" t="s">
        <v>1236</v>
      </c>
      <c r="E40" s="777" t="s">
        <v>1238</v>
      </c>
      <c r="F40" s="776"/>
      <c r="G40" s="776"/>
      <c r="H40" s="776"/>
      <c r="I40" s="776"/>
      <c r="J40" s="776"/>
      <c r="K40" s="775">
        <f>SUM(L40:R40)</f>
        <v>262500</v>
      </c>
      <c r="L40" s="800">
        <v>37500</v>
      </c>
      <c r="M40" s="775">
        <v>37500</v>
      </c>
      <c r="N40" s="775">
        <v>37500</v>
      </c>
      <c r="O40" s="775">
        <v>37500</v>
      </c>
      <c r="P40" s="775">
        <v>37500</v>
      </c>
      <c r="Q40" s="775">
        <v>37500</v>
      </c>
      <c r="R40" s="775">
        <v>37500</v>
      </c>
    </row>
    <row r="41" spans="1:18" ht="12">
      <c r="A41" s="773"/>
      <c r="B41" s="773"/>
      <c r="C41" s="774" t="s">
        <v>672</v>
      </c>
      <c r="D41" s="773"/>
      <c r="E41" s="773"/>
      <c r="F41" s="772">
        <f>SUM(F39)</f>
        <v>0</v>
      </c>
      <c r="G41" s="772">
        <f>SUM(G39)</f>
        <v>0</v>
      </c>
      <c r="H41" s="772">
        <f>SUM(H39)</f>
        <v>0</v>
      </c>
      <c r="I41" s="772">
        <f>SUM(I39)</f>
        <v>0</v>
      </c>
      <c r="J41" s="772">
        <f>SUM(J39)</f>
        <v>0</v>
      </c>
      <c r="K41" s="771">
        <f t="shared" ref="K41:R41" si="7">SUM(K39:K40)</f>
        <v>564816</v>
      </c>
      <c r="L41" s="771">
        <f t="shared" si="7"/>
        <v>80688</v>
      </c>
      <c r="M41" s="771">
        <f t="shared" si="7"/>
        <v>80688</v>
      </c>
      <c r="N41" s="771">
        <f t="shared" si="7"/>
        <v>80688</v>
      </c>
      <c r="O41" s="771">
        <f t="shared" si="7"/>
        <v>80688</v>
      </c>
      <c r="P41" s="771">
        <f t="shared" si="7"/>
        <v>80688</v>
      </c>
      <c r="Q41" s="771">
        <f t="shared" si="7"/>
        <v>80688</v>
      </c>
      <c r="R41" s="771">
        <f t="shared" si="7"/>
        <v>80688</v>
      </c>
    </row>
    <row r="43" spans="1:18">
      <c r="A43" s="373" t="s">
        <v>619</v>
      </c>
      <c r="B43" s="373" t="s">
        <v>1239</v>
      </c>
      <c r="C43" s="373" t="s">
        <v>1043</v>
      </c>
      <c r="D43" s="373" t="s">
        <v>1137</v>
      </c>
      <c r="E43" s="373" t="s">
        <v>1138</v>
      </c>
      <c r="F43" s="374">
        <v>53502.559999999998</v>
      </c>
      <c r="H43" s="374">
        <v>53502.559999999998</v>
      </c>
      <c r="I43" s="374">
        <v>39073.9</v>
      </c>
      <c r="J43" s="374">
        <v>14428.66</v>
      </c>
      <c r="K43" s="769">
        <v>40126.92</v>
      </c>
      <c r="L43" s="769">
        <f>12761.28+12936.98</f>
        <v>25698.260000000002</v>
      </c>
      <c r="M43" s="769">
        <f>+K43-L43</f>
        <v>14428.659999999996</v>
      </c>
    </row>
    <row r="44" spans="1:18">
      <c r="A44" s="373" t="s">
        <v>619</v>
      </c>
      <c r="B44" s="373" t="s">
        <v>1239</v>
      </c>
      <c r="C44" s="373" t="s">
        <v>756</v>
      </c>
      <c r="D44" s="373" t="s">
        <v>955</v>
      </c>
      <c r="E44" s="373" t="s">
        <v>1129</v>
      </c>
      <c r="F44" s="374">
        <v>264792</v>
      </c>
      <c r="H44" s="374">
        <v>264792</v>
      </c>
      <c r="I44" s="374">
        <v>176528</v>
      </c>
      <c r="J44" s="374">
        <v>88264</v>
      </c>
      <c r="K44" s="769">
        <v>176528</v>
      </c>
      <c r="L44" s="800">
        <f>+K44*0.5</f>
        <v>88264</v>
      </c>
      <c r="M44" s="769">
        <f>+K44*0.5</f>
        <v>88264</v>
      </c>
    </row>
    <row r="45" spans="1:18">
      <c r="A45" s="373" t="s">
        <v>619</v>
      </c>
      <c r="B45" s="373" t="s">
        <v>1239</v>
      </c>
      <c r="C45" s="373" t="s">
        <v>1207</v>
      </c>
      <c r="D45" s="373" t="s">
        <v>1240</v>
      </c>
      <c r="E45" s="373" t="s">
        <v>1241</v>
      </c>
      <c r="F45" s="374">
        <v>44132</v>
      </c>
      <c r="G45" s="374">
        <v>132396</v>
      </c>
      <c r="H45" s="374">
        <v>176528</v>
      </c>
      <c r="I45" s="374">
        <v>88264</v>
      </c>
      <c r="J45" s="374">
        <v>88264</v>
      </c>
      <c r="K45" s="769">
        <v>176528</v>
      </c>
      <c r="L45" s="800">
        <f>+K45*0.5</f>
        <v>88264</v>
      </c>
      <c r="M45" s="769">
        <f>+K45*0.25</f>
        <v>44132</v>
      </c>
      <c r="N45" s="769">
        <f>+K45*0.25</f>
        <v>44132</v>
      </c>
    </row>
    <row r="46" spans="1:18">
      <c r="A46" s="373" t="s">
        <v>619</v>
      </c>
      <c r="B46" s="373" t="s">
        <v>1239</v>
      </c>
      <c r="C46" s="373" t="s">
        <v>1028</v>
      </c>
      <c r="D46" s="373" t="s">
        <v>1242</v>
      </c>
      <c r="E46" s="373" t="s">
        <v>1243</v>
      </c>
      <c r="F46" s="374">
        <v>10393.44</v>
      </c>
      <c r="H46" s="374">
        <v>10393.44</v>
      </c>
      <c r="I46" s="374">
        <v>10393.44</v>
      </c>
      <c r="J46" s="374">
        <v>0</v>
      </c>
      <c r="K46" s="769">
        <v>10393.44</v>
      </c>
      <c r="L46" s="769">
        <f>+K46</f>
        <v>10393.44</v>
      </c>
    </row>
    <row r="47" spans="1:18">
      <c r="A47" s="373" t="s">
        <v>619</v>
      </c>
      <c r="B47" s="373" t="s">
        <v>1239</v>
      </c>
      <c r="C47" s="373" t="s">
        <v>1049</v>
      </c>
      <c r="D47" s="373" t="s">
        <v>1244</v>
      </c>
      <c r="E47" s="373" t="s">
        <v>1245</v>
      </c>
      <c r="F47" s="374">
        <v>78881.960000000006</v>
      </c>
      <c r="H47" s="374">
        <v>78881.960000000006</v>
      </c>
      <c r="I47" s="374">
        <v>78881.960000000006</v>
      </c>
      <c r="J47" s="374">
        <v>0</v>
      </c>
      <c r="K47" s="769">
        <v>78881.960000000006</v>
      </c>
      <c r="L47" s="769">
        <f>+K47</f>
        <v>78881.960000000006</v>
      </c>
    </row>
    <row r="48" spans="1:18">
      <c r="A48" s="373" t="s">
        <v>619</v>
      </c>
      <c r="B48" s="373" t="s">
        <v>1239</v>
      </c>
      <c r="C48" s="373" t="s">
        <v>1045</v>
      </c>
      <c r="D48" s="373" t="s">
        <v>1246</v>
      </c>
      <c r="E48" s="373" t="s">
        <v>1247</v>
      </c>
      <c r="F48" s="374">
        <v>99308.800000000003</v>
      </c>
      <c r="H48" s="374">
        <v>99308.800000000003</v>
      </c>
      <c r="I48" s="374">
        <v>99308.800000000003</v>
      </c>
      <c r="J48" s="374">
        <v>0</v>
      </c>
      <c r="K48" s="778">
        <v>99308.800000000003</v>
      </c>
      <c r="L48" s="769">
        <f>+K48</f>
        <v>99308.800000000003</v>
      </c>
    </row>
    <row r="49" spans="1:18">
      <c r="A49" s="373" t="s">
        <v>619</v>
      </c>
      <c r="B49" s="373" t="s">
        <v>1239</v>
      </c>
      <c r="C49" s="373" t="s">
        <v>746</v>
      </c>
      <c r="D49" s="373" t="s">
        <v>1248</v>
      </c>
      <c r="E49" s="373" t="s">
        <v>1249</v>
      </c>
      <c r="F49" s="374">
        <v>63720</v>
      </c>
      <c r="H49" s="374">
        <v>63720</v>
      </c>
      <c r="I49" s="374">
        <v>21240</v>
      </c>
      <c r="J49" s="374">
        <v>42480</v>
      </c>
      <c r="K49" s="769">
        <v>63720</v>
      </c>
      <c r="L49" s="769">
        <v>21240</v>
      </c>
      <c r="M49" s="769">
        <v>21240</v>
      </c>
      <c r="N49" s="769">
        <v>21240</v>
      </c>
    </row>
    <row r="50" spans="1:18">
      <c r="A50" s="373" t="s">
        <v>619</v>
      </c>
      <c r="B50" s="373" t="s">
        <v>1239</v>
      </c>
      <c r="C50" s="373" t="s">
        <v>420</v>
      </c>
      <c r="D50" s="373" t="s">
        <v>928</v>
      </c>
      <c r="E50" s="373" t="s">
        <v>1123</v>
      </c>
      <c r="F50" s="374">
        <v>1895548.05</v>
      </c>
      <c r="G50" s="374">
        <v>91726.31</v>
      </c>
      <c r="H50" s="374">
        <v>1987274.36</v>
      </c>
      <c r="I50" s="374">
        <v>1634789.95</v>
      </c>
      <c r="J50" s="374">
        <v>352484.41</v>
      </c>
      <c r="K50" s="769">
        <v>541559.53</v>
      </c>
      <c r="L50" s="800">
        <f>176258.56</f>
        <v>176258.56</v>
      </c>
      <c r="M50" s="769">
        <f>+K50-L50</f>
        <v>365300.97000000003</v>
      </c>
    </row>
    <row r="51" spans="1:18">
      <c r="A51" s="373" t="s">
        <v>619</v>
      </c>
      <c r="B51" s="373" t="s">
        <v>1239</v>
      </c>
      <c r="C51" s="373" t="s">
        <v>740</v>
      </c>
      <c r="D51" s="373" t="s">
        <v>1250</v>
      </c>
      <c r="E51" s="373" t="s">
        <v>1251</v>
      </c>
      <c r="F51" s="374">
        <v>49766.5</v>
      </c>
      <c r="H51" s="374">
        <v>49766.5</v>
      </c>
      <c r="I51" s="374">
        <v>0</v>
      </c>
      <c r="J51" s="374">
        <v>49766.5</v>
      </c>
      <c r="K51" s="769">
        <v>49766.5</v>
      </c>
      <c r="L51" s="769">
        <f>+K51</f>
        <v>49766.5</v>
      </c>
    </row>
    <row r="52" spans="1:18">
      <c r="A52" s="373" t="s">
        <v>619</v>
      </c>
      <c r="B52" s="373" t="s">
        <v>1239</v>
      </c>
      <c r="C52" s="373" t="s">
        <v>740</v>
      </c>
      <c r="D52" s="373" t="s">
        <v>938</v>
      </c>
      <c r="E52" s="373" t="s">
        <v>1126</v>
      </c>
      <c r="F52" s="374">
        <v>273279.15000000002</v>
      </c>
      <c r="H52" s="374">
        <v>273279.15000000002</v>
      </c>
      <c r="I52" s="374">
        <v>0</v>
      </c>
      <c r="J52" s="374">
        <v>273279.15000000002</v>
      </c>
      <c r="K52" s="769">
        <v>273279.15000000002</v>
      </c>
      <c r="M52" s="769">
        <f>+K52</f>
        <v>273279.15000000002</v>
      </c>
    </row>
    <row r="53" spans="1:18">
      <c r="C53" s="373" t="s">
        <v>1234</v>
      </c>
      <c r="E53" s="373" t="s">
        <v>1252</v>
      </c>
      <c r="F53" s="799"/>
      <c r="G53" s="799"/>
      <c r="H53" s="799"/>
      <c r="I53" s="799"/>
      <c r="J53" s="799"/>
      <c r="K53" s="769">
        <f t="shared" ref="K53:K60" si="8">SUM(L53:R53)</f>
        <v>995330</v>
      </c>
      <c r="L53" s="800">
        <v>142190</v>
      </c>
      <c r="M53" s="775">
        <v>142190</v>
      </c>
      <c r="N53" s="775">
        <v>142190</v>
      </c>
      <c r="O53" s="775">
        <v>142190</v>
      </c>
      <c r="P53" s="775">
        <v>142190</v>
      </c>
      <c r="Q53" s="775">
        <v>142190</v>
      </c>
      <c r="R53" s="775">
        <v>142190</v>
      </c>
    </row>
    <row r="54" spans="1:18">
      <c r="C54" s="373" t="s">
        <v>1045</v>
      </c>
      <c r="E54" s="373" t="s">
        <v>1253</v>
      </c>
      <c r="F54" s="799"/>
      <c r="G54" s="799"/>
      <c r="H54" s="799"/>
      <c r="I54" s="799"/>
      <c r="J54" s="799"/>
      <c r="K54" s="769">
        <f t="shared" si="8"/>
        <v>693000</v>
      </c>
      <c r="L54" s="769">
        <v>99000</v>
      </c>
      <c r="M54" s="775">
        <v>99000</v>
      </c>
      <c r="N54" s="775">
        <v>99000</v>
      </c>
      <c r="O54" s="775">
        <v>99000</v>
      </c>
      <c r="P54" s="775">
        <v>99000</v>
      </c>
      <c r="Q54" s="775">
        <v>99000</v>
      </c>
      <c r="R54" s="775">
        <v>99000</v>
      </c>
    </row>
    <row r="55" spans="1:18">
      <c r="C55" s="373" t="s">
        <v>1254</v>
      </c>
      <c r="D55" s="373" t="s">
        <v>1255</v>
      </c>
      <c r="E55" s="373" t="s">
        <v>1256</v>
      </c>
      <c r="F55" s="799"/>
      <c r="G55" s="799"/>
      <c r="H55" s="799"/>
      <c r="I55" s="799"/>
      <c r="J55" s="799"/>
      <c r="K55" s="769">
        <f t="shared" si="8"/>
        <v>277890</v>
      </c>
      <c r="L55" s="769">
        <f>277890*0.5</f>
        <v>138945</v>
      </c>
      <c r="M55" s="769">
        <f>277890*0.5</f>
        <v>138945</v>
      </c>
    </row>
    <row r="56" spans="1:18">
      <c r="C56" s="373" t="s">
        <v>1257</v>
      </c>
      <c r="D56" s="373" t="s">
        <v>1258</v>
      </c>
      <c r="E56" s="373" t="s">
        <v>1259</v>
      </c>
      <c r="F56" s="799"/>
      <c r="G56" s="799"/>
      <c r="H56" s="799"/>
      <c r="I56" s="799"/>
      <c r="J56" s="799"/>
      <c r="K56" s="769">
        <v>1286200</v>
      </c>
      <c r="M56" s="769">
        <f>+K56</f>
        <v>1286200</v>
      </c>
    </row>
    <row r="57" spans="1:18">
      <c r="C57" s="373" t="s">
        <v>1257</v>
      </c>
      <c r="D57" s="373" t="s">
        <v>1260</v>
      </c>
      <c r="E57" s="373" t="s">
        <v>1261</v>
      </c>
      <c r="F57" s="799"/>
      <c r="G57" s="799"/>
      <c r="H57" s="799"/>
      <c r="I57" s="799"/>
      <c r="J57" s="799"/>
      <c r="K57" s="769">
        <v>2480076.7999999998</v>
      </c>
      <c r="L57" s="806">
        <f>+K57*0.5</f>
        <v>1240038.3999999999</v>
      </c>
      <c r="M57" s="769">
        <f>+K57*0.5</f>
        <v>1240038.3999999999</v>
      </c>
    </row>
    <row r="58" spans="1:18">
      <c r="C58" s="373" t="s">
        <v>1049</v>
      </c>
      <c r="D58" s="373" t="s">
        <v>1262</v>
      </c>
      <c r="E58" s="373" t="s">
        <v>1263</v>
      </c>
      <c r="F58" s="799"/>
      <c r="G58" s="799"/>
      <c r="H58" s="799"/>
      <c r="I58" s="799"/>
      <c r="J58" s="799"/>
      <c r="K58" s="769">
        <v>155910.14000000001</v>
      </c>
      <c r="L58" s="769">
        <f>+K58</f>
        <v>155910.14000000001</v>
      </c>
    </row>
    <row r="59" spans="1:18">
      <c r="C59" s="373" t="s">
        <v>1049</v>
      </c>
      <c r="D59" s="373" t="s">
        <v>1264</v>
      </c>
      <c r="E59" s="373" t="s">
        <v>1265</v>
      </c>
      <c r="F59" s="799"/>
      <c r="G59" s="799"/>
      <c r="H59" s="799"/>
      <c r="I59" s="799"/>
      <c r="J59" s="799"/>
      <c r="K59" s="769">
        <v>80000</v>
      </c>
      <c r="L59" s="769">
        <f>+K59</f>
        <v>80000</v>
      </c>
    </row>
    <row r="60" spans="1:18">
      <c r="C60" s="373" t="s">
        <v>935</v>
      </c>
      <c r="D60" s="373" t="s">
        <v>1266</v>
      </c>
      <c r="E60" s="373" t="s">
        <v>1267</v>
      </c>
      <c r="F60" s="799"/>
      <c r="G60" s="799"/>
      <c r="H60" s="799"/>
      <c r="I60" s="799"/>
      <c r="J60" s="799"/>
      <c r="K60" s="769">
        <f t="shared" si="8"/>
        <v>337480</v>
      </c>
      <c r="L60" s="769">
        <f>337480*0.5</f>
        <v>168740</v>
      </c>
      <c r="M60" s="769">
        <f>+L60</f>
        <v>168740</v>
      </c>
    </row>
    <row r="61" spans="1:18">
      <c r="C61" s="373" t="s">
        <v>715</v>
      </c>
      <c r="E61" s="777" t="s">
        <v>1268</v>
      </c>
      <c r="F61" s="776"/>
      <c r="G61" s="776"/>
      <c r="H61" s="776"/>
      <c r="I61" s="776"/>
      <c r="J61" s="776"/>
      <c r="K61" s="775">
        <f>SUM(L61:R61)</f>
        <v>600000</v>
      </c>
      <c r="L61" s="775">
        <v>0</v>
      </c>
      <c r="M61" s="775">
        <v>225000</v>
      </c>
      <c r="N61" s="775">
        <v>75000</v>
      </c>
      <c r="O61" s="775">
        <v>75000</v>
      </c>
      <c r="P61" s="775">
        <v>75000</v>
      </c>
      <c r="Q61" s="775">
        <v>75000</v>
      </c>
      <c r="R61" s="775">
        <v>75000</v>
      </c>
    </row>
    <row r="62" spans="1:18">
      <c r="C62" s="373" t="s">
        <v>715</v>
      </c>
      <c r="E62" s="777" t="s">
        <v>1269</v>
      </c>
      <c r="F62" s="776"/>
      <c r="G62" s="776"/>
      <c r="H62" s="776"/>
      <c r="I62" s="776"/>
      <c r="J62" s="776"/>
      <c r="K62" s="775">
        <f t="shared" ref="K62" si="9">SUM(L62:R62)</f>
        <v>2095934.9315068498</v>
      </c>
      <c r="L62" s="775">
        <f>(+(+(2250/0.73)*1.27)*61)*1</f>
        <v>238777.39726027395</v>
      </c>
      <c r="M62" s="775">
        <f>(+(+(2500/0.73)*1.27)*61)*1</f>
        <v>265308.21917808219</v>
      </c>
      <c r="N62" s="775">
        <f t="shared" ref="N62:R62" si="10">(+(+(3000/0.73)*1.27)*61)*1</f>
        <v>318369.86301369872</v>
      </c>
      <c r="O62" s="775">
        <f t="shared" si="10"/>
        <v>318369.86301369872</v>
      </c>
      <c r="P62" s="775">
        <f t="shared" si="10"/>
        <v>318369.86301369872</v>
      </c>
      <c r="Q62" s="775">
        <f t="shared" si="10"/>
        <v>318369.86301369872</v>
      </c>
      <c r="R62" s="775">
        <f t="shared" si="10"/>
        <v>318369.86301369872</v>
      </c>
    </row>
    <row r="63" spans="1:18">
      <c r="C63" s="373" t="s">
        <v>715</v>
      </c>
      <c r="E63" s="777" t="s">
        <v>1270</v>
      </c>
      <c r="F63" s="776"/>
      <c r="G63" s="776"/>
      <c r="H63" s="776"/>
      <c r="I63" s="776"/>
      <c r="J63" s="776"/>
      <c r="K63" s="775">
        <f>SUM(L63:R63)</f>
        <v>122902</v>
      </c>
      <c r="L63" s="775">
        <v>122902</v>
      </c>
      <c r="M63" s="775"/>
      <c r="N63" s="775"/>
      <c r="O63" s="775"/>
      <c r="P63" s="775"/>
      <c r="Q63" s="775"/>
      <c r="R63" s="775"/>
    </row>
    <row r="64" spans="1:18" ht="12">
      <c r="A64" s="773"/>
      <c r="B64" s="773"/>
      <c r="C64" s="774" t="s">
        <v>45</v>
      </c>
      <c r="D64" s="773"/>
      <c r="E64" s="773"/>
      <c r="F64" s="772">
        <f>SUM(F43:F52)</f>
        <v>2833324.46</v>
      </c>
      <c r="G64" s="772">
        <f>SUM(G43:G52)</f>
        <v>224122.31</v>
      </c>
      <c r="H64" s="772">
        <f>SUM(H43:H52)</f>
        <v>3057446.77</v>
      </c>
      <c r="I64" s="772">
        <f>SUM(I43:I52)</f>
        <v>2148480.0499999998</v>
      </c>
      <c r="J64" s="772">
        <f>SUM(J43:J52)</f>
        <v>908966.72</v>
      </c>
      <c r="K64" s="771">
        <f>SUM(K43:K63)</f>
        <v>10634816.171506848</v>
      </c>
      <c r="L64" s="771">
        <f t="shared" ref="L64:R64" si="11">SUM(L43:L63)</f>
        <v>3024578.4572602739</v>
      </c>
      <c r="M64" s="771">
        <f t="shared" si="11"/>
        <v>4372066.3991780821</v>
      </c>
      <c r="N64" s="771">
        <f t="shared" si="11"/>
        <v>699931.86301369872</v>
      </c>
      <c r="O64" s="771">
        <f t="shared" si="11"/>
        <v>634559.86301369872</v>
      </c>
      <c r="P64" s="771">
        <f t="shared" si="11"/>
        <v>634559.86301369872</v>
      </c>
      <c r="Q64" s="771">
        <f t="shared" si="11"/>
        <v>634559.86301369872</v>
      </c>
      <c r="R64" s="771">
        <f t="shared" si="11"/>
        <v>634559.86301369872</v>
      </c>
    </row>
    <row r="66" spans="1:18">
      <c r="A66" s="373" t="s">
        <v>628</v>
      </c>
      <c r="B66" s="373" t="s">
        <v>1147</v>
      </c>
      <c r="C66" s="373" t="s">
        <v>950</v>
      </c>
      <c r="D66" s="373" t="s">
        <v>949</v>
      </c>
      <c r="E66" s="373" t="s">
        <v>1150</v>
      </c>
      <c r="F66" s="374">
        <v>2587042.39</v>
      </c>
      <c r="H66" s="374">
        <v>2587042.39</v>
      </c>
      <c r="I66" s="374">
        <v>0</v>
      </c>
      <c r="J66" s="374">
        <v>2587042.39</v>
      </c>
      <c r="K66" s="769">
        <v>2587042.39</v>
      </c>
      <c r="M66" s="769">
        <f>+K66</f>
        <v>2587042.39</v>
      </c>
    </row>
    <row r="67" spans="1:18">
      <c r="A67" s="373" t="s">
        <v>628</v>
      </c>
      <c r="B67" s="373" t="s">
        <v>1147</v>
      </c>
      <c r="C67" s="373" t="s">
        <v>1213</v>
      </c>
      <c r="D67" s="373" t="s">
        <v>1271</v>
      </c>
      <c r="E67" s="373" t="s">
        <v>1272</v>
      </c>
      <c r="F67" s="374">
        <v>120006</v>
      </c>
      <c r="H67" s="374">
        <v>120006</v>
      </c>
      <c r="I67" s="374">
        <v>120006</v>
      </c>
      <c r="J67" s="374">
        <v>0</v>
      </c>
      <c r="K67" s="769">
        <v>120006</v>
      </c>
      <c r="L67" s="769">
        <f>+K67</f>
        <v>120006</v>
      </c>
    </row>
    <row r="68" spans="1:18">
      <c r="A68" s="373" t="s">
        <v>628</v>
      </c>
      <c r="B68" s="373" t="s">
        <v>1147</v>
      </c>
      <c r="C68" s="373" t="s">
        <v>795</v>
      </c>
      <c r="D68" s="373" t="s">
        <v>946</v>
      </c>
      <c r="E68" s="373" t="s">
        <v>1149</v>
      </c>
      <c r="F68" s="374">
        <v>370000.8</v>
      </c>
      <c r="H68" s="374">
        <v>370000.8</v>
      </c>
      <c r="I68" s="374">
        <v>0</v>
      </c>
      <c r="J68" s="374">
        <v>370000.8</v>
      </c>
      <c r="K68" s="769">
        <v>17225</v>
      </c>
      <c r="M68" s="769">
        <f>+K68</f>
        <v>17225</v>
      </c>
    </row>
    <row r="69" spans="1:18">
      <c r="A69" s="373" t="s">
        <v>628</v>
      </c>
      <c r="B69" s="373" t="s">
        <v>1147</v>
      </c>
      <c r="C69" s="373" t="s">
        <v>948</v>
      </c>
      <c r="D69" s="373" t="s">
        <v>947</v>
      </c>
      <c r="E69" s="373" t="s">
        <v>1148</v>
      </c>
      <c r="F69" s="374">
        <v>1155000</v>
      </c>
      <c r="H69" s="374">
        <v>1155000</v>
      </c>
      <c r="I69" s="374">
        <v>0</v>
      </c>
      <c r="J69" s="374">
        <v>1155000</v>
      </c>
      <c r="K69" s="769">
        <v>1007500</v>
      </c>
      <c r="L69" s="800">
        <f>+K69</f>
        <v>1007500</v>
      </c>
    </row>
    <row r="70" spans="1:18">
      <c r="A70" s="373" t="s">
        <v>628</v>
      </c>
      <c r="B70" s="373" t="s">
        <v>1147</v>
      </c>
      <c r="C70" s="373" t="s">
        <v>404</v>
      </c>
      <c r="D70" s="373" t="s">
        <v>1273</v>
      </c>
      <c r="E70" s="373" t="s">
        <v>1274</v>
      </c>
      <c r="F70" s="374">
        <v>77442</v>
      </c>
      <c r="H70" s="374">
        <v>77442</v>
      </c>
      <c r="I70" s="374">
        <v>0</v>
      </c>
      <c r="J70" s="374">
        <v>77442</v>
      </c>
      <c r="K70" s="769">
        <v>77442</v>
      </c>
      <c r="L70" s="769">
        <f>+K70</f>
        <v>77442</v>
      </c>
    </row>
    <row r="71" spans="1:18">
      <c r="A71" s="373" t="s">
        <v>628</v>
      </c>
      <c r="B71" s="373" t="s">
        <v>1147</v>
      </c>
      <c r="C71" s="373" t="s">
        <v>400</v>
      </c>
      <c r="D71" s="373" t="s">
        <v>1275</v>
      </c>
      <c r="E71" s="373" t="s">
        <v>1276</v>
      </c>
      <c r="F71" s="374">
        <v>10000</v>
      </c>
      <c r="H71" s="374">
        <v>10000</v>
      </c>
      <c r="I71" s="374">
        <v>0</v>
      </c>
      <c r="J71" s="374">
        <v>10000</v>
      </c>
      <c r="K71" s="769">
        <v>10000</v>
      </c>
      <c r="M71" s="769">
        <f>+K71</f>
        <v>10000</v>
      </c>
    </row>
    <row r="72" spans="1:18">
      <c r="A72" s="373" t="s">
        <v>628</v>
      </c>
      <c r="B72" s="373" t="s">
        <v>1147</v>
      </c>
      <c r="C72" s="373" t="s">
        <v>715</v>
      </c>
      <c r="D72" s="373" t="s">
        <v>1097</v>
      </c>
      <c r="E72" s="373" t="s">
        <v>1098</v>
      </c>
      <c r="F72" s="374">
        <v>123900</v>
      </c>
      <c r="H72" s="374">
        <v>123900</v>
      </c>
      <c r="I72" s="374">
        <v>0</v>
      </c>
      <c r="J72" s="374">
        <v>123900</v>
      </c>
      <c r="K72" s="769">
        <v>123900</v>
      </c>
      <c r="M72" s="769">
        <f>+K72</f>
        <v>123900</v>
      </c>
    </row>
    <row r="73" spans="1:18" ht="12">
      <c r="A73" s="773"/>
      <c r="B73" s="773"/>
      <c r="C73" s="774" t="s">
        <v>48</v>
      </c>
      <c r="D73" s="773"/>
      <c r="E73" s="773"/>
      <c r="F73" s="772">
        <f t="shared" ref="F73:R73" si="12">SUM(F66:F72)</f>
        <v>4443391.1899999995</v>
      </c>
      <c r="G73" s="772">
        <f t="shared" si="12"/>
        <v>0</v>
      </c>
      <c r="H73" s="772">
        <f t="shared" si="12"/>
        <v>4443391.1899999995</v>
      </c>
      <c r="I73" s="772">
        <f t="shared" si="12"/>
        <v>120006</v>
      </c>
      <c r="J73" s="772">
        <f t="shared" si="12"/>
        <v>4323385.1899999995</v>
      </c>
      <c r="K73" s="771">
        <f t="shared" si="12"/>
        <v>3943115.39</v>
      </c>
      <c r="L73" s="771">
        <f>SUM(L66:L72)</f>
        <v>1204948</v>
      </c>
      <c r="M73" s="771">
        <f>SUM(M66:M72)</f>
        <v>2738167.39</v>
      </c>
      <c r="N73" s="771">
        <f t="shared" si="12"/>
        <v>0</v>
      </c>
      <c r="O73" s="771">
        <f t="shared" si="12"/>
        <v>0</v>
      </c>
      <c r="P73" s="771">
        <f t="shared" si="12"/>
        <v>0</v>
      </c>
      <c r="Q73" s="771">
        <f t="shared" si="12"/>
        <v>0</v>
      </c>
      <c r="R73" s="771">
        <f t="shared" si="12"/>
        <v>0</v>
      </c>
    </row>
    <row r="75" spans="1:18" s="375" customFormat="1">
      <c r="A75" s="377" t="s">
        <v>447</v>
      </c>
      <c r="B75" s="377"/>
      <c r="C75" s="377"/>
      <c r="D75" s="377"/>
      <c r="E75" s="770"/>
      <c r="F75" s="376">
        <f>+F4+F10+F23+F26+F30+F64+F73</f>
        <v>37212253.479999997</v>
      </c>
      <c r="G75" s="376">
        <f>+G4+G10+G23+G26+G30+G64+G73</f>
        <v>344295.92</v>
      </c>
      <c r="H75" s="376">
        <f>+H4+H10+H23+H26+H30+H64+H73</f>
        <v>37556549.399999999</v>
      </c>
      <c r="I75" s="376">
        <f>+I4+I10+I23+I26+I30+I64+I73</f>
        <v>2390588.9099999997</v>
      </c>
      <c r="J75" s="376">
        <f>+J4+J10+J23+J26+J30+J64+J73</f>
        <v>35165960.489999995</v>
      </c>
      <c r="K75" s="798">
        <f>SUBTOTAL(9,K3:K73)/2</f>
        <v>110416177.03150682</v>
      </c>
      <c r="L75" s="798">
        <f>SUBTOTAL(9,L3:L73)/2</f>
        <v>15433150.117260275</v>
      </c>
      <c r="M75" s="798">
        <f t="shared" ref="M75:R75" si="13">SUBTOTAL(9,M3:M73)/2</f>
        <v>20977112.66917808</v>
      </c>
      <c r="N75" s="798">
        <f t="shared" si="13"/>
        <v>15503330.6630137</v>
      </c>
      <c r="O75" s="798">
        <f t="shared" si="13"/>
        <v>18422973.593013696</v>
      </c>
      <c r="P75" s="798">
        <f t="shared" si="13"/>
        <v>15821692.6630137</v>
      </c>
      <c r="Q75" s="798">
        <f t="shared" si="13"/>
        <v>14819958.6630137</v>
      </c>
      <c r="R75" s="798">
        <f t="shared" si="13"/>
        <v>9437958.6630137004</v>
      </c>
    </row>
    <row r="77" spans="1:18">
      <c r="L77" s="769">
        <f>+L13+L29+L32+L35+L36+L44+L45+L50+L53+L69+L41</f>
        <v>12305875.360000001</v>
      </c>
    </row>
    <row r="79" spans="1:18">
      <c r="L79" s="769">
        <f>+L75-L77</f>
        <v>3127274.7572602741</v>
      </c>
    </row>
    <row r="80" spans="1:18">
      <c r="L80" s="769">
        <f>+'FLUJO MAYO 2025'!C37+'FLUJO MAYO 2025'!D37</f>
        <v>832500</v>
      </c>
    </row>
    <row r="81" spans="12:12">
      <c r="L81" s="769">
        <f>+L79+L80</f>
        <v>3959774.7572602741</v>
      </c>
    </row>
    <row r="82" spans="12:12">
      <c r="L82" s="769">
        <f>+'FLUJO MAYO 2025'!D21</f>
        <v>-4859394.1272602677</v>
      </c>
    </row>
    <row r="83" spans="12:12">
      <c r="L83" s="769">
        <f>+L81+L82</f>
        <v>-899619.36999999359</v>
      </c>
    </row>
  </sheetData>
  <autoFilter ref="A1:R719" xr:uid="{00000000-0001-0000-0000-000000000000}"/>
  <phoneticPr fontId="3" type="noConversion"/>
  <pageMargins left="0.7" right="0.7" top="0.75" bottom="0.75" header="0.3" footer="0.3"/>
  <pageSetup orientation="portrait" horizontalDpi="4294967295" verticalDpi="4294967295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5A93D-5CC4-4B5A-9742-553C6466C111}">
  <dimension ref="A1:L52"/>
  <sheetViews>
    <sheetView showGridLines="0" topLeftCell="A4" zoomScaleNormal="100" workbookViewId="0">
      <selection activeCell="F36" sqref="F36"/>
    </sheetView>
  </sheetViews>
  <sheetFormatPr baseColWidth="10" defaultColWidth="8" defaultRowHeight="11.4"/>
  <cols>
    <col min="1" max="1" width="1.33203125" style="555" customWidth="1"/>
    <col min="2" max="2" width="42.33203125" style="555" customWidth="1"/>
    <col min="3" max="3" width="13.33203125" style="555" customWidth="1"/>
    <col min="4" max="4" width="11.5546875" style="555" bestFit="1" customWidth="1"/>
    <col min="5" max="5" width="8.6640625" style="555" bestFit="1" customWidth="1"/>
    <col min="6" max="6" width="12.109375" style="582" bestFit="1" customWidth="1"/>
    <col min="7" max="7" width="8" style="555"/>
    <col min="8" max="8" width="58.88671875" style="555" bestFit="1" customWidth="1"/>
    <col min="9" max="9" width="11.44140625" style="555" bestFit="1" customWidth="1"/>
    <col min="10" max="10" width="12.33203125" style="555" bestFit="1" customWidth="1"/>
    <col min="11" max="11" width="12" style="555" bestFit="1" customWidth="1"/>
    <col min="12" max="12" width="12.109375" style="582" bestFit="1" customWidth="1"/>
    <col min="13" max="13" width="11.33203125" style="555" bestFit="1" customWidth="1"/>
    <col min="14" max="16384" width="8" style="555"/>
  </cols>
  <sheetData>
    <row r="1" spans="1:4" s="553" customFormat="1" ht="16.649999999999999" customHeight="1">
      <c r="A1" s="1932" t="s">
        <v>235</v>
      </c>
      <c r="B1" s="1932"/>
      <c r="C1" s="1932"/>
      <c r="D1" s="1932"/>
    </row>
    <row r="2" spans="1:4" s="554" customFormat="1" ht="14.4" customHeight="1">
      <c r="A2" s="1933" t="s">
        <v>236</v>
      </c>
      <c r="B2" s="1933"/>
      <c r="C2" s="1933"/>
      <c r="D2" s="1933"/>
    </row>
    <row r="3" spans="1:4" s="554" customFormat="1" ht="14.4" customHeight="1">
      <c r="A3" s="1933" t="s">
        <v>1190</v>
      </c>
      <c r="B3" s="1933"/>
      <c r="C3" s="1933"/>
      <c r="D3" s="1933"/>
    </row>
    <row r="4" spans="1:4" ht="13.35" customHeight="1"/>
    <row r="5" spans="1:4" s="556" customFormat="1" ht="12.15" customHeight="1">
      <c r="A5" s="1934"/>
      <c r="B5" s="1935" t="s">
        <v>238</v>
      </c>
      <c r="C5" s="620" t="s">
        <v>1277</v>
      </c>
      <c r="D5" s="620"/>
    </row>
    <row r="6" spans="1:4" ht="13.35" customHeight="1"/>
    <row r="7" spans="1:4" s="556" customFormat="1" ht="12.15" customHeight="1">
      <c r="A7" s="1934" t="s">
        <v>239</v>
      </c>
      <c r="B7" s="1934"/>
      <c r="C7" s="1934"/>
      <c r="D7" s="1934"/>
    </row>
    <row r="8" spans="1:4" ht="10.95" customHeight="1">
      <c r="A8" s="1936"/>
      <c r="B8" s="1936" t="s">
        <v>638</v>
      </c>
      <c r="C8" s="1936"/>
      <c r="D8" s="1936"/>
    </row>
    <row r="9" spans="1:4" ht="10.95" customHeight="1">
      <c r="B9" s="557" t="s">
        <v>639</v>
      </c>
      <c r="C9" s="558">
        <v>30189.62</v>
      </c>
      <c r="D9" s="557"/>
    </row>
    <row r="10" spans="1:4" ht="10.95" customHeight="1">
      <c r="B10" s="557" t="s">
        <v>640</v>
      </c>
      <c r="C10" s="558">
        <v>43500.65</v>
      </c>
      <c r="D10" s="557" t="s">
        <v>641</v>
      </c>
    </row>
    <row r="11" spans="1:4" ht="10.95" customHeight="1">
      <c r="B11" s="557" t="s">
        <v>799</v>
      </c>
      <c r="C11" s="558">
        <v>4430556.83</v>
      </c>
      <c r="D11" s="557" t="s">
        <v>641</v>
      </c>
    </row>
    <row r="12" spans="1:4" ht="10.95" customHeight="1">
      <c r="B12" s="557" t="s">
        <v>844</v>
      </c>
      <c r="C12" s="558">
        <v>6829114.8899999997</v>
      </c>
      <c r="D12" s="557" t="s">
        <v>641</v>
      </c>
    </row>
    <row r="13" spans="1:4" ht="10.95" customHeight="1">
      <c r="B13" s="557" t="s">
        <v>845</v>
      </c>
      <c r="C13" s="558">
        <v>150095.28</v>
      </c>
      <c r="D13" s="557"/>
    </row>
    <row r="14" spans="1:4" ht="10.95" customHeight="1">
      <c r="B14" s="1937" t="s">
        <v>642</v>
      </c>
      <c r="C14" s="1938">
        <f>SUM(C9:C13)</f>
        <v>11483457.269999998</v>
      </c>
      <c r="D14" s="1948"/>
    </row>
    <row r="15" spans="1:4" ht="10.95" customHeight="1">
      <c r="A15" s="1936"/>
      <c r="B15" s="1936" t="s">
        <v>240</v>
      </c>
      <c r="C15" s="1936"/>
      <c r="D15" s="1936"/>
    </row>
    <row r="16" spans="1:4" ht="10.95" customHeight="1">
      <c r="B16" s="557" t="s">
        <v>241</v>
      </c>
      <c r="C16" s="558">
        <v>9520752.4399999995</v>
      </c>
      <c r="D16" s="1949"/>
    </row>
    <row r="17" spans="1:11" ht="10.95" customHeight="1">
      <c r="B17" s="1937" t="s">
        <v>242</v>
      </c>
      <c r="C17" s="1938">
        <f>C16</f>
        <v>9520752.4399999995</v>
      </c>
      <c r="D17" s="1937"/>
      <c r="F17" s="400"/>
    </row>
    <row r="18" spans="1:11" ht="10.95" customHeight="1">
      <c r="A18" s="1936"/>
      <c r="B18" s="1936" t="s">
        <v>243</v>
      </c>
      <c r="C18" s="1936"/>
      <c r="D18" s="1936"/>
      <c r="F18" s="400"/>
    </row>
    <row r="19" spans="1:11" ht="10.95" customHeight="1">
      <c r="B19" s="557" t="s">
        <v>1278</v>
      </c>
      <c r="C19" s="558">
        <v>1.78</v>
      </c>
      <c r="D19" s="557"/>
      <c r="F19" s="400"/>
    </row>
    <row r="20" spans="1:11" ht="10.95" customHeight="1">
      <c r="B20" s="557" t="s">
        <v>800</v>
      </c>
      <c r="C20" s="558">
        <v>40515864.390000001</v>
      </c>
      <c r="D20" s="557"/>
      <c r="F20" s="400"/>
    </row>
    <row r="21" spans="1:11" ht="10.95" customHeight="1">
      <c r="B21" s="557" t="s">
        <v>245</v>
      </c>
      <c r="C21" s="558">
        <v>25707568.18</v>
      </c>
      <c r="D21" s="557"/>
      <c r="F21" s="400"/>
      <c r="H21" s="451" t="s">
        <v>862</v>
      </c>
      <c r="I21" s="452" t="s">
        <v>665</v>
      </c>
      <c r="J21" s="452" t="s">
        <v>666</v>
      </c>
      <c r="K21" s="451" t="s">
        <v>238</v>
      </c>
    </row>
    <row r="22" spans="1:11" ht="10.95" customHeight="1">
      <c r="B22" s="557" t="s">
        <v>801</v>
      </c>
      <c r="C22" s="558">
        <v>13516768.34</v>
      </c>
      <c r="D22" s="557"/>
      <c r="F22" s="400"/>
      <c r="H22" s="455" t="s">
        <v>954</v>
      </c>
      <c r="I22" s="456">
        <v>3701175.97</v>
      </c>
      <c r="J22" s="456">
        <v>0</v>
      </c>
      <c r="K22" s="802">
        <f>+I22-J22</f>
        <v>3701175.97</v>
      </c>
    </row>
    <row r="23" spans="1:11" ht="10.95" customHeight="1">
      <c r="B23" s="557" t="s">
        <v>33</v>
      </c>
      <c r="C23" s="558">
        <v>94172341.829999998</v>
      </c>
      <c r="D23" s="557"/>
      <c r="F23" s="400"/>
      <c r="H23" s="803" t="s">
        <v>1279</v>
      </c>
      <c r="I23" s="804">
        <v>1534000</v>
      </c>
      <c r="J23" s="804">
        <v>0</v>
      </c>
      <c r="K23" s="805">
        <f t="shared" ref="K23:K31" si="0">+I23-J23</f>
        <v>1534000</v>
      </c>
    </row>
    <row r="24" spans="1:11" ht="10.95" customHeight="1">
      <c r="B24" s="1937" t="s">
        <v>247</v>
      </c>
      <c r="C24" s="1938">
        <f>SUM(C19:C23)</f>
        <v>173912544.51999998</v>
      </c>
      <c r="D24" s="1937"/>
      <c r="F24" s="400"/>
      <c r="H24" s="803" t="s">
        <v>1280</v>
      </c>
      <c r="I24" s="804">
        <v>3097831.64</v>
      </c>
      <c r="J24" s="804">
        <v>0</v>
      </c>
      <c r="K24" s="805">
        <f t="shared" si="0"/>
        <v>3097831.64</v>
      </c>
    </row>
    <row r="25" spans="1:11" ht="10.95" customHeight="1">
      <c r="A25" s="1937" t="s">
        <v>248</v>
      </c>
      <c r="C25" s="1938">
        <f>(0 + ((C14 + C17) + C24))</f>
        <v>194916754.22999999</v>
      </c>
      <c r="D25" s="1937"/>
      <c r="F25" s="400"/>
      <c r="H25" s="459" t="s">
        <v>1281</v>
      </c>
      <c r="I25" s="460">
        <v>526767.9</v>
      </c>
      <c r="J25" s="460">
        <v>0</v>
      </c>
      <c r="K25" s="802">
        <f t="shared" si="0"/>
        <v>526767.9</v>
      </c>
    </row>
    <row r="26" spans="1:11" ht="13.35" customHeight="1">
      <c r="F26" s="400"/>
      <c r="H26" s="459" t="s">
        <v>1282</v>
      </c>
      <c r="I26" s="460">
        <v>140895.1</v>
      </c>
      <c r="J26" s="460">
        <v>0</v>
      </c>
      <c r="K26" s="802">
        <f t="shared" si="0"/>
        <v>140895.1</v>
      </c>
    </row>
    <row r="27" spans="1:11" s="556" customFormat="1" ht="12.15" customHeight="1">
      <c r="A27" s="1934" t="s">
        <v>249</v>
      </c>
      <c r="B27" s="1934"/>
      <c r="C27" s="1934"/>
      <c r="D27" s="1934"/>
      <c r="E27" s="1945"/>
      <c r="F27" s="1117"/>
      <c r="G27" s="1945"/>
      <c r="H27" s="459" t="s">
        <v>1283</v>
      </c>
      <c r="I27" s="460">
        <v>6607550.0099999998</v>
      </c>
      <c r="J27" s="460">
        <v>0</v>
      </c>
      <c r="K27" s="802">
        <f t="shared" si="0"/>
        <v>6607550.0099999998</v>
      </c>
    </row>
    <row r="28" spans="1:11" ht="10.95" customHeight="1">
      <c r="A28" s="1936"/>
      <c r="B28" s="1936" t="s">
        <v>250</v>
      </c>
      <c r="C28" s="1936"/>
      <c r="D28" s="1936"/>
      <c r="F28" s="400"/>
      <c r="H28" s="459" t="s">
        <v>855</v>
      </c>
      <c r="I28" s="460">
        <v>6049268.4100000001</v>
      </c>
      <c r="J28" s="460">
        <v>0</v>
      </c>
      <c r="K28" s="802">
        <f t="shared" si="0"/>
        <v>6049268.4100000001</v>
      </c>
    </row>
    <row r="29" spans="1:11" ht="10.95" customHeight="1">
      <c r="B29" s="557" t="s">
        <v>251</v>
      </c>
      <c r="C29" s="558">
        <v>883748.51</v>
      </c>
      <c r="D29" s="557" t="s">
        <v>641</v>
      </c>
      <c r="F29" s="400"/>
      <c r="H29" s="459" t="s">
        <v>858</v>
      </c>
      <c r="I29" s="460">
        <v>3051600.82</v>
      </c>
      <c r="J29" s="460">
        <v>18821</v>
      </c>
      <c r="K29" s="802">
        <f t="shared" si="0"/>
        <v>3032779.82</v>
      </c>
    </row>
    <row r="30" spans="1:11" ht="10.95" customHeight="1">
      <c r="B30" s="557" t="s">
        <v>965</v>
      </c>
      <c r="C30" s="558">
        <v>22200000</v>
      </c>
      <c r="D30" s="557"/>
      <c r="F30" s="400"/>
      <c r="H30" s="459" t="s">
        <v>942</v>
      </c>
      <c r="I30" s="460">
        <v>141790.54</v>
      </c>
      <c r="J30" s="460">
        <v>0</v>
      </c>
      <c r="K30" s="802">
        <f t="shared" si="0"/>
        <v>141790.54</v>
      </c>
    </row>
    <row r="31" spans="1:11" ht="10.95" customHeight="1">
      <c r="B31" s="557" t="s">
        <v>802</v>
      </c>
      <c r="C31" s="558">
        <v>11026838.73</v>
      </c>
      <c r="D31" s="818"/>
      <c r="F31" s="400"/>
      <c r="H31" s="459" t="s">
        <v>940</v>
      </c>
      <c r="I31" s="460">
        <v>875508.79</v>
      </c>
      <c r="J31" s="460">
        <v>0</v>
      </c>
      <c r="K31" s="802">
        <f t="shared" si="0"/>
        <v>875508.79</v>
      </c>
    </row>
    <row r="32" spans="1:11" ht="10.95" customHeight="1">
      <c r="B32" s="557" t="s">
        <v>252</v>
      </c>
      <c r="C32" s="558">
        <v>511201.8</v>
      </c>
      <c r="D32" s="557"/>
      <c r="F32" s="400"/>
      <c r="H32"/>
      <c r="I32"/>
      <c r="J32"/>
      <c r="K32"/>
    </row>
    <row r="33" spans="1:11" ht="10.95" customHeight="1">
      <c r="B33" s="557" t="s">
        <v>803</v>
      </c>
      <c r="C33" s="558">
        <v>17550</v>
      </c>
      <c r="D33" s="557"/>
      <c r="F33" s="400"/>
      <c r="H33" s="461" t="s">
        <v>164</v>
      </c>
      <c r="I33" s="462">
        <f>SUM(I22:I31)</f>
        <v>25726389.18</v>
      </c>
      <c r="J33" s="462">
        <f>SUM(J22:J31)</f>
        <v>18821</v>
      </c>
      <c r="K33" s="462">
        <f>SUM(K22:K31)</f>
        <v>25707568.18</v>
      </c>
    </row>
    <row r="34" spans="1:11" ht="10.95" customHeight="1">
      <c r="B34" s="557" t="s">
        <v>1284</v>
      </c>
      <c r="C34" s="558">
        <v>14083.2</v>
      </c>
      <c r="D34" s="557"/>
      <c r="F34" s="400"/>
      <c r="K34" s="801">
        <f>+C21-K33</f>
        <v>0</v>
      </c>
    </row>
    <row r="35" spans="1:11" ht="10.95" customHeight="1">
      <c r="B35" s="557" t="s">
        <v>804</v>
      </c>
      <c r="C35" s="558">
        <v>356321.47</v>
      </c>
      <c r="D35" s="557"/>
      <c r="F35" s="400"/>
    </row>
    <row r="36" spans="1:11" ht="10.95" customHeight="1">
      <c r="B36" s="557" t="s">
        <v>813</v>
      </c>
      <c r="C36" s="558">
        <v>124233.69</v>
      </c>
      <c r="D36" s="557"/>
      <c r="F36" s="400"/>
    </row>
    <row r="37" spans="1:11" ht="10.95" customHeight="1">
      <c r="B37" s="557" t="s">
        <v>805</v>
      </c>
      <c r="C37" s="558">
        <v>4950</v>
      </c>
      <c r="D37" s="557"/>
      <c r="F37" s="400"/>
    </row>
    <row r="38" spans="1:11" ht="10.95" customHeight="1">
      <c r="B38" s="1937" t="s">
        <v>253</v>
      </c>
      <c r="C38" s="1938">
        <f>SUM(C29:C37)</f>
        <v>35138927.399999999</v>
      </c>
      <c r="D38" s="1937"/>
      <c r="F38" s="400"/>
    </row>
    <row r="39" spans="1:11" ht="10.95" customHeight="1">
      <c r="A39" s="1937" t="s">
        <v>254</v>
      </c>
      <c r="C39" s="1938">
        <f>(0 + C38)</f>
        <v>35138927.399999999</v>
      </c>
      <c r="D39" s="1937"/>
      <c r="F39" s="400"/>
    </row>
    <row r="40" spans="1:11" ht="13.35" customHeight="1">
      <c r="F40" s="400"/>
    </row>
    <row r="41" spans="1:11" ht="10.95" customHeight="1">
      <c r="B41" s="1939" t="s">
        <v>255</v>
      </c>
      <c r="C41" s="1940">
        <f>(C25 - C39)</f>
        <v>159777826.82999998</v>
      </c>
      <c r="D41" s="1939"/>
      <c r="F41" s="400"/>
    </row>
    <row r="42" spans="1:11" ht="13.35" customHeight="1">
      <c r="F42" s="400"/>
    </row>
    <row r="43" spans="1:11" s="556" customFormat="1" ht="12.15" customHeight="1">
      <c r="A43" s="1934" t="s">
        <v>256</v>
      </c>
      <c r="B43" s="1934"/>
      <c r="C43" s="1934"/>
      <c r="D43" s="1934"/>
      <c r="E43" s="1945"/>
      <c r="F43" s="1117"/>
      <c r="G43" s="1945"/>
      <c r="H43" s="1945"/>
      <c r="I43" s="1945"/>
      <c r="J43" s="1945"/>
      <c r="K43" s="1945"/>
    </row>
    <row r="44" spans="1:11" ht="10.95" customHeight="1">
      <c r="B44" s="559" t="s">
        <v>257</v>
      </c>
      <c r="C44" s="560">
        <v>159695773.63999999</v>
      </c>
      <c r="D44" s="819"/>
      <c r="F44" s="400"/>
    </row>
    <row r="45" spans="1:11" ht="10.95" customHeight="1">
      <c r="B45" s="557" t="s">
        <v>647</v>
      </c>
      <c r="C45" s="558">
        <v>-57508.94</v>
      </c>
      <c r="D45" s="557"/>
      <c r="F45" s="400"/>
    </row>
    <row r="46" spans="1:11" ht="10.95" customHeight="1">
      <c r="B46" s="557" t="s">
        <v>846</v>
      </c>
      <c r="C46" s="558">
        <v>139562.13</v>
      </c>
      <c r="D46" s="557"/>
      <c r="E46" s="801">
        <f>+C45+C46</f>
        <v>82053.19</v>
      </c>
      <c r="F46" s="400"/>
    </row>
    <row r="47" spans="1:11" ht="10.95" customHeight="1">
      <c r="A47" s="1937" t="s">
        <v>258</v>
      </c>
      <c r="C47" s="1938">
        <f>SUM(C44:C46)</f>
        <v>159777826.82999998</v>
      </c>
      <c r="D47" s="1937"/>
      <c r="F47" s="400"/>
    </row>
    <row r="50" spans="1:1" ht="10.95" customHeight="1">
      <c r="A50" s="561" t="s">
        <v>814</v>
      </c>
    </row>
    <row r="51" spans="1:1" ht="10.95" customHeight="1">
      <c r="A51" s="1941" t="s">
        <v>1277</v>
      </c>
    </row>
    <row r="52" spans="1:1" ht="10.95" customHeight="1">
      <c r="A52" s="561" t="s">
        <v>1285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DF8A0-05FA-4D37-8AA5-FEC6B3322709}">
  <sheetPr>
    <tabColor theme="5" tint="0.79998168889431442"/>
  </sheetPr>
  <dimension ref="A1:P49"/>
  <sheetViews>
    <sheetView showGridLines="0" topLeftCell="C20" zoomScaleNormal="100" workbookViewId="0">
      <selection activeCell="F36" sqref="F36"/>
    </sheetView>
  </sheetViews>
  <sheetFormatPr baseColWidth="10" defaultColWidth="11.44140625" defaultRowHeight="14.4"/>
  <cols>
    <col min="1" max="1" width="10.109375" customWidth="1"/>
    <col min="2" max="2" width="25.6640625" bestFit="1" customWidth="1"/>
    <col min="3" max="4" width="18" bestFit="1" customWidth="1"/>
    <col min="5" max="5" width="15.109375" bestFit="1" customWidth="1"/>
    <col min="6" max="6" width="16.5546875" bestFit="1" customWidth="1"/>
    <col min="7" max="7" width="16.33203125" customWidth="1"/>
    <col min="8" max="8" width="20.88671875" customWidth="1"/>
    <col min="9" max="9" width="18" customWidth="1"/>
    <col min="10" max="10" width="16.5546875" bestFit="1" customWidth="1"/>
    <col min="11" max="11" width="18.6640625" customWidth="1"/>
    <col min="12" max="12" width="19.88671875" customWidth="1"/>
    <col min="13" max="13" width="16.109375" customWidth="1"/>
    <col min="14" max="14" width="18.5546875" customWidth="1"/>
    <col min="15" max="15" width="17" customWidth="1"/>
    <col min="16" max="18" width="15.44140625" bestFit="1" customWidth="1"/>
    <col min="19" max="19" width="14.44140625" bestFit="1" customWidth="1"/>
  </cols>
  <sheetData>
    <row r="1" spans="1:16" ht="21.6" customHeight="1">
      <c r="M1" s="2109" t="s">
        <v>185</v>
      </c>
      <c r="N1" s="2109"/>
      <c r="O1" s="2109"/>
      <c r="P1" s="2109"/>
    </row>
    <row r="2" spans="1:16" ht="15" thickBot="1">
      <c r="F2" s="181" t="s">
        <v>197</v>
      </c>
      <c r="G2" s="181"/>
      <c r="H2" s="181"/>
      <c r="I2" s="181"/>
      <c r="J2" s="181"/>
      <c r="K2" s="181" t="s">
        <v>199</v>
      </c>
      <c r="L2" s="181" t="s">
        <v>225</v>
      </c>
      <c r="M2" s="2109"/>
      <c r="N2" s="2109"/>
      <c r="O2" s="2109"/>
      <c r="P2" s="2109"/>
    </row>
    <row r="3" spans="1:16" ht="15.6" customHeight="1">
      <c r="B3" s="160" t="s">
        <v>761</v>
      </c>
      <c r="C3" s="62" t="s">
        <v>1155</v>
      </c>
      <c r="D3" s="478"/>
      <c r="E3" s="483">
        <v>60</v>
      </c>
      <c r="F3" s="2122" t="s">
        <v>145</v>
      </c>
      <c r="G3" s="2137" t="s">
        <v>650</v>
      </c>
      <c r="H3" s="2137" t="s">
        <v>651</v>
      </c>
      <c r="I3" s="2137" t="s">
        <v>652</v>
      </c>
      <c r="J3" s="2122" t="s">
        <v>227</v>
      </c>
      <c r="K3" s="2124" t="s">
        <v>807</v>
      </c>
      <c r="L3" s="2124" t="s">
        <v>146</v>
      </c>
      <c r="M3" s="183"/>
      <c r="N3" s="183"/>
      <c r="O3" s="183"/>
      <c r="P3" s="183"/>
    </row>
    <row r="4" spans="1:16" ht="16.95" customHeight="1" thickBot="1">
      <c r="A4" s="152"/>
      <c r="B4" s="25" t="s">
        <v>29</v>
      </c>
      <c r="C4" s="25" t="s">
        <v>762</v>
      </c>
      <c r="D4" s="479" t="s">
        <v>763</v>
      </c>
      <c r="E4" s="479" t="s">
        <v>31</v>
      </c>
      <c r="F4" s="2123"/>
      <c r="G4" s="2138"/>
      <c r="H4" s="2138"/>
      <c r="I4" s="2138"/>
      <c r="J4" s="2123"/>
      <c r="K4" s="2125"/>
      <c r="L4" s="2125"/>
      <c r="M4" s="183"/>
      <c r="N4" s="183"/>
      <c r="O4" s="183"/>
      <c r="P4" s="183"/>
    </row>
    <row r="5" spans="1:16">
      <c r="A5">
        <v>1</v>
      </c>
      <c r="B5" s="254" t="s">
        <v>33</v>
      </c>
      <c r="C5" s="658">
        <f>SUM('budget (11)'!D2:D3)</f>
        <v>103385169</v>
      </c>
      <c r="D5" s="659">
        <v>103385169</v>
      </c>
      <c r="E5" s="659">
        <f>D5/E3</f>
        <v>1723086.15</v>
      </c>
      <c r="F5" s="651">
        <f>+'Finanza 05-25'!F2</f>
        <v>94191221.829999998</v>
      </c>
      <c r="G5" s="651">
        <f>+'Finanza 05-25'!F2</f>
        <v>94191221.829999998</v>
      </c>
      <c r="H5" s="651">
        <f>+'CXP 05-25'!E15</f>
        <v>18016</v>
      </c>
      <c r="I5" s="651"/>
      <c r="J5" s="651">
        <f>+G5-H5+I5</f>
        <v>94173205.829999998</v>
      </c>
      <c r="K5" s="652">
        <f>F5-J5</f>
        <v>18016</v>
      </c>
      <c r="L5" s="652">
        <f>+D5-F5</f>
        <v>9193947.1700000018</v>
      </c>
      <c r="M5" s="183"/>
      <c r="N5" s="183"/>
      <c r="O5" s="183"/>
      <c r="P5" s="183"/>
    </row>
    <row r="6" spans="1:16">
      <c r="B6" s="115" t="s">
        <v>35</v>
      </c>
      <c r="C6" s="660">
        <f>SUM('budget (11)'!D11:D24)</f>
        <v>451758999.99999994</v>
      </c>
      <c r="D6" s="661">
        <v>451758999.99999994</v>
      </c>
      <c r="E6" s="661">
        <f>D6/$E$3</f>
        <v>7529316.666666666</v>
      </c>
      <c r="F6" s="653">
        <f>+'Finanza 05-25'!E4</f>
        <v>38724993.57</v>
      </c>
      <c r="G6" s="653">
        <f>+'Finanza 05-25'!F4</f>
        <v>9666080.1699999999</v>
      </c>
      <c r="H6" s="653">
        <f>+'CXP 05-25'!E23</f>
        <v>50122.86</v>
      </c>
      <c r="I6" s="653">
        <f>+'Anticipos 05-25'!D7+'Anticipos 05-25'!D8+'Anticipos 05-25'!D9</f>
        <v>8806726.6400000006</v>
      </c>
      <c r="J6" s="653">
        <f>+G6-H6+I6</f>
        <v>18422683.950000003</v>
      </c>
      <c r="K6" s="654">
        <f>F6-J6</f>
        <v>20302309.619999997</v>
      </c>
      <c r="L6" s="654">
        <f>+D6-F6</f>
        <v>413034006.42999995</v>
      </c>
      <c r="M6" s="183"/>
      <c r="N6" s="184"/>
      <c r="O6" s="183"/>
      <c r="P6" s="183"/>
    </row>
    <row r="7" spans="1:16" ht="13.95" customHeight="1">
      <c r="B7" s="112" t="s">
        <v>38</v>
      </c>
      <c r="C7" s="662">
        <f>SUM('budget (11)'!D25:D39)</f>
        <v>1265953920</v>
      </c>
      <c r="D7" s="663">
        <f>1447934796</f>
        <v>1447934796</v>
      </c>
      <c r="E7" s="663">
        <f>D7/$E$3</f>
        <v>24132246.600000001</v>
      </c>
      <c r="F7" s="647">
        <f>+'Finanza 05-25'!E5</f>
        <v>0</v>
      </c>
      <c r="G7" s="647">
        <f>+'Finanza 05-25'!F5</f>
        <v>0</v>
      </c>
      <c r="H7" s="647"/>
      <c r="I7" s="647"/>
      <c r="J7" s="647">
        <f t="shared" ref="J7:J10" si="0">+G7-H7+I7</f>
        <v>0</v>
      </c>
      <c r="K7" s="648">
        <f t="shared" ref="K7:K21" si="1">F7-J7</f>
        <v>0</v>
      </c>
      <c r="L7" s="648">
        <f>+D7-F7</f>
        <v>1447934796</v>
      </c>
      <c r="M7" s="183"/>
      <c r="N7" s="184"/>
      <c r="O7" s="183"/>
      <c r="P7" s="183"/>
    </row>
    <row r="8" spans="1:16">
      <c r="B8" s="115" t="s">
        <v>764</v>
      </c>
      <c r="C8" s="664">
        <v>0</v>
      </c>
      <c r="D8" s="661">
        <v>37993876</v>
      </c>
      <c r="E8" s="661">
        <f>D8/$E$3</f>
        <v>633231.26666666672</v>
      </c>
      <c r="F8" s="649">
        <f>+'Finanza 05-25'!E8</f>
        <v>0</v>
      </c>
      <c r="G8" s="649">
        <f>+'Finanza 05-25'!F8</f>
        <v>0</v>
      </c>
      <c r="H8" s="649"/>
      <c r="I8" s="649"/>
      <c r="J8" s="649"/>
      <c r="K8" s="650"/>
      <c r="L8" s="650"/>
      <c r="M8" s="183"/>
      <c r="N8" s="184"/>
      <c r="O8" s="183"/>
      <c r="P8" s="183"/>
    </row>
    <row r="9" spans="1:16" ht="13.95" customHeight="1">
      <c r="B9" s="112" t="s">
        <v>148</v>
      </c>
      <c r="C9" s="662">
        <f>SUM('budget (11)'!D40:D41)</f>
        <v>171771292</v>
      </c>
      <c r="D9" s="663">
        <v>189969380</v>
      </c>
      <c r="E9" s="663">
        <f>D9/$E$3</f>
        <v>3166156.3333333335</v>
      </c>
      <c r="F9" s="647">
        <f>+'Finanza 05-25'!E6</f>
        <v>11866875.34</v>
      </c>
      <c r="G9" s="647">
        <f>+'Finanza 05-25'!F6</f>
        <v>9115468.5700000003</v>
      </c>
      <c r="H9" s="647"/>
      <c r="I9" s="647"/>
      <c r="J9" s="647">
        <f>+G9-H9+I9</f>
        <v>9115468.5700000003</v>
      </c>
      <c r="K9" s="648">
        <f>F9-J9</f>
        <v>2751406.7699999996</v>
      </c>
      <c r="L9" s="648">
        <f>+D9-F9</f>
        <v>178102504.66</v>
      </c>
      <c r="M9" s="183"/>
      <c r="N9" s="184"/>
      <c r="O9" s="183"/>
      <c r="P9" s="183"/>
    </row>
    <row r="10" spans="1:16">
      <c r="B10" s="115" t="s">
        <v>40</v>
      </c>
      <c r="C10" s="664">
        <f>SUM('budget (11)'!D42)</f>
        <v>34354258</v>
      </c>
      <c r="D10" s="661">
        <v>37993876</v>
      </c>
      <c r="E10" s="661">
        <f>D10/$E$3</f>
        <v>633231.26666666672</v>
      </c>
      <c r="F10" s="649">
        <f>+'Finanza 05-25'!E7</f>
        <v>0</v>
      </c>
      <c r="G10" s="649">
        <f>+'Finanza 05-25'!F7</f>
        <v>0</v>
      </c>
      <c r="H10" s="649"/>
      <c r="I10" s="649"/>
      <c r="J10" s="649">
        <f t="shared" si="0"/>
        <v>0</v>
      </c>
      <c r="K10" s="650">
        <f t="shared" si="1"/>
        <v>0</v>
      </c>
      <c r="L10" s="650">
        <f>+D10-F10</f>
        <v>37993876</v>
      </c>
      <c r="M10" s="183"/>
      <c r="N10" s="184"/>
      <c r="O10" s="183"/>
      <c r="P10" s="183"/>
    </row>
    <row r="11" spans="1:16">
      <c r="B11" s="254" t="s">
        <v>41</v>
      </c>
      <c r="C11" s="665">
        <f t="shared" ref="C11:I11" si="2">SUM(C6:C10)</f>
        <v>1923838470</v>
      </c>
      <c r="D11" s="665">
        <f>SUM(D6:D10)</f>
        <v>2165650928</v>
      </c>
      <c r="E11" s="665">
        <f>SUM(E6:E10)</f>
        <v>36094182.133333333</v>
      </c>
      <c r="F11" s="655">
        <f>SUM(F6:F10)</f>
        <v>50591868.909999996</v>
      </c>
      <c r="G11" s="655">
        <f t="shared" si="2"/>
        <v>18781548.740000002</v>
      </c>
      <c r="H11" s="655">
        <f t="shared" si="2"/>
        <v>50122.86</v>
      </c>
      <c r="I11" s="655">
        <f t="shared" si="2"/>
        <v>8806726.6400000006</v>
      </c>
      <c r="J11" s="655">
        <f>SUM(J6:J10)</f>
        <v>27538152.520000003</v>
      </c>
      <c r="K11" s="655">
        <f>SUM(K6:K10)</f>
        <v>23053716.389999997</v>
      </c>
      <c r="L11" s="655">
        <f>SUM(L6:L10)</f>
        <v>2077065183.0899999</v>
      </c>
      <c r="M11" s="183"/>
      <c r="N11" s="184"/>
      <c r="O11" s="183"/>
      <c r="P11" s="183"/>
    </row>
    <row r="12" spans="1:16">
      <c r="B12" s="112" t="s">
        <v>42</v>
      </c>
      <c r="C12" s="666">
        <f>SUM('budget (11)'!D43)</f>
        <v>137417034</v>
      </c>
      <c r="D12" s="667">
        <v>151975504</v>
      </c>
      <c r="E12" s="667">
        <f>D12/$E$3</f>
        <v>2532925.0666666669</v>
      </c>
      <c r="F12" s="645">
        <f>+'Finanza 05-25'!E9</f>
        <v>3701175.97</v>
      </c>
      <c r="G12" s="645">
        <f>+'Finanza 05-25'!F9</f>
        <v>3701175.97</v>
      </c>
      <c r="H12" s="645"/>
      <c r="I12" s="645"/>
      <c r="J12" s="645">
        <f>+G12-H12+I12</f>
        <v>3701175.97</v>
      </c>
      <c r="K12" s="645">
        <f t="shared" si="1"/>
        <v>0</v>
      </c>
      <c r="L12" s="645">
        <f>+D12-F12</f>
        <v>148274328.03</v>
      </c>
      <c r="M12" s="183"/>
      <c r="N12" s="184"/>
      <c r="O12" s="183"/>
      <c r="P12" s="183"/>
    </row>
    <row r="13" spans="1:16">
      <c r="B13" s="115" t="s">
        <v>43</v>
      </c>
      <c r="C13" s="668">
        <f>SUM('budget (11)'!D45:D46)</f>
        <v>281704919</v>
      </c>
      <c r="D13" s="669">
        <v>308130334</v>
      </c>
      <c r="E13" s="669">
        <f>D13/$E$3</f>
        <v>5135505.5666666664</v>
      </c>
      <c r="F13" s="646">
        <f>+'Finanza 05-25'!E10</f>
        <v>5398831.6600000001</v>
      </c>
      <c r="G13" s="646">
        <f>+'Finanza 05-25'!F10</f>
        <v>4631831.66</v>
      </c>
      <c r="H13" s="646"/>
      <c r="I13" s="646"/>
      <c r="J13" s="646">
        <f t="shared" ref="J13:J16" si="3">+G13-H13+I13</f>
        <v>4631831.66</v>
      </c>
      <c r="K13" s="646">
        <f>F13-J13</f>
        <v>767000</v>
      </c>
      <c r="L13" s="646">
        <f>+D13-F13</f>
        <v>302731502.33999997</v>
      </c>
      <c r="M13" s="183"/>
      <c r="N13" s="184"/>
      <c r="O13" s="183"/>
      <c r="P13" s="183"/>
    </row>
    <row r="14" spans="1:16">
      <c r="B14" s="112" t="s">
        <v>44</v>
      </c>
      <c r="C14" s="666">
        <f>SUM('budget (11)'!D47)</f>
        <v>67334346</v>
      </c>
      <c r="D14" s="667">
        <v>75797782</v>
      </c>
      <c r="E14" s="667">
        <f>D14/$E$3</f>
        <v>1263296.3666666667</v>
      </c>
      <c r="F14" s="645">
        <f>+'Finanza 05-25'!E11</f>
        <v>667663</v>
      </c>
      <c r="G14" s="645">
        <f>+'Finanza 05-25'!F11</f>
        <v>667663</v>
      </c>
      <c r="H14" s="645"/>
      <c r="I14" s="645"/>
      <c r="J14" s="645">
        <f t="shared" si="3"/>
        <v>667663</v>
      </c>
      <c r="K14" s="645">
        <f t="shared" si="1"/>
        <v>0</v>
      </c>
      <c r="L14" s="645">
        <f>+D14-F14</f>
        <v>75130119</v>
      </c>
      <c r="M14" s="183"/>
      <c r="N14" s="184"/>
      <c r="O14" s="183"/>
      <c r="P14" s="183"/>
    </row>
    <row r="15" spans="1:16">
      <c r="A15">
        <v>1</v>
      </c>
      <c r="B15" s="115" t="s">
        <v>45</v>
      </c>
      <c r="C15" s="668">
        <f>SUM('budget (11)'!D48:D49)</f>
        <v>51531387.949999996</v>
      </c>
      <c r="D15" s="669">
        <v>56990814</v>
      </c>
      <c r="E15" s="669">
        <f>D15/$E$3</f>
        <v>949846.9</v>
      </c>
      <c r="F15" s="646">
        <f>+'Finanza 05-25'!E12</f>
        <v>18022576.77</v>
      </c>
      <c r="G15" s="646">
        <f>+'Finanza 05-25'!F12</f>
        <v>16706897.49</v>
      </c>
      <c r="H15" s="646">
        <f>+'CXP 05-25'!E34</f>
        <v>400736.22000000003</v>
      </c>
      <c r="I15" s="646"/>
      <c r="J15" s="646">
        <f>+G15-H15+I15</f>
        <v>16306161.27</v>
      </c>
      <c r="K15" s="646">
        <f>F15-J15</f>
        <v>1716415.5</v>
      </c>
      <c r="L15" s="646">
        <f>+D15-F15</f>
        <v>38968237.230000004</v>
      </c>
      <c r="M15" s="183"/>
      <c r="N15" s="184"/>
      <c r="O15" s="183"/>
      <c r="P15" s="183"/>
    </row>
    <row r="16" spans="1:16">
      <c r="B16" s="112" t="s">
        <v>46</v>
      </c>
      <c r="C16" s="666">
        <f>SUM('budget (11)'!D50)</f>
        <v>19238385</v>
      </c>
      <c r="D16" s="667">
        <v>21656506</v>
      </c>
      <c r="E16" s="667">
        <f>D16/$E$3</f>
        <v>360941.76666666666</v>
      </c>
      <c r="F16" s="645">
        <f>+'Finanza 05-25'!E13</f>
        <v>0</v>
      </c>
      <c r="G16" s="645">
        <f>+'Finanza 05-25'!F13</f>
        <v>0</v>
      </c>
      <c r="H16" s="645"/>
      <c r="I16" s="645"/>
      <c r="J16" s="645">
        <f t="shared" si="3"/>
        <v>0</v>
      </c>
      <c r="K16" s="645">
        <f t="shared" si="1"/>
        <v>0</v>
      </c>
      <c r="L16" s="645">
        <f>+D16-F16</f>
        <v>21656506</v>
      </c>
      <c r="M16" s="183"/>
      <c r="N16" s="184"/>
      <c r="O16" s="183"/>
      <c r="P16" s="183"/>
    </row>
    <row r="17" spans="2:16">
      <c r="B17" s="254" t="s">
        <v>47</v>
      </c>
      <c r="C17" s="665">
        <f t="shared" ref="C17:K17" si="4">SUM(C12:C16)</f>
        <v>557226071.95000005</v>
      </c>
      <c r="D17" s="665">
        <f t="shared" si="4"/>
        <v>614550940</v>
      </c>
      <c r="E17" s="665">
        <f>SUM(E12:E16)</f>
        <v>10242515.666666668</v>
      </c>
      <c r="F17" s="655">
        <f>SUM(F12:F16)</f>
        <v>27790247.399999999</v>
      </c>
      <c r="G17" s="655">
        <f t="shared" si="4"/>
        <v>25707568.120000001</v>
      </c>
      <c r="H17" s="655">
        <f t="shared" si="4"/>
        <v>400736.22000000003</v>
      </c>
      <c r="I17" s="655">
        <f t="shared" si="4"/>
        <v>0</v>
      </c>
      <c r="J17" s="655">
        <f t="shared" si="4"/>
        <v>25306831.899999999</v>
      </c>
      <c r="K17" s="655">
        <f t="shared" si="4"/>
        <v>2483415.5</v>
      </c>
      <c r="L17" s="655">
        <f t="shared" ref="L17" si="5">SUM(L12:L16)</f>
        <v>586760692.60000002</v>
      </c>
      <c r="M17" s="183"/>
      <c r="N17" s="184"/>
      <c r="O17" s="183"/>
      <c r="P17" s="183"/>
    </row>
    <row r="18" spans="2:16">
      <c r="B18" s="112" t="s">
        <v>48</v>
      </c>
      <c r="C18" s="670">
        <f>SUM('budget (11)'!D51:D52)</f>
        <v>15000000</v>
      </c>
      <c r="D18" s="671">
        <v>30500000</v>
      </c>
      <c r="E18" s="671">
        <f>D18/$E$3</f>
        <v>508333.33333333331</v>
      </c>
      <c r="F18" s="656">
        <f>+'Finanza 05-25'!E14</f>
        <v>17840153.52</v>
      </c>
      <c r="G18" s="656">
        <f>+'Finanza 05-25'!F14</f>
        <v>13516768.33</v>
      </c>
      <c r="H18" s="656">
        <f>+'CXP 05-25'!E38</f>
        <v>120006</v>
      </c>
      <c r="I18" s="656">
        <f>+'Anticipos 05-25'!D5+'Anticipos 05-25'!D6</f>
        <v>362775.8</v>
      </c>
      <c r="J18" s="656">
        <f>+G18-H18+I18</f>
        <v>13759538.130000001</v>
      </c>
      <c r="K18" s="645">
        <f>F18-J18</f>
        <v>4080615.3899999987</v>
      </c>
      <c r="L18" s="645">
        <f>+D18-F18</f>
        <v>12659846.48</v>
      </c>
      <c r="M18" s="183"/>
      <c r="N18" s="184"/>
      <c r="O18" s="183"/>
      <c r="P18" s="185"/>
    </row>
    <row r="19" spans="2:16">
      <c r="B19" s="115" t="s">
        <v>49</v>
      </c>
      <c r="C19" s="668">
        <f>SUM('budget (11)'!D4:D10)</f>
        <v>20789999.999999996</v>
      </c>
      <c r="D19" s="669">
        <v>20789999.999999996</v>
      </c>
      <c r="E19" s="669">
        <f>D19/$E$3</f>
        <v>346499.99999999994</v>
      </c>
      <c r="F19" s="646">
        <f>+'Finanza 05-25'!E3</f>
        <v>22198724.059999999</v>
      </c>
      <c r="G19" s="646">
        <f>+'Finanza 05-25'!F3</f>
        <v>21715435.649999999</v>
      </c>
      <c r="H19" s="646">
        <f>+'CXP 05-25'!E19</f>
        <v>50670</v>
      </c>
      <c r="I19" s="646">
        <f>+'Anticipos 05-25'!D2+'Anticipos 05-25'!D3+'Anticipos 05-25'!D4</f>
        <v>351250</v>
      </c>
      <c r="J19" s="646">
        <f>+G19-H19+I19</f>
        <v>22016015.649999999</v>
      </c>
      <c r="K19" s="646">
        <f>F19-J19</f>
        <v>182708.41000000015</v>
      </c>
      <c r="L19" s="646">
        <f>+D19-F19</f>
        <v>-1408724.0600000024</v>
      </c>
      <c r="M19" s="183"/>
      <c r="N19" s="184"/>
      <c r="O19" s="183"/>
      <c r="P19" s="183"/>
    </row>
    <row r="20" spans="2:16">
      <c r="B20" s="112" t="s">
        <v>50</v>
      </c>
      <c r="C20" s="666">
        <f>SUM('budget (11)'!D54)</f>
        <v>192383847</v>
      </c>
      <c r="D20" s="667">
        <v>216565093</v>
      </c>
      <c r="E20" s="667">
        <f>D20/$E$3</f>
        <v>3609418.2166666668</v>
      </c>
      <c r="F20" s="645">
        <f>+'Finanza 05-25'!E16</f>
        <v>0</v>
      </c>
      <c r="G20" s="645">
        <f>+'Finanza 05-25'!F16</f>
        <v>0</v>
      </c>
      <c r="H20" s="645"/>
      <c r="I20" s="645"/>
      <c r="J20" s="645">
        <f t="shared" ref="J20:J21" si="6">+G20-H20+I20</f>
        <v>0</v>
      </c>
      <c r="K20" s="645">
        <f t="shared" si="1"/>
        <v>0</v>
      </c>
      <c r="L20" s="645">
        <f>+D20-F20</f>
        <v>216565093</v>
      </c>
      <c r="M20" s="183"/>
      <c r="N20" s="184"/>
      <c r="O20" s="183"/>
      <c r="P20" s="183"/>
    </row>
    <row r="21" spans="2:16">
      <c r="B21" s="115" t="s">
        <v>51</v>
      </c>
      <c r="C21" s="668">
        <f>SUM('budget (11)'!D53)</f>
        <v>19238385</v>
      </c>
      <c r="D21" s="669">
        <v>21656509</v>
      </c>
      <c r="E21" s="669">
        <f>D21/$E$3</f>
        <v>360941.81666666665</v>
      </c>
      <c r="F21" s="646">
        <f>+'Finanza 05-25'!E15</f>
        <v>0</v>
      </c>
      <c r="G21" s="646">
        <f>+'Finanza 05-25'!F15</f>
        <v>0</v>
      </c>
      <c r="H21" s="646"/>
      <c r="I21" s="646"/>
      <c r="J21" s="646">
        <f t="shared" si="6"/>
        <v>0</v>
      </c>
      <c r="K21" s="646">
        <f t="shared" si="1"/>
        <v>0</v>
      </c>
      <c r="L21" s="646">
        <f>+D21-F21</f>
        <v>21656509</v>
      </c>
      <c r="M21" s="183"/>
      <c r="N21" s="184"/>
      <c r="O21" s="183"/>
      <c r="P21" s="183"/>
    </row>
    <row r="22" spans="2:16">
      <c r="B22" s="254" t="s">
        <v>52</v>
      </c>
      <c r="C22" s="665">
        <f t="shared" ref="C22:L22" si="7">SUM(C18:C21)</f>
        <v>247412232</v>
      </c>
      <c r="D22" s="665">
        <f t="shared" si="7"/>
        <v>289511602</v>
      </c>
      <c r="E22" s="665">
        <f t="shared" si="7"/>
        <v>4825193.3666666662</v>
      </c>
      <c r="F22" s="655">
        <f>SUM(F18:F21)</f>
        <v>40038877.579999998</v>
      </c>
      <c r="G22" s="655">
        <f t="shared" si="7"/>
        <v>35232203.979999997</v>
      </c>
      <c r="H22" s="655">
        <f t="shared" si="7"/>
        <v>170676</v>
      </c>
      <c r="I22" s="655">
        <f t="shared" si="7"/>
        <v>714025.8</v>
      </c>
      <c r="J22" s="655">
        <f t="shared" si="7"/>
        <v>35775553.780000001</v>
      </c>
      <c r="K22" s="655">
        <f t="shared" si="7"/>
        <v>4263323.7999999989</v>
      </c>
      <c r="L22" s="655">
        <f t="shared" si="7"/>
        <v>249472724.41999999</v>
      </c>
      <c r="M22" s="183"/>
      <c r="N22" s="184"/>
      <c r="O22" s="183"/>
      <c r="P22" s="183"/>
    </row>
    <row r="23" spans="2:16" ht="18.600000000000001" thickBot="1">
      <c r="B23" s="333" t="s">
        <v>1156</v>
      </c>
      <c r="C23" s="672">
        <f>C5+C11+C17+C22</f>
        <v>2831861942.9499998</v>
      </c>
      <c r="D23" s="672">
        <f>D5+D11+D17+D22</f>
        <v>3173098639</v>
      </c>
      <c r="E23" s="672">
        <f>E5+E11+E17+E22</f>
        <v>52884977.31666667</v>
      </c>
      <c r="F23" s="657">
        <f>F22+F17+F11+F5</f>
        <v>212612215.71999997</v>
      </c>
      <c r="G23" s="657">
        <f t="shared" ref="G23:L23" si="8">G22+G17+G11+G5</f>
        <v>173912542.67000002</v>
      </c>
      <c r="H23" s="657">
        <f>H22+H17+H11+H5</f>
        <v>639551.07999999996</v>
      </c>
      <c r="I23" s="657">
        <f t="shared" si="8"/>
        <v>9520752.4400000013</v>
      </c>
      <c r="J23" s="657">
        <f>J22+J17+J11+J5</f>
        <v>182793744.03</v>
      </c>
      <c r="K23" s="657">
        <f>K22+K17+K11+K5</f>
        <v>29818471.689999998</v>
      </c>
      <c r="L23" s="657">
        <f t="shared" si="8"/>
        <v>2922492547.2799997</v>
      </c>
      <c r="M23" s="183"/>
      <c r="N23" s="184"/>
      <c r="O23" s="183"/>
      <c r="P23" s="183"/>
    </row>
    <row r="24" spans="2:16" ht="15" thickBot="1">
      <c r="F24" s="369"/>
      <c r="G24" s="369"/>
      <c r="H24" s="369"/>
      <c r="I24" s="369"/>
      <c r="J24" s="369"/>
      <c r="K24" s="320"/>
      <c r="L24" s="368"/>
    </row>
    <row r="25" spans="2:16" ht="15" thickBot="1">
      <c r="D25" s="320"/>
      <c r="F25" s="368"/>
      <c r="G25" s="368"/>
      <c r="H25" s="434" t="s">
        <v>653</v>
      </c>
      <c r="I25" s="435">
        <f>+'BCE 05-25'!C44</f>
        <v>159695773.63999999</v>
      </c>
      <c r="J25" s="368">
        <v>160000000</v>
      </c>
      <c r="K25" s="142"/>
      <c r="L25" s="108"/>
      <c r="N25" s="186" t="s">
        <v>189</v>
      </c>
      <c r="O25" s="190">
        <v>2831861942.3920002</v>
      </c>
    </row>
    <row r="26" spans="2:16" ht="15" thickBot="1">
      <c r="D26" s="320"/>
      <c r="F26" s="368"/>
      <c r="G26" s="368"/>
      <c r="H26" s="586" t="s">
        <v>1157</v>
      </c>
      <c r="I26" s="587">
        <f>+'BCE 05-25'!C30</f>
        <v>22200000</v>
      </c>
      <c r="J26" s="368"/>
      <c r="K26" s="142"/>
      <c r="L26" s="108"/>
      <c r="N26" s="186"/>
      <c r="O26" s="190"/>
    </row>
    <row r="27" spans="2:16" ht="15" thickBot="1">
      <c r="D27" s="370"/>
      <c r="E27" s="320"/>
      <c r="F27" s="474"/>
      <c r="H27" s="436" t="s">
        <v>654</v>
      </c>
      <c r="I27" s="437">
        <f>-'BCE 05-25'!C14</f>
        <v>-11483457.269999998</v>
      </c>
      <c r="J27" s="108">
        <f>J25-J23</f>
        <v>-22793744.030000001</v>
      </c>
      <c r="K27" s="320"/>
      <c r="N27" s="188" t="s">
        <v>190</v>
      </c>
      <c r="O27" s="189">
        <f>C23</f>
        <v>2831861942.9499998</v>
      </c>
    </row>
    <row r="28" spans="2:16" ht="15" thickBot="1">
      <c r="C28" s="489"/>
      <c r="D28" s="370"/>
      <c r="F28" s="474"/>
      <c r="H28" s="441" t="s">
        <v>655</v>
      </c>
      <c r="I28" s="442">
        <f>+'BCE 05-25'!C32+'BCE 05-25'!C33+'BCE 05-25'!C34+'BCE 05-25'!C35+'BCE 05-25'!C36+'BCE 05-25'!C37+'CXP 05-25'!E11</f>
        <v>1272537.5899999999</v>
      </c>
      <c r="J28" s="445">
        <f>+K23</f>
        <v>29818471.689999998</v>
      </c>
      <c r="K28" s="320"/>
      <c r="N28" s="187" t="s">
        <v>191</v>
      </c>
      <c r="O28" s="191">
        <f>O25-O27</f>
        <v>-0.55799961090087891</v>
      </c>
    </row>
    <row r="29" spans="2:16">
      <c r="C29" s="489"/>
      <c r="D29" s="370"/>
      <c r="F29" s="474"/>
      <c r="H29" s="441" t="s">
        <v>808</v>
      </c>
      <c r="I29" s="442">
        <f>+'BCE 05-25'!C31</f>
        <v>11026838.73</v>
      </c>
      <c r="J29" s="445"/>
      <c r="K29" s="320"/>
      <c r="N29" s="183"/>
      <c r="O29" s="508"/>
    </row>
    <row r="30" spans="2:16">
      <c r="C30" s="489"/>
      <c r="D30" s="370"/>
      <c r="F30" s="474"/>
      <c r="H30" s="441" t="s">
        <v>896</v>
      </c>
      <c r="I30" s="442">
        <v>0</v>
      </c>
      <c r="J30" s="445"/>
      <c r="K30" s="320"/>
      <c r="N30" s="183"/>
      <c r="O30" s="508"/>
    </row>
    <row r="31" spans="2:16">
      <c r="C31" s="489"/>
      <c r="D31" s="370"/>
      <c r="F31" s="474"/>
      <c r="H31" s="441" t="s">
        <v>888</v>
      </c>
      <c r="I31" s="442">
        <v>0</v>
      </c>
      <c r="J31" s="445"/>
      <c r="K31" s="320"/>
      <c r="N31" s="183"/>
      <c r="O31" s="508"/>
    </row>
    <row r="32" spans="2:16" ht="15" thickBot="1">
      <c r="C32" s="369"/>
      <c r="D32" s="370"/>
      <c r="H32" s="438" t="s">
        <v>656</v>
      </c>
      <c r="I32" s="439">
        <f>SUM(I25:I31)</f>
        <v>182711692.68999997</v>
      </c>
      <c r="J32" s="445">
        <f>J27-J28</f>
        <v>-52612215.719999999</v>
      </c>
    </row>
    <row r="33" spans="2:11">
      <c r="C33" s="161"/>
      <c r="D33" s="370"/>
      <c r="H33" s="440" t="s">
        <v>657</v>
      </c>
      <c r="I33" s="445">
        <f>+J23</f>
        <v>182793744.03</v>
      </c>
    </row>
    <row r="34" spans="2:11">
      <c r="H34" s="443" t="s">
        <v>658</v>
      </c>
      <c r="I34" s="443">
        <f>+I32-I33</f>
        <v>-82051.340000033379</v>
      </c>
      <c r="J34" s="444">
        <f>+'BCE 05-25'!C45+'BCE 05-25'!C46</f>
        <v>82053.19</v>
      </c>
      <c r="K34" s="444">
        <f>+I34+J34</f>
        <v>1.8499999666237272</v>
      </c>
    </row>
    <row r="35" spans="2:11">
      <c r="B35" s="192"/>
      <c r="C35" s="192"/>
      <c r="D35" s="192"/>
      <c r="E35" s="192"/>
      <c r="F35" s="192"/>
      <c r="G35" s="192"/>
      <c r="H35" s="192"/>
      <c r="I35" s="192"/>
      <c r="J35" s="192"/>
      <c r="K35" s="192"/>
    </row>
    <row r="37" spans="2:11">
      <c r="B37" s="254" t="s">
        <v>47</v>
      </c>
    </row>
    <row r="38" spans="2:11">
      <c r="B38" s="112" t="s">
        <v>48</v>
      </c>
    </row>
    <row r="39" spans="2:11">
      <c r="B39" s="115" t="s">
        <v>49</v>
      </c>
    </row>
    <row r="40" spans="2:11">
      <c r="B40" s="112" t="s">
        <v>50</v>
      </c>
    </row>
    <row r="41" spans="2:11">
      <c r="B41" s="115" t="s">
        <v>51</v>
      </c>
    </row>
    <row r="42" spans="2:11">
      <c r="B42" s="254" t="s">
        <v>52</v>
      </c>
    </row>
    <row r="43" spans="2:11" ht="18.600000000000001" thickBot="1">
      <c r="B43" s="333" t="s">
        <v>229</v>
      </c>
    </row>
    <row r="45" spans="2:11" ht="15" thickBot="1"/>
    <row r="46" spans="2:11">
      <c r="B46" s="335" t="s">
        <v>234</v>
      </c>
      <c r="C46" s="336">
        <v>160000000</v>
      </c>
      <c r="D46" s="336"/>
      <c r="E46" s="336"/>
    </row>
    <row r="47" spans="2:11">
      <c r="B47" s="588" t="s">
        <v>1158</v>
      </c>
      <c r="C47" s="589">
        <v>22200000</v>
      </c>
      <c r="D47" s="589"/>
      <c r="E47" s="589"/>
    </row>
    <row r="48" spans="2:11">
      <c r="B48" s="112" t="s">
        <v>153</v>
      </c>
      <c r="C48" s="403">
        <f>+J23+K23</f>
        <v>212612215.72</v>
      </c>
      <c r="D48" s="403"/>
      <c r="E48" s="403">
        <f>C48/C46</f>
        <v>1.32882634825</v>
      </c>
    </row>
    <row r="49" spans="2:5" ht="15" thickBot="1">
      <c r="B49" s="339" t="s">
        <v>154</v>
      </c>
      <c r="C49" s="340">
        <f>+C46+C47-C48</f>
        <v>-30412215.719999999</v>
      </c>
      <c r="D49" s="340"/>
      <c r="E49" s="340">
        <f>C49/C46</f>
        <v>-0.19007634825</v>
      </c>
    </row>
  </sheetData>
  <mergeCells count="8">
    <mergeCell ref="M1:P2"/>
    <mergeCell ref="F3:F4"/>
    <mergeCell ref="G3:G4"/>
    <mergeCell ref="H3:H4"/>
    <mergeCell ref="I3:I4"/>
    <mergeCell ref="J3:J4"/>
    <mergeCell ref="K3:K4"/>
    <mergeCell ref="L3:L4"/>
  </mergeCells>
  <conditionalFormatting sqref="M6:M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M9">
    <cfRule type="iconSet" priority="1">
      <iconSet iconSet="3Arrows">
        <cfvo type="percent" val="0"/>
        <cfvo type="percent" val="45"/>
        <cfvo type="percent" val="80"/>
      </iconSet>
    </cfRule>
  </conditionalFormatting>
  <conditionalFormatting sqref="M13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M15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M19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M21">
    <cfRule type="iconSet" priority="2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ignoredErrors>
    <ignoredError sqref="C5:L10 C12:L16 C11:D11 C18:L23 C17:D17" formulaRange="1"/>
    <ignoredError sqref="E11:L11 E17:L17" formula="1" formulaRange="1"/>
  </ignoredErrors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2396B-7D6D-4EBE-8926-2401EF9FB58E}">
  <dimension ref="B3:K44"/>
  <sheetViews>
    <sheetView showGridLines="0" topLeftCell="A15" zoomScale="110" zoomScaleNormal="110" workbookViewId="0">
      <selection activeCell="F36" sqref="F36"/>
    </sheetView>
  </sheetViews>
  <sheetFormatPr baseColWidth="10" defaultColWidth="11.44140625" defaultRowHeight="14.4"/>
  <cols>
    <col min="1" max="1" width="2.44140625" customWidth="1"/>
    <col min="2" max="2" width="29.88671875" bestFit="1" customWidth="1"/>
    <col min="3" max="3" width="20.6640625" style="731" customWidth="1"/>
    <col min="4" max="5" width="13" style="730" bestFit="1" customWidth="1"/>
    <col min="6" max="7" width="13.44140625" style="730" bestFit="1" customWidth="1"/>
    <col min="8" max="10" width="13" style="730" bestFit="1" customWidth="1"/>
    <col min="11" max="11" width="14.5546875" style="731" bestFit="1" customWidth="1"/>
    <col min="12" max="12" width="20.6640625" bestFit="1" customWidth="1"/>
    <col min="13" max="13" width="13.33203125" bestFit="1" customWidth="1"/>
    <col min="14" max="14" width="14.88671875" bestFit="1" customWidth="1"/>
    <col min="15" max="16" width="12.33203125" bestFit="1" customWidth="1"/>
  </cols>
  <sheetData>
    <row r="3" spans="2:11" hidden="1">
      <c r="B3" s="142">
        <v>160000000</v>
      </c>
    </row>
    <row r="4" spans="2:11" ht="15" hidden="1" thickBot="1">
      <c r="B4" s="284" t="s">
        <v>259</v>
      </c>
    </row>
    <row r="5" spans="2:11" ht="15" hidden="1" thickBot="1">
      <c r="B5" s="284" t="s">
        <v>260</v>
      </c>
    </row>
    <row r="6" spans="2:11" ht="15.6" hidden="1" thickTop="1" thickBot="1">
      <c r="B6" s="285" t="s">
        <v>261</v>
      </c>
    </row>
    <row r="7" spans="2:11" ht="15.6" hidden="1" thickTop="1" thickBot="1">
      <c r="B7" s="285" t="s">
        <v>149</v>
      </c>
    </row>
    <row r="8" spans="2:11" ht="15.6" hidden="1" thickTop="1" thickBot="1">
      <c r="B8" s="285" t="s">
        <v>262</v>
      </c>
    </row>
    <row r="9" spans="2:11" hidden="1"/>
    <row r="10" spans="2:11" hidden="1"/>
    <row r="11" spans="2:11" hidden="1"/>
    <row r="12" spans="2:11" hidden="1"/>
    <row r="13" spans="2:11" hidden="1"/>
    <row r="14" spans="2:11" hidden="1"/>
    <row r="15" spans="2:11" ht="15" thickBot="1">
      <c r="C15" s="731" t="s">
        <v>1286</v>
      </c>
      <c r="F15" s="733" t="s">
        <v>1287</v>
      </c>
      <c r="G15" s="733" t="s">
        <v>1288</v>
      </c>
    </row>
    <row r="16" spans="2:11" ht="28.2" customHeight="1" thickBot="1">
      <c r="B16" s="676"/>
      <c r="C16" s="734" t="s">
        <v>1289</v>
      </c>
      <c r="D16" s="735">
        <v>45809</v>
      </c>
      <c r="E16" s="735">
        <v>45839</v>
      </c>
      <c r="F16" s="735">
        <v>45870</v>
      </c>
      <c r="G16" s="735">
        <v>45901</v>
      </c>
      <c r="H16" s="735">
        <v>45931</v>
      </c>
      <c r="I16" s="735">
        <v>45962</v>
      </c>
      <c r="J16" s="735">
        <v>45992</v>
      </c>
      <c r="K16" s="807" t="s">
        <v>1290</v>
      </c>
    </row>
    <row r="17" spans="2:11" ht="16.2" thickBot="1">
      <c r="B17" s="736" t="s">
        <v>1291</v>
      </c>
      <c r="C17" s="737">
        <f>+'BCE 05-25'!C31</f>
        <v>11026838.73</v>
      </c>
      <c r="D17" s="737">
        <v>22480000</v>
      </c>
      <c r="E17" s="737">
        <v>22480000</v>
      </c>
      <c r="F17" s="737">
        <v>22480000</v>
      </c>
      <c r="G17" s="737"/>
      <c r="H17" s="737"/>
      <c r="I17" s="737"/>
      <c r="J17" s="737"/>
      <c r="K17" s="808">
        <f>SUM(C17:J17)</f>
        <v>78466838.730000004</v>
      </c>
    </row>
    <row r="18" spans="2:11" ht="15.6">
      <c r="B18" s="681" t="s">
        <v>265</v>
      </c>
      <c r="C18" s="738">
        <v>160000000</v>
      </c>
      <c r="D18" s="739"/>
      <c r="E18" s="739"/>
      <c r="F18" s="739"/>
      <c r="G18" s="739"/>
      <c r="H18" s="739"/>
      <c r="I18" s="739"/>
      <c r="J18" s="739"/>
      <c r="K18" s="809">
        <f>SUM(C18:J18)</f>
        <v>160000000</v>
      </c>
    </row>
    <row r="19" spans="2:11" ht="15.6">
      <c r="B19" s="681" t="s">
        <v>960</v>
      </c>
      <c r="C19" s="738">
        <f>+'BCE 05-25'!C30</f>
        <v>22200000</v>
      </c>
      <c r="D19" s="738">
        <v>12000000</v>
      </c>
      <c r="E19" s="738">
        <v>38100000</v>
      </c>
      <c r="F19" s="738">
        <v>28600000</v>
      </c>
      <c r="G19" s="738">
        <v>31500000</v>
      </c>
      <c r="H19" s="739"/>
      <c r="I19" s="739"/>
      <c r="J19" s="739"/>
      <c r="K19" s="809">
        <f>SUM(C19:J19)</f>
        <v>132400000</v>
      </c>
    </row>
    <row r="20" spans="2:11" ht="15.6" hidden="1">
      <c r="B20" s="681"/>
      <c r="C20" s="738"/>
      <c r="D20" s="739">
        <f>+C19+D19</f>
        <v>34200000</v>
      </c>
      <c r="E20" s="739">
        <f>+D20+E19</f>
        <v>72300000</v>
      </c>
      <c r="F20" s="739">
        <f t="shared" ref="F20:G20" si="0">+E20+F19</f>
        <v>100900000</v>
      </c>
      <c r="G20" s="739">
        <f t="shared" si="0"/>
        <v>132400000</v>
      </c>
      <c r="H20" s="739">
        <f t="shared" ref="H20:J20" si="1">+G19+H19</f>
        <v>31500000</v>
      </c>
      <c r="I20" s="739">
        <f t="shared" si="1"/>
        <v>0</v>
      </c>
      <c r="J20" s="739">
        <f t="shared" si="1"/>
        <v>0</v>
      </c>
      <c r="K20" s="809"/>
    </row>
    <row r="21" spans="2:11" ht="15.6">
      <c r="B21" s="681" t="s">
        <v>266</v>
      </c>
      <c r="C21" s="738">
        <f>+C18+C19-C22</f>
        <v>-1148744.0099999905</v>
      </c>
      <c r="D21" s="739">
        <f t="shared" ref="D21:J21" si="2">C21-D22+D19</f>
        <v>-4859394.1272602677</v>
      </c>
      <c r="E21" s="739">
        <f t="shared" si="2"/>
        <v>33993.203561648726</v>
      </c>
      <c r="F21" s="739">
        <f t="shared" si="2"/>
        <v>67412.540547944605</v>
      </c>
      <c r="G21" s="739">
        <f t="shared" si="2"/>
        <v>-312561.05246575922</v>
      </c>
      <c r="H21" s="739">
        <f t="shared" si="2"/>
        <v>-16528003.71547946</v>
      </c>
      <c r="I21" s="739">
        <f t="shared" si="2"/>
        <v>-31347962.37849316</v>
      </c>
      <c r="J21" s="739">
        <f t="shared" si="2"/>
        <v>-40785921.041506857</v>
      </c>
      <c r="K21" s="809"/>
    </row>
    <row r="22" spans="2:11" ht="15.6">
      <c r="B22" s="740" t="s">
        <v>267</v>
      </c>
      <c r="C22" s="741">
        <f t="shared" ref="C22:J22" si="3">SUM(C23:C37)</f>
        <v>183348744.00999999</v>
      </c>
      <c r="D22" s="741">
        <f>SUM(D23:D37)</f>
        <v>15710650.117260275</v>
      </c>
      <c r="E22" s="741">
        <f t="shared" si="3"/>
        <v>33206612.669178084</v>
      </c>
      <c r="F22" s="741">
        <f t="shared" si="3"/>
        <v>28566580.663013704</v>
      </c>
      <c r="G22" s="741">
        <f t="shared" si="3"/>
        <v>31879973.593013704</v>
      </c>
      <c r="H22" s="741">
        <f t="shared" si="3"/>
        <v>16215442.6630137</v>
      </c>
      <c r="I22" s="741">
        <f t="shared" si="3"/>
        <v>14819958.6630137</v>
      </c>
      <c r="J22" s="741">
        <f t="shared" si="3"/>
        <v>9437958.6630136985</v>
      </c>
      <c r="K22" s="810">
        <f>SUM(C22:J22)</f>
        <v>333185921.04150683</v>
      </c>
    </row>
    <row r="23" spans="2:11" ht="15.6">
      <c r="B23" s="694" t="s">
        <v>259</v>
      </c>
      <c r="C23" s="743">
        <f>+'PRESENTACIÓN 05-25'!J5</f>
        <v>94173205.829999998</v>
      </c>
      <c r="D23" s="742">
        <f>+'Compromisos 05-25'!L4</f>
        <v>18880</v>
      </c>
      <c r="E23" s="742">
        <f>+'Compromisos 05-25'!M4</f>
        <v>0</v>
      </c>
      <c r="F23" s="742">
        <f>+'Compromisos 05-25'!N4</f>
        <v>0</v>
      </c>
      <c r="G23" s="742">
        <f>+'Compromisos 05-25'!O4</f>
        <v>0</v>
      </c>
      <c r="H23" s="742">
        <f>+'Compromisos 05-25'!P4</f>
        <v>0</v>
      </c>
      <c r="I23" s="742">
        <f>+'Compromisos 05-25'!Q4</f>
        <v>0</v>
      </c>
      <c r="J23" s="742">
        <f>+'Compromisos 05-25'!R4</f>
        <v>0</v>
      </c>
      <c r="K23" s="811">
        <f>SUM(C23:J23)</f>
        <v>94192085.829999998</v>
      </c>
    </row>
    <row r="24" spans="2:11" ht="15.6">
      <c r="B24" s="697" t="s">
        <v>260</v>
      </c>
      <c r="C24" s="738">
        <f>+'PRESENTACIÓN 05-25'!J19</f>
        <v>22016015.649999999</v>
      </c>
      <c r="D24" s="739">
        <f>+'Compromisos 05-25'!L10</f>
        <v>58199.520000000004</v>
      </c>
      <c r="E24" s="739">
        <f>+'Compromisos 05-25'!M10</f>
        <v>126938.89</v>
      </c>
      <c r="F24" s="739">
        <f>+'Compromisos 05-25'!N10</f>
        <v>0</v>
      </c>
      <c r="G24" s="739">
        <f>+'Compromisos 05-25'!O10</f>
        <v>0</v>
      </c>
      <c r="H24" s="739">
        <f>+'Compromisos 05-25'!P10</f>
        <v>0</v>
      </c>
      <c r="I24" s="739">
        <f>+'Compromisos 05-25'!Q10</f>
        <v>0</v>
      </c>
      <c r="J24" s="739">
        <f>+'Compromisos 05-25'!R10</f>
        <v>0</v>
      </c>
      <c r="K24" s="809">
        <f t="shared" ref="K24:K36" si="4">SUM(C24:J24)</f>
        <v>22201154.059999999</v>
      </c>
    </row>
    <row r="25" spans="2:11" ht="15.6">
      <c r="B25" s="697" t="s">
        <v>1292</v>
      </c>
      <c r="C25" s="743">
        <f>+'PRESENTACIÓN 05-25'!J18</f>
        <v>13759538.130000001</v>
      </c>
      <c r="D25" s="742">
        <f>+'Compromisos 05-25'!L73</f>
        <v>1204948</v>
      </c>
      <c r="E25" s="742">
        <f>+'Compromisos 05-25'!M73</f>
        <v>2738167.39</v>
      </c>
      <c r="F25" s="742">
        <f>+'Compromisos 05-25'!N73</f>
        <v>0</v>
      </c>
      <c r="G25" s="742">
        <f>+'Compromisos 05-25'!O73</f>
        <v>0</v>
      </c>
      <c r="H25" s="742">
        <f>+'Compromisos 05-25'!P73</f>
        <v>0</v>
      </c>
      <c r="I25" s="742">
        <f>+'Compromisos 05-25'!Q73</f>
        <v>0</v>
      </c>
      <c r="J25" s="742">
        <f>+'Compromisos 05-25'!R73</f>
        <v>0</v>
      </c>
      <c r="K25" s="811">
        <f t="shared" si="4"/>
        <v>17702653.52</v>
      </c>
    </row>
    <row r="26" spans="2:11" ht="15.6">
      <c r="B26" s="697" t="s">
        <v>271</v>
      </c>
      <c r="C26" s="738">
        <f>+'PRESENTACIÓN 05-25'!J6</f>
        <v>18422683.950000003</v>
      </c>
      <c r="D26" s="739">
        <f>+'Compromisos 05-25'!L23</f>
        <v>5323145.3400000008</v>
      </c>
      <c r="E26" s="739">
        <f>+'Compromisos 05-25'!M23</f>
        <v>7545134.4199999999</v>
      </c>
      <c r="F26" s="739">
        <f>+'Compromisos 05-25'!N23</f>
        <v>6000000</v>
      </c>
      <c r="G26" s="739">
        <f>+'Compromisos 05-25'!O23</f>
        <v>8985014.9299999997</v>
      </c>
      <c r="H26" s="739">
        <f>+'Compromisos 05-25'!P23</f>
        <v>3683734</v>
      </c>
      <c r="I26" s="739">
        <f>+'Compromisos 05-25'!Q23</f>
        <v>3382000</v>
      </c>
      <c r="J26" s="739">
        <f>+'Compromisos 05-25'!R23</f>
        <v>0</v>
      </c>
      <c r="K26" s="809">
        <f t="shared" si="4"/>
        <v>53341712.640000001</v>
      </c>
    </row>
    <row r="27" spans="2:11" ht="15.6">
      <c r="B27" s="697" t="s">
        <v>681</v>
      </c>
      <c r="C27" s="738">
        <f>+'PRESENTACIÓN 05-25'!J7</f>
        <v>0</v>
      </c>
      <c r="D27" s="739">
        <f>+'Compromisos 05-25'!L26</f>
        <v>0</v>
      </c>
      <c r="E27" s="739">
        <f>+'Compromisos 05-25'!M26</f>
        <v>0</v>
      </c>
      <c r="F27" s="739">
        <f>+'Compromisos 05-25'!N26</f>
        <v>3000000</v>
      </c>
      <c r="G27" s="739">
        <f>+'Compromisos 05-25'!O26</f>
        <v>3000000</v>
      </c>
      <c r="H27" s="739">
        <f>+'Compromisos 05-25'!P26</f>
        <v>5700000</v>
      </c>
      <c r="I27" s="739">
        <f>+'Compromisos 05-25'!Q26</f>
        <v>5000000</v>
      </c>
      <c r="J27" s="739">
        <f>+'Compromisos 05-25'!R26</f>
        <v>3000000</v>
      </c>
      <c r="K27" s="809">
        <f t="shared" si="4"/>
        <v>19700000</v>
      </c>
    </row>
    <row r="28" spans="2:11" ht="15.6">
      <c r="B28" s="697" t="s">
        <v>449</v>
      </c>
      <c r="C28" s="743">
        <f>+'PRESENTACIÓN 05-25'!J15</f>
        <v>16306161.27</v>
      </c>
      <c r="D28" s="742">
        <f>+'Compromisos 05-25'!L64</f>
        <v>3024578.4572602739</v>
      </c>
      <c r="E28" s="742">
        <f>+'Compromisos 05-25'!M64</f>
        <v>4372066.3991780821</v>
      </c>
      <c r="F28" s="742">
        <f>+'Compromisos 05-25'!N64</f>
        <v>699931.86301369872</v>
      </c>
      <c r="G28" s="742">
        <f>+'Compromisos 05-25'!O64</f>
        <v>634559.86301369872</v>
      </c>
      <c r="H28" s="742">
        <f>+'Compromisos 05-25'!P64</f>
        <v>634559.86301369872</v>
      </c>
      <c r="I28" s="742">
        <f>+'Compromisos 05-25'!Q64</f>
        <v>634559.86301369872</v>
      </c>
      <c r="J28" s="742">
        <f>+'Compromisos 05-25'!R64</f>
        <v>634559.86301369872</v>
      </c>
      <c r="K28" s="811">
        <f t="shared" si="4"/>
        <v>26940977.441506855</v>
      </c>
    </row>
    <row r="29" spans="2:11" s="747" customFormat="1" ht="15.6">
      <c r="B29" s="744" t="s">
        <v>810</v>
      </c>
      <c r="C29" s="746">
        <f>+'PRESENTACIÓN 05-25'!J14</f>
        <v>667663</v>
      </c>
      <c r="D29" s="745">
        <f>+'Compromisos 05-25'!L41</f>
        <v>80688</v>
      </c>
      <c r="E29" s="745">
        <f>+'Compromisos 05-25'!M41</f>
        <v>80688</v>
      </c>
      <c r="F29" s="745">
        <f>+'Compromisos 05-25'!N41</f>
        <v>80688</v>
      </c>
      <c r="G29" s="745">
        <f>+'Compromisos 05-25'!O41</f>
        <v>80688</v>
      </c>
      <c r="H29" s="745">
        <f>+'Compromisos 05-25'!P41</f>
        <v>80688</v>
      </c>
      <c r="I29" s="745">
        <f>+'Compromisos 05-25'!Q41</f>
        <v>80688</v>
      </c>
      <c r="J29" s="745">
        <f>+'Compromisos 05-25'!R41</f>
        <v>80688</v>
      </c>
      <c r="K29" s="812">
        <f t="shared" si="4"/>
        <v>1232479</v>
      </c>
    </row>
    <row r="30" spans="2:11" s="747" customFormat="1" ht="15.6">
      <c r="B30" s="703" t="s">
        <v>767</v>
      </c>
      <c r="C30" s="749">
        <f>+'PRESENTACIÓN 05-25'!J9</f>
        <v>9115468.5700000003</v>
      </c>
      <c r="D30" s="750">
        <f>+'Compromisos 05-25'!L30</f>
        <v>2360000</v>
      </c>
      <c r="E30" s="750">
        <f>+'Compromisos 05-25'!M30</f>
        <v>2751406.77</v>
      </c>
      <c r="F30" s="750">
        <f>+'Compromisos 05-25'!N30</f>
        <v>2360000</v>
      </c>
      <c r="G30" s="750">
        <f>+'Compromisos 05-25'!O30</f>
        <v>2360000</v>
      </c>
      <c r="H30" s="750">
        <f>+'Compromisos 05-25'!P30</f>
        <v>2360000</v>
      </c>
      <c r="I30" s="750">
        <f>+'Compromisos 05-25'!Q30</f>
        <v>2360000</v>
      </c>
      <c r="J30" s="750">
        <f>+'Compromisos 05-25'!R30</f>
        <v>2360000</v>
      </c>
      <c r="K30" s="813">
        <f t="shared" si="4"/>
        <v>26026875.34</v>
      </c>
    </row>
    <row r="31" spans="2:11" s="747" customFormat="1" ht="15.6">
      <c r="B31" s="703" t="s">
        <v>768</v>
      </c>
      <c r="C31" s="748">
        <f>+'PRESENTACIÓN 05-25'!J12</f>
        <v>3701175.97</v>
      </c>
      <c r="D31" s="751">
        <f>+'Compromisos 05-25'!L33</f>
        <v>1770000</v>
      </c>
      <c r="E31" s="751">
        <f>+'Compromisos 05-25'!M33</f>
        <v>1770000</v>
      </c>
      <c r="F31" s="751">
        <f>+'Compromisos 05-25'!N33</f>
        <v>1770000</v>
      </c>
      <c r="G31" s="751">
        <f>+'Compromisos 05-25'!O33</f>
        <v>1770000</v>
      </c>
      <c r="H31" s="751">
        <f>+'Compromisos 05-25'!P33</f>
        <v>1770000</v>
      </c>
      <c r="I31" s="751">
        <f>+'Compromisos 05-25'!Q33</f>
        <v>1770000</v>
      </c>
      <c r="J31" s="751">
        <f>+'Compromisos 05-25'!R33</f>
        <v>1770000</v>
      </c>
      <c r="K31" s="814">
        <f t="shared" si="4"/>
        <v>16091175.970000001</v>
      </c>
    </row>
    <row r="32" spans="2:11" s="747" customFormat="1" ht="15.6">
      <c r="B32" s="703" t="s">
        <v>1293</v>
      </c>
      <c r="C32" s="749">
        <f>+'BCE 05-25'!K24</f>
        <v>3097831.64</v>
      </c>
      <c r="D32" s="750">
        <f>+'Compromisos 05-25'!L35</f>
        <v>825710.8</v>
      </c>
      <c r="E32" s="750">
        <f>+'Compromisos 05-25'!M35</f>
        <v>825710.8</v>
      </c>
      <c r="F32" s="750">
        <f>+'Compromisos 05-25'!N35</f>
        <v>825710.8</v>
      </c>
      <c r="G32" s="750">
        <f>+'Compromisos 05-25'!O35</f>
        <v>825710.8</v>
      </c>
      <c r="H32" s="750">
        <f>+'Compromisos 05-25'!P35</f>
        <v>825710.8</v>
      </c>
      <c r="I32" s="750">
        <f>+'Compromisos 05-25'!Q35</f>
        <v>825710.8</v>
      </c>
      <c r="J32" s="750">
        <f>+'Compromisos 05-25'!R35</f>
        <v>825710.8</v>
      </c>
      <c r="K32" s="813">
        <f t="shared" si="4"/>
        <v>8877807.2400000002</v>
      </c>
    </row>
    <row r="33" spans="2:11" s="747" customFormat="1" ht="18" customHeight="1">
      <c r="B33" s="752" t="s">
        <v>962</v>
      </c>
      <c r="C33" s="748">
        <f>+'BCE 05-25'!K23</f>
        <v>1534000</v>
      </c>
      <c r="D33" s="751">
        <f>+'Compromisos 05-25'!L36</f>
        <v>767000</v>
      </c>
      <c r="E33" s="751">
        <f>+'Compromisos 05-25'!M36</f>
        <v>767000</v>
      </c>
      <c r="F33" s="751">
        <f>+'Compromisos 05-25'!N36</f>
        <v>767000</v>
      </c>
      <c r="G33" s="751">
        <f>+'Compromisos 05-25'!O36</f>
        <v>767000</v>
      </c>
      <c r="H33" s="751">
        <f>+'Compromisos 05-25'!P36</f>
        <v>767000</v>
      </c>
      <c r="I33" s="751">
        <f>+'Compromisos 05-25'!Q36</f>
        <v>767000</v>
      </c>
      <c r="J33" s="751">
        <f>+'Compromisos 05-25'!R36</f>
        <v>767000</v>
      </c>
      <c r="K33" s="814">
        <f t="shared" si="4"/>
        <v>6903000</v>
      </c>
    </row>
    <row r="34" spans="2:11" ht="15.6">
      <c r="B34" s="752" t="s">
        <v>770</v>
      </c>
      <c r="C34" s="743">
        <v>0</v>
      </c>
      <c r="D34" s="742"/>
      <c r="E34" s="742">
        <v>11802000.000000002</v>
      </c>
      <c r="F34" s="742">
        <v>11802000.000000002</v>
      </c>
      <c r="G34" s="742">
        <v>11802000.000000002</v>
      </c>
      <c r="H34" s="742"/>
      <c r="I34" s="742"/>
      <c r="J34" s="742"/>
      <c r="K34" s="811">
        <f t="shared" si="4"/>
        <v>35406000.000000007</v>
      </c>
    </row>
    <row r="35" spans="2:11" hidden="1">
      <c r="B35" s="753"/>
      <c r="C35" s="755"/>
      <c r="D35" s="754"/>
      <c r="E35" s="754"/>
      <c r="F35" s="754"/>
      <c r="G35" s="754"/>
      <c r="H35" s="754"/>
      <c r="I35" s="754"/>
      <c r="J35" s="754"/>
      <c r="K35" s="815">
        <f t="shared" si="4"/>
        <v>0</v>
      </c>
    </row>
    <row r="36" spans="2:11" hidden="1">
      <c r="B36" s="753"/>
      <c r="C36" s="755"/>
      <c r="D36" s="754"/>
      <c r="E36" s="754"/>
      <c r="F36" s="754"/>
      <c r="G36" s="754"/>
      <c r="H36" s="754"/>
      <c r="I36" s="754"/>
      <c r="J36" s="754"/>
      <c r="K36" s="815">
        <f t="shared" si="4"/>
        <v>0</v>
      </c>
    </row>
    <row r="37" spans="2:11" ht="16.2" thickBot="1">
      <c r="B37" s="756" t="s">
        <v>1294</v>
      </c>
      <c r="C37" s="758">
        <f>((+C19*0.15)/12)*2</f>
        <v>555000</v>
      </c>
      <c r="D37" s="757">
        <f>((+C19*0.15)/12)</f>
        <v>277500</v>
      </c>
      <c r="E37" s="757">
        <f>((+D20*0.15)/12)</f>
        <v>427500</v>
      </c>
      <c r="F37" s="757">
        <f>((+F20*0.15)/12)</f>
        <v>1261250</v>
      </c>
      <c r="G37" s="757">
        <f>((+G20*0.15)/12)</f>
        <v>1655000</v>
      </c>
      <c r="H37" s="757">
        <f t="shared" ref="H37:J37" si="5">((+H20*0.15)/12)</f>
        <v>393750</v>
      </c>
      <c r="I37" s="757">
        <f t="shared" si="5"/>
        <v>0</v>
      </c>
      <c r="J37" s="757">
        <f t="shared" si="5"/>
        <v>0</v>
      </c>
      <c r="K37" s="816">
        <f>SUM(C37:J37)</f>
        <v>4570000</v>
      </c>
    </row>
    <row r="38" spans="2:11" ht="16.2" thickBot="1">
      <c r="B38" s="759"/>
    </row>
    <row r="39" spans="2:11">
      <c r="B39" s="760" t="s">
        <v>1295</v>
      </c>
      <c r="C39" s="761">
        <v>140500</v>
      </c>
    </row>
    <row r="40" spans="2:11">
      <c r="B40" s="762" t="s">
        <v>1296</v>
      </c>
      <c r="C40" s="763">
        <f>+C39*80</f>
        <v>11240000</v>
      </c>
    </row>
    <row r="41" spans="2:11">
      <c r="B41" s="762" t="s">
        <v>1297</v>
      </c>
      <c r="C41" s="763">
        <f>+C40*0.07</f>
        <v>786800.00000000012</v>
      </c>
      <c r="D41" s="817"/>
    </row>
    <row r="42" spans="2:11">
      <c r="B42" s="762" t="s">
        <v>1298</v>
      </c>
      <c r="C42" s="763">
        <v>60</v>
      </c>
    </row>
    <row r="43" spans="2:11">
      <c r="B43" s="764" t="s">
        <v>1299</v>
      </c>
      <c r="C43" s="765">
        <f>+C41*C42</f>
        <v>47208000.000000007</v>
      </c>
    </row>
    <row r="44" spans="2:11" ht="15" thickBot="1">
      <c r="B44" s="766" t="s">
        <v>1300</v>
      </c>
      <c r="C44" s="767">
        <f>+C43/4</f>
        <v>11802000.000000002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19CFE-EE84-42E8-B0AA-B06B19D56431}">
  <dimension ref="A1:G17"/>
  <sheetViews>
    <sheetView workbookViewId="0">
      <selection activeCell="F36" sqref="F36"/>
    </sheetView>
  </sheetViews>
  <sheetFormatPr baseColWidth="10" defaultColWidth="11.44140625" defaultRowHeight="14.4"/>
  <cols>
    <col min="1" max="1" width="35.109375" bestFit="1" customWidth="1"/>
    <col min="2" max="2" width="20.33203125" style="370" customWidth="1"/>
    <col min="3" max="3" width="21.44140625" style="370" customWidth="1"/>
    <col min="4" max="4" width="18.33203125" style="370" customWidth="1"/>
    <col min="5" max="5" width="16.5546875" style="370" customWidth="1"/>
    <col min="6" max="6" width="16.6640625" style="549" customWidth="1"/>
    <col min="7" max="7" width="15" style="370" bestFit="1" customWidth="1"/>
    <col min="8" max="8" width="14" bestFit="1" customWidth="1"/>
    <col min="9" max="9" width="14.6640625" bestFit="1" customWidth="1"/>
  </cols>
  <sheetData>
    <row r="1" spans="1:6" s="546" customFormat="1" ht="43.2">
      <c r="A1" s="523" t="s">
        <v>458</v>
      </c>
      <c r="B1" s="548" t="s">
        <v>788</v>
      </c>
      <c r="C1" s="548" t="s">
        <v>848</v>
      </c>
      <c r="D1" s="548" t="s">
        <v>885</v>
      </c>
      <c r="E1" s="548" t="s">
        <v>850</v>
      </c>
      <c r="F1" s="548" t="s">
        <v>851</v>
      </c>
    </row>
    <row r="2" spans="1:6">
      <c r="A2" t="s">
        <v>65</v>
      </c>
      <c r="B2" s="370">
        <v>103385169</v>
      </c>
      <c r="C2" s="370">
        <v>0</v>
      </c>
      <c r="D2" s="370">
        <v>103385169</v>
      </c>
      <c r="E2" s="370">
        <v>94191221.829999998</v>
      </c>
      <c r="F2" s="549">
        <v>94191221.829999998</v>
      </c>
    </row>
    <row r="3" spans="1:6">
      <c r="A3" t="s">
        <v>68</v>
      </c>
      <c r="B3" s="370">
        <v>20789999.999999996</v>
      </c>
      <c r="C3" s="370">
        <v>0</v>
      </c>
      <c r="D3" s="370">
        <v>20790000</v>
      </c>
      <c r="E3" s="583">
        <v>22198724.059999999</v>
      </c>
      <c r="F3" s="549">
        <v>21715435.649999999</v>
      </c>
    </row>
    <row r="4" spans="1:6">
      <c r="A4" t="s">
        <v>78</v>
      </c>
      <c r="B4" s="370">
        <v>451758999.99999994</v>
      </c>
      <c r="C4" s="370">
        <v>0</v>
      </c>
      <c r="D4" s="370">
        <v>451758999.99999994</v>
      </c>
      <c r="E4" s="370">
        <v>39326322.909999996</v>
      </c>
      <c r="F4" s="549">
        <v>10067896.529999999</v>
      </c>
    </row>
    <row r="5" spans="1:6">
      <c r="A5" t="s">
        <v>90</v>
      </c>
      <c r="B5" s="370">
        <v>1265953920</v>
      </c>
      <c r="C5" s="370">
        <v>0</v>
      </c>
      <c r="D5" s="370">
        <v>1265953920</v>
      </c>
      <c r="F5" s="549">
        <v>0</v>
      </c>
    </row>
    <row r="6" spans="1:6">
      <c r="A6" t="s">
        <v>105</v>
      </c>
      <c r="B6" s="370">
        <v>171771292</v>
      </c>
      <c r="C6" s="370">
        <v>18198088</v>
      </c>
      <c r="D6" s="370">
        <v>189969380</v>
      </c>
      <c r="E6" s="370">
        <v>14309162.52</v>
      </c>
      <c r="F6" s="549">
        <v>11533325.91</v>
      </c>
    </row>
    <row r="7" spans="1:6">
      <c r="A7" t="s">
        <v>108</v>
      </c>
      <c r="B7" s="370">
        <v>34354258</v>
      </c>
      <c r="C7" s="370">
        <v>3639618</v>
      </c>
      <c r="D7" s="370">
        <v>37993876</v>
      </c>
      <c r="E7" s="370">
        <v>147108.54</v>
      </c>
      <c r="F7" s="549">
        <v>147108.54</v>
      </c>
    </row>
    <row r="8" spans="1:6">
      <c r="A8" t="s">
        <v>816</v>
      </c>
      <c r="B8" s="370">
        <v>0</v>
      </c>
      <c r="C8" s="370">
        <v>37993876</v>
      </c>
      <c r="D8" s="370">
        <v>37993876</v>
      </c>
      <c r="F8" s="549">
        <v>0</v>
      </c>
    </row>
    <row r="9" spans="1:6">
      <c r="A9" t="s">
        <v>112</v>
      </c>
      <c r="B9" s="370">
        <v>137417034</v>
      </c>
      <c r="C9" s="370">
        <v>14558470</v>
      </c>
      <c r="D9" s="370">
        <v>151975504</v>
      </c>
      <c r="E9" s="370">
        <v>5471175.9699999997</v>
      </c>
      <c r="F9" s="370">
        <v>5471175.9699999997</v>
      </c>
    </row>
    <row r="10" spans="1:6">
      <c r="A10" t="s">
        <v>115</v>
      </c>
      <c r="B10" s="370">
        <v>281704919</v>
      </c>
      <c r="C10" s="370">
        <v>26425415</v>
      </c>
      <c r="D10" s="370">
        <v>308130334</v>
      </c>
      <c r="E10" s="370">
        <v>7823997.9900000002</v>
      </c>
      <c r="F10" s="370">
        <v>6224542.46</v>
      </c>
    </row>
    <row r="11" spans="1:6">
      <c r="A11" t="s">
        <v>119</v>
      </c>
      <c r="B11" s="370">
        <v>67334346</v>
      </c>
      <c r="C11" s="370">
        <v>8463436</v>
      </c>
      <c r="D11" s="370">
        <v>75797782</v>
      </c>
      <c r="E11" s="370">
        <v>872698.01</v>
      </c>
      <c r="F11" s="370">
        <v>872698.01</v>
      </c>
    </row>
    <row r="12" spans="1:6">
      <c r="A12" t="s">
        <v>122</v>
      </c>
      <c r="B12" s="370">
        <v>51531387.949999996</v>
      </c>
      <c r="C12" s="370">
        <v>5459426.0500000045</v>
      </c>
      <c r="D12" s="370">
        <v>56990814</v>
      </c>
      <c r="E12" s="370">
        <v>23387694.100000001</v>
      </c>
      <c r="F12" s="549">
        <v>18260711.260000002</v>
      </c>
    </row>
    <row r="13" spans="1:6">
      <c r="A13" t="s">
        <v>126</v>
      </c>
      <c r="B13" s="370">
        <v>19238385</v>
      </c>
      <c r="C13" s="370">
        <v>2418121</v>
      </c>
      <c r="D13" s="370">
        <v>21656506</v>
      </c>
      <c r="F13" s="549">
        <v>0</v>
      </c>
    </row>
    <row r="14" spans="1:6">
      <c r="A14" t="s">
        <v>193</v>
      </c>
      <c r="B14" s="370">
        <v>15000000</v>
      </c>
      <c r="C14" s="370">
        <v>15500000</v>
      </c>
      <c r="D14" s="370">
        <v>30500000</v>
      </c>
      <c r="E14" s="370">
        <v>19316917.620000001</v>
      </c>
      <c r="F14" s="549">
        <v>14052404.33</v>
      </c>
    </row>
    <row r="15" spans="1:6">
      <c r="A15" t="s">
        <v>133</v>
      </c>
      <c r="B15" s="370">
        <v>19238385</v>
      </c>
      <c r="C15" s="370">
        <v>2418124</v>
      </c>
      <c r="D15" s="370">
        <v>21656509</v>
      </c>
      <c r="F15" s="549">
        <v>0</v>
      </c>
    </row>
    <row r="16" spans="1:6">
      <c r="A16" t="s">
        <v>136</v>
      </c>
      <c r="B16" s="370">
        <v>192383847</v>
      </c>
      <c r="C16" s="370">
        <v>24181246</v>
      </c>
      <c r="D16" s="370">
        <v>216565093</v>
      </c>
      <c r="F16" s="549">
        <v>0</v>
      </c>
    </row>
    <row r="17" spans="2:6">
      <c r="B17" s="432">
        <f t="shared" ref="B17:F17" si="0">SUM(B2:B16)</f>
        <v>2831861942.9499998</v>
      </c>
      <c r="C17" s="432">
        <f t="shared" si="0"/>
        <v>159255820.05000001</v>
      </c>
      <c r="D17" s="432">
        <f t="shared" si="0"/>
        <v>2991117763</v>
      </c>
      <c r="E17" s="432">
        <f>SUM(E2:E16)</f>
        <v>227045023.55000001</v>
      </c>
      <c r="F17" s="550">
        <f t="shared" si="0"/>
        <v>182536520.48999998</v>
      </c>
    </row>
  </sheetData>
  <autoFilter ref="A1:F1" xr:uid="{DCFAD519-5D8F-4964-9E95-1F3AB7E20DF4}"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F0841-86E6-46D3-981E-E27E1DA2729F}">
  <dimension ref="A1:G11"/>
  <sheetViews>
    <sheetView workbookViewId="0">
      <selection activeCell="F36" sqref="F36"/>
    </sheetView>
  </sheetViews>
  <sheetFormatPr baseColWidth="10" defaultColWidth="11.44140625" defaultRowHeight="14.4"/>
  <cols>
    <col min="1" max="1" width="44.6640625" bestFit="1" customWidth="1"/>
    <col min="2" max="2" width="11" bestFit="1" customWidth="1"/>
    <col min="3" max="3" width="12.6640625" style="370" bestFit="1" customWidth="1"/>
    <col min="4" max="4" width="14.5546875" style="370" customWidth="1"/>
    <col min="5" max="5" width="32.5546875" customWidth="1"/>
    <col min="6" max="6" width="32.109375" bestFit="1" customWidth="1"/>
    <col min="7" max="7" width="33.6640625" bestFit="1" customWidth="1"/>
  </cols>
  <sheetData>
    <row r="1" spans="1:7">
      <c r="A1" t="s">
        <v>707</v>
      </c>
      <c r="B1" t="s">
        <v>708</v>
      </c>
      <c r="C1" s="370" t="s">
        <v>164</v>
      </c>
      <c r="D1" s="370" t="s">
        <v>709</v>
      </c>
      <c r="E1" t="s">
        <v>817</v>
      </c>
      <c r="F1" t="s">
        <v>710</v>
      </c>
      <c r="G1" t="s">
        <v>852</v>
      </c>
    </row>
    <row r="2" spans="1:7">
      <c r="A2" t="s">
        <v>735</v>
      </c>
      <c r="B2" s="193">
        <v>45469</v>
      </c>
      <c r="C2" s="370">
        <v>38250</v>
      </c>
      <c r="D2" s="370">
        <v>38250</v>
      </c>
      <c r="E2" t="s">
        <v>821</v>
      </c>
      <c r="F2" t="s">
        <v>853</v>
      </c>
      <c r="G2" t="s">
        <v>853</v>
      </c>
    </row>
    <row r="3" spans="1:7">
      <c r="A3" t="s">
        <v>737</v>
      </c>
      <c r="B3" s="193">
        <v>45429</v>
      </c>
      <c r="C3" s="370">
        <v>40000</v>
      </c>
      <c r="D3" s="370">
        <v>40000</v>
      </c>
      <c r="E3" t="s">
        <v>738</v>
      </c>
      <c r="F3" t="s">
        <v>853</v>
      </c>
      <c r="G3" t="s">
        <v>853</v>
      </c>
    </row>
    <row r="4" spans="1:7">
      <c r="A4" t="s">
        <v>369</v>
      </c>
      <c r="B4" s="193">
        <v>45266</v>
      </c>
      <c r="C4" s="370">
        <v>273000</v>
      </c>
      <c r="D4" s="370">
        <v>273000</v>
      </c>
      <c r="E4" t="s">
        <v>911</v>
      </c>
      <c r="F4" t="s">
        <v>853</v>
      </c>
      <c r="G4" t="s">
        <v>853</v>
      </c>
    </row>
    <row r="5" spans="1:7">
      <c r="A5" t="s">
        <v>400</v>
      </c>
      <c r="B5" s="193">
        <v>45747</v>
      </c>
      <c r="C5" s="370">
        <v>10000</v>
      </c>
      <c r="D5" s="370">
        <v>10000</v>
      </c>
      <c r="E5" t="s">
        <v>913</v>
      </c>
      <c r="F5" t="s">
        <v>859</v>
      </c>
      <c r="G5" t="s">
        <v>860</v>
      </c>
    </row>
    <row r="6" spans="1:7">
      <c r="A6" t="s">
        <v>715</v>
      </c>
      <c r="B6" s="193">
        <v>45771</v>
      </c>
      <c r="C6" s="370">
        <v>3200000</v>
      </c>
      <c r="D6" s="370">
        <v>3200000</v>
      </c>
      <c r="E6" t="s">
        <v>1023</v>
      </c>
      <c r="F6" t="s">
        <v>1024</v>
      </c>
      <c r="G6" t="s">
        <v>1025</v>
      </c>
    </row>
    <row r="7" spans="1:7">
      <c r="A7" t="s">
        <v>1111</v>
      </c>
      <c r="B7" s="193">
        <v>45785</v>
      </c>
      <c r="C7" s="370">
        <v>606726.64</v>
      </c>
      <c r="D7" s="370">
        <v>606726.64</v>
      </c>
      <c r="E7" t="s">
        <v>1188</v>
      </c>
      <c r="F7" t="s">
        <v>1024</v>
      </c>
      <c r="G7" t="s">
        <v>1025</v>
      </c>
    </row>
    <row r="8" spans="1:7">
      <c r="A8" t="s">
        <v>1084</v>
      </c>
      <c r="B8" s="193">
        <v>45805</v>
      </c>
      <c r="C8" s="370">
        <v>5000000</v>
      </c>
      <c r="D8" s="370">
        <v>5000000</v>
      </c>
      <c r="E8" t="s">
        <v>1189</v>
      </c>
      <c r="F8" t="s">
        <v>1024</v>
      </c>
      <c r="G8" t="s">
        <v>1025</v>
      </c>
    </row>
    <row r="9" spans="1:7">
      <c r="A9" t="s">
        <v>1084</v>
      </c>
      <c r="B9" s="193">
        <v>45826</v>
      </c>
      <c r="C9" s="370">
        <v>5000000</v>
      </c>
      <c r="D9" s="370">
        <v>5000000</v>
      </c>
      <c r="E9" t="s">
        <v>1189</v>
      </c>
      <c r="F9" t="s">
        <v>1024</v>
      </c>
      <c r="G9" t="s">
        <v>1025</v>
      </c>
    </row>
    <row r="10" spans="1:7">
      <c r="A10" t="s">
        <v>948</v>
      </c>
      <c r="B10" s="193">
        <v>45826</v>
      </c>
      <c r="C10" s="370">
        <v>1007500</v>
      </c>
      <c r="D10" s="370">
        <v>1007500</v>
      </c>
      <c r="E10" t="s">
        <v>1301</v>
      </c>
      <c r="F10" t="s">
        <v>859</v>
      </c>
      <c r="G10" t="s">
        <v>860</v>
      </c>
    </row>
    <row r="11" spans="1:7">
      <c r="D11" s="432">
        <f>SUM(D2:D10)</f>
        <v>15175476.640000001</v>
      </c>
    </row>
  </sheetData>
  <autoFilter ref="A1:G1" xr:uid="{8F833D8D-E3A2-49C0-BA28-FAE8897AAB0B}">
    <sortState xmlns:xlrd2="http://schemas.microsoft.com/office/spreadsheetml/2017/richdata2" ref="A2:G5">
      <sortCondition ref="G1"/>
    </sortState>
  </autoFilter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41B25-C90D-4F5D-BC82-EB5D17597135}">
  <dimension ref="A1:F69"/>
  <sheetViews>
    <sheetView showGridLines="0" zoomScaleNormal="100" workbookViewId="0">
      <selection activeCell="F36" sqref="F36"/>
    </sheetView>
  </sheetViews>
  <sheetFormatPr baseColWidth="10" defaultColWidth="8" defaultRowHeight="11.4"/>
  <cols>
    <col min="1" max="1" width="33.33203125" style="408" customWidth="1"/>
    <col min="2" max="2" width="12.6640625" style="408" customWidth="1"/>
    <col min="3" max="3" width="11.5546875" style="408" customWidth="1"/>
    <col min="4" max="4" width="24.6640625" style="408" customWidth="1"/>
    <col min="5" max="5" width="11.44140625" style="408" customWidth="1"/>
    <col min="6" max="6" width="67.6640625" style="408" bestFit="1" customWidth="1"/>
    <col min="7" max="16384" width="8" style="408"/>
  </cols>
  <sheetData>
    <row r="1" spans="1:6" s="405" customFormat="1" ht="16.649999999999999" customHeight="1">
      <c r="A1" s="404" t="s">
        <v>771</v>
      </c>
      <c r="B1" s="404"/>
      <c r="C1" s="404"/>
      <c r="D1" s="404"/>
      <c r="E1" s="404"/>
      <c r="F1" s="404"/>
    </row>
    <row r="2" spans="1:6" s="407" customFormat="1" ht="14.4" customHeight="1">
      <c r="A2" s="406" t="s">
        <v>236</v>
      </c>
      <c r="B2" s="406"/>
      <c r="C2" s="406"/>
      <c r="D2" s="406"/>
      <c r="E2" s="406"/>
      <c r="F2" s="406"/>
    </row>
    <row r="3" spans="1:6" s="407" customFormat="1" ht="14.4" customHeight="1">
      <c r="A3" s="406" t="s">
        <v>1302</v>
      </c>
      <c r="B3" s="406"/>
      <c r="C3" s="406"/>
      <c r="D3" s="406"/>
      <c r="E3" s="406"/>
      <c r="F3" s="406"/>
    </row>
    <row r="4" spans="1:6" s="407" customFormat="1" ht="14.4" customHeight="1">
      <c r="A4" s="406" t="s">
        <v>724</v>
      </c>
      <c r="B4" s="406"/>
      <c r="C4" s="406"/>
      <c r="D4" s="406"/>
      <c r="E4" s="406"/>
      <c r="F4" s="406"/>
    </row>
    <row r="5" spans="1:6" ht="13.35" customHeight="1"/>
    <row r="6" spans="1:6" s="412" customFormat="1" ht="12.15" customHeight="1">
      <c r="A6" s="410" t="s">
        <v>690</v>
      </c>
      <c r="B6" s="410" t="s">
        <v>689</v>
      </c>
      <c r="C6" s="410" t="s">
        <v>823</v>
      </c>
      <c r="D6" s="410" t="s">
        <v>773</v>
      </c>
      <c r="E6" s="411" t="s">
        <v>164</v>
      </c>
      <c r="F6" s="410" t="s">
        <v>862</v>
      </c>
    </row>
    <row r="7" spans="1:6" ht="10.95" customHeight="1">
      <c r="A7" s="421" t="s">
        <v>1171</v>
      </c>
      <c r="B7" s="429">
        <v>45804</v>
      </c>
      <c r="C7" s="429">
        <v>45804</v>
      </c>
      <c r="D7" s="421" t="s">
        <v>1195</v>
      </c>
      <c r="E7" s="422">
        <v>59166.68</v>
      </c>
      <c r="F7" s="421" t="s">
        <v>1192</v>
      </c>
    </row>
    <row r="8" spans="1:6" ht="10.95" customHeight="1">
      <c r="A8" s="414" t="s">
        <v>1013</v>
      </c>
      <c r="B8" s="430">
        <v>45820</v>
      </c>
      <c r="C8" s="430">
        <v>45820</v>
      </c>
      <c r="D8" s="414" t="s">
        <v>1303</v>
      </c>
      <c r="E8" s="415">
        <v>118808.59</v>
      </c>
      <c r="F8" s="414" t="s">
        <v>1192</v>
      </c>
    </row>
    <row r="9" spans="1:6" ht="10.95" customHeight="1">
      <c r="A9" s="414" t="s">
        <v>1172</v>
      </c>
      <c r="B9" s="430">
        <v>45831</v>
      </c>
      <c r="C9" s="430">
        <v>45831</v>
      </c>
      <c r="D9" s="414" t="s">
        <v>1304</v>
      </c>
      <c r="E9" s="415">
        <v>59404.29</v>
      </c>
      <c r="F9" s="414" t="s">
        <v>1192</v>
      </c>
    </row>
    <row r="10" spans="1:6" ht="10.95" customHeight="1">
      <c r="A10" s="416" t="s">
        <v>164</v>
      </c>
      <c r="B10" s="416"/>
      <c r="C10" s="416"/>
      <c r="D10" s="416"/>
      <c r="E10" s="417">
        <f>SUM(E7:E9)</f>
        <v>237379.56</v>
      </c>
      <c r="F10" s="416"/>
    </row>
    <row r="11" spans="1:6" ht="13.35" customHeight="1"/>
    <row r="12" spans="1:6" s="412" customFormat="1" ht="12.15" customHeight="1">
      <c r="A12" s="409" t="s">
        <v>1196</v>
      </c>
      <c r="B12" s="409"/>
      <c r="C12" s="409"/>
      <c r="D12" s="409"/>
      <c r="E12" s="409"/>
      <c r="F12" s="409"/>
    </row>
    <row r="13" spans="1:6" ht="10.95" customHeight="1">
      <c r="A13" s="421" t="s">
        <v>436</v>
      </c>
      <c r="B13" s="429">
        <v>45789</v>
      </c>
      <c r="C13" s="429">
        <v>45789</v>
      </c>
      <c r="D13" s="421" t="s">
        <v>1197</v>
      </c>
      <c r="E13" s="422">
        <v>18016</v>
      </c>
      <c r="F13" s="421" t="s">
        <v>1198</v>
      </c>
    </row>
    <row r="14" spans="1:6" ht="10.95" customHeight="1">
      <c r="A14" s="416" t="s">
        <v>1199</v>
      </c>
      <c r="B14" s="416"/>
      <c r="C14" s="416"/>
      <c r="D14" s="416"/>
      <c r="E14" s="417">
        <f>E13</f>
        <v>18016</v>
      </c>
      <c r="F14" s="416"/>
    </row>
    <row r="15" spans="1:6" ht="13.35" customHeight="1"/>
    <row r="16" spans="1:6" s="412" customFormat="1" ht="12.15" customHeight="1">
      <c r="A16" s="409" t="s">
        <v>867</v>
      </c>
      <c r="B16" s="409"/>
      <c r="C16" s="409"/>
      <c r="D16" s="409"/>
      <c r="E16" s="409"/>
      <c r="F16" s="409"/>
    </row>
    <row r="17" spans="1:6" ht="10.95" customHeight="1">
      <c r="A17" s="421" t="s">
        <v>728</v>
      </c>
      <c r="B17" s="429">
        <v>45796</v>
      </c>
      <c r="C17" s="429">
        <v>45796</v>
      </c>
      <c r="D17" s="421" t="s">
        <v>1201</v>
      </c>
      <c r="E17" s="422">
        <v>50670</v>
      </c>
      <c r="F17" s="421" t="s">
        <v>889</v>
      </c>
    </row>
    <row r="18" spans="1:6" ht="10.95" customHeight="1">
      <c r="A18" s="416" t="s">
        <v>890</v>
      </c>
      <c r="B18" s="416"/>
      <c r="C18" s="416"/>
      <c r="D18" s="416"/>
      <c r="E18" s="417">
        <f>E17</f>
        <v>50670</v>
      </c>
      <c r="F18" s="416"/>
    </row>
    <row r="19" spans="1:6" ht="13.35" customHeight="1"/>
    <row r="20" spans="1:6" s="412" customFormat="1" ht="12.15" customHeight="1">
      <c r="A20" s="409" t="s">
        <v>1027</v>
      </c>
      <c r="B20" s="409"/>
      <c r="C20" s="409"/>
      <c r="D20" s="409"/>
      <c r="E20" s="409"/>
      <c r="F20" s="409"/>
    </row>
    <row r="21" spans="1:6" ht="10.95" customHeight="1">
      <c r="A21" s="421" t="s">
        <v>1202</v>
      </c>
      <c r="B21" s="429">
        <v>45804</v>
      </c>
      <c r="C21" s="429">
        <v>45808</v>
      </c>
      <c r="D21" s="421" t="s">
        <v>1203</v>
      </c>
      <c r="E21" s="422">
        <v>50122.86</v>
      </c>
      <c r="F21" s="421" t="s">
        <v>1030</v>
      </c>
    </row>
    <row r="22" spans="1:6" ht="10.95" customHeight="1">
      <c r="A22" s="421" t="s">
        <v>715</v>
      </c>
      <c r="B22" s="429">
        <v>45832</v>
      </c>
      <c r="C22" s="429">
        <v>45838</v>
      </c>
      <c r="D22" s="421" t="s">
        <v>1305</v>
      </c>
      <c r="E22" s="422">
        <v>401816.36</v>
      </c>
      <c r="F22" s="421" t="s">
        <v>1030</v>
      </c>
    </row>
    <row r="23" spans="1:6" ht="10.95" customHeight="1">
      <c r="A23" s="416" t="s">
        <v>1034</v>
      </c>
      <c r="B23" s="416"/>
      <c r="C23" s="416"/>
      <c r="D23" s="416"/>
      <c r="E23" s="417">
        <f>SUM(E21:E22)</f>
        <v>451939.22</v>
      </c>
      <c r="F23" s="416"/>
    </row>
    <row r="24" spans="1:6" ht="13.35" customHeight="1"/>
    <row r="25" spans="1:6" s="412" customFormat="1" ht="12.15" customHeight="1">
      <c r="A25" s="409" t="s">
        <v>878</v>
      </c>
      <c r="B25" s="409"/>
      <c r="C25" s="409"/>
      <c r="D25" s="409"/>
      <c r="E25" s="409"/>
      <c r="F25" s="409"/>
    </row>
    <row r="26" spans="1:6" ht="10.95" customHeight="1">
      <c r="A26" s="421" t="s">
        <v>715</v>
      </c>
      <c r="B26" s="429">
        <v>45832</v>
      </c>
      <c r="C26" s="429">
        <v>45838</v>
      </c>
      <c r="D26" s="421" t="s">
        <v>1305</v>
      </c>
      <c r="E26" s="422">
        <v>57857.34</v>
      </c>
      <c r="F26" s="421" t="s">
        <v>1037</v>
      </c>
    </row>
    <row r="27" spans="1:6" ht="10.95" customHeight="1">
      <c r="A27" s="416" t="s">
        <v>1038</v>
      </c>
      <c r="B27" s="416"/>
      <c r="C27" s="416"/>
      <c r="D27" s="416"/>
      <c r="E27" s="417">
        <f>SUM(E26:E26)</f>
        <v>57857.34</v>
      </c>
      <c r="F27" s="416"/>
    </row>
    <row r="28" spans="1:6" ht="13.35" customHeight="1"/>
    <row r="29" spans="1:6" s="412" customFormat="1" ht="12.15" customHeight="1">
      <c r="A29" s="409" t="s">
        <v>1306</v>
      </c>
      <c r="B29" s="409"/>
      <c r="C29" s="409"/>
      <c r="D29" s="409"/>
      <c r="E29" s="409"/>
      <c r="F29" s="409"/>
    </row>
    <row r="30" spans="1:6" ht="10.95" customHeight="1">
      <c r="A30" s="421" t="s">
        <v>1045</v>
      </c>
      <c r="B30" s="429">
        <v>45838</v>
      </c>
      <c r="C30" s="429">
        <v>45838</v>
      </c>
      <c r="D30" s="421" t="s">
        <v>1307</v>
      </c>
      <c r="E30" s="422">
        <v>92323.199999999997</v>
      </c>
      <c r="F30" s="421" t="s">
        <v>1308</v>
      </c>
    </row>
    <row r="31" spans="1:6" ht="10.95" customHeight="1">
      <c r="A31" s="421" t="s">
        <v>715</v>
      </c>
      <c r="B31" s="429">
        <v>45832</v>
      </c>
      <c r="C31" s="429">
        <v>45838</v>
      </c>
      <c r="D31" s="421" t="s">
        <v>1309</v>
      </c>
      <c r="E31" s="422">
        <v>54785.34</v>
      </c>
      <c r="F31" s="421" t="s">
        <v>1310</v>
      </c>
    </row>
    <row r="32" spans="1:6" ht="10.95" customHeight="1">
      <c r="A32" s="416" t="s">
        <v>1311</v>
      </c>
      <c r="B32" s="416"/>
      <c r="C32" s="416"/>
      <c r="D32" s="416"/>
      <c r="E32" s="417">
        <f>SUM(E30:E31)</f>
        <v>147108.53999999998</v>
      </c>
      <c r="F32" s="416"/>
    </row>
    <row r="34" spans="1:6" s="412" customFormat="1" ht="12.15" customHeight="1">
      <c r="A34" s="409" t="s">
        <v>1312</v>
      </c>
      <c r="B34" s="409"/>
      <c r="C34" s="409"/>
      <c r="D34" s="409"/>
      <c r="E34" s="409"/>
      <c r="F34" s="409"/>
    </row>
    <row r="35" spans="1:6" ht="10.95" customHeight="1">
      <c r="A35" s="421" t="s">
        <v>389</v>
      </c>
      <c r="B35" s="429">
        <v>45814</v>
      </c>
      <c r="C35" s="429">
        <v>45814</v>
      </c>
      <c r="D35" s="421" t="s">
        <v>1313</v>
      </c>
      <c r="E35" s="422">
        <v>335100</v>
      </c>
      <c r="F35" s="421" t="s">
        <v>1314</v>
      </c>
    </row>
    <row r="36" spans="1:6" ht="10.95" customHeight="1">
      <c r="A36" s="416" t="s">
        <v>1315</v>
      </c>
      <c r="B36" s="416"/>
      <c r="C36" s="416"/>
      <c r="D36" s="416"/>
      <c r="E36" s="417">
        <f>SUM(E35:E35)</f>
        <v>335100</v>
      </c>
      <c r="F36" s="416"/>
    </row>
    <row r="37" spans="1:6" ht="13.35" customHeight="1"/>
    <row r="38" spans="1:6" s="412" customFormat="1" ht="12.15" customHeight="1">
      <c r="A38" s="409" t="s">
        <v>864</v>
      </c>
      <c r="B38" s="409"/>
      <c r="C38" s="409"/>
      <c r="D38" s="409"/>
      <c r="E38" s="409"/>
      <c r="F38" s="409"/>
    </row>
    <row r="39" spans="1:6" ht="10.95" customHeight="1">
      <c r="A39" s="421" t="s">
        <v>1316</v>
      </c>
      <c r="B39" s="429">
        <v>45644</v>
      </c>
      <c r="C39" s="429">
        <v>45653</v>
      </c>
      <c r="D39" s="421" t="s">
        <v>1317</v>
      </c>
      <c r="E39" s="422">
        <v>16250</v>
      </c>
      <c r="F39" s="421" t="s">
        <v>868</v>
      </c>
    </row>
    <row r="40" spans="1:6" ht="10.95" customHeight="1">
      <c r="A40" s="414" t="s">
        <v>856</v>
      </c>
      <c r="B40" s="430">
        <v>45727</v>
      </c>
      <c r="C40" s="430">
        <v>45731</v>
      </c>
      <c r="D40" s="414" t="s">
        <v>1318</v>
      </c>
      <c r="E40" s="415">
        <v>826</v>
      </c>
      <c r="F40" s="414" t="s">
        <v>868</v>
      </c>
    </row>
    <row r="41" spans="1:6" ht="10.95" customHeight="1">
      <c r="A41" s="414" t="s">
        <v>1043</v>
      </c>
      <c r="B41" s="430">
        <v>45793</v>
      </c>
      <c r="C41" s="430">
        <v>45823</v>
      </c>
      <c r="D41" s="414" t="s">
        <v>1211</v>
      </c>
      <c r="E41" s="415">
        <v>12761.28</v>
      </c>
      <c r="F41" s="414" t="s">
        <v>876</v>
      </c>
    </row>
    <row r="42" spans="1:6" ht="10.95" customHeight="1">
      <c r="A42" s="414" t="s">
        <v>746</v>
      </c>
      <c r="B42" s="430">
        <v>45797</v>
      </c>
      <c r="C42" s="430">
        <v>45797</v>
      </c>
      <c r="D42" s="414" t="s">
        <v>1205</v>
      </c>
      <c r="E42" s="415">
        <v>21240</v>
      </c>
      <c r="F42" s="414" t="s">
        <v>868</v>
      </c>
    </row>
    <row r="43" spans="1:6" ht="10.95" customHeight="1">
      <c r="A43" s="414" t="s">
        <v>1049</v>
      </c>
      <c r="B43" s="430">
        <v>45800</v>
      </c>
      <c r="C43" s="430">
        <v>45800</v>
      </c>
      <c r="D43" s="414" t="s">
        <v>1206</v>
      </c>
      <c r="E43" s="415">
        <v>78881.960000000006</v>
      </c>
      <c r="F43" s="414" t="s">
        <v>868</v>
      </c>
    </row>
    <row r="44" spans="1:6" ht="10.95" customHeight="1">
      <c r="A44" s="414" t="s">
        <v>1207</v>
      </c>
      <c r="B44" s="430">
        <v>45800</v>
      </c>
      <c r="C44" s="430">
        <v>45830</v>
      </c>
      <c r="D44" s="414" t="s">
        <v>1208</v>
      </c>
      <c r="E44" s="415">
        <v>44132</v>
      </c>
      <c r="F44" s="414" t="s">
        <v>868</v>
      </c>
    </row>
    <row r="45" spans="1:6" ht="10.95" customHeight="1">
      <c r="A45" s="414" t="s">
        <v>1207</v>
      </c>
      <c r="B45" s="430">
        <v>45805</v>
      </c>
      <c r="C45" s="430">
        <v>45835</v>
      </c>
      <c r="D45" s="414" t="s">
        <v>1209</v>
      </c>
      <c r="E45" s="415">
        <v>44132</v>
      </c>
      <c r="F45" s="414" t="s">
        <v>868</v>
      </c>
    </row>
    <row r="46" spans="1:6" ht="10.95" customHeight="1">
      <c r="A46" s="414" t="s">
        <v>1043</v>
      </c>
      <c r="B46" s="430">
        <v>45807</v>
      </c>
      <c r="C46" s="430">
        <v>45823</v>
      </c>
      <c r="D46" s="414" t="s">
        <v>1212</v>
      </c>
      <c r="E46" s="415">
        <v>12936.98</v>
      </c>
      <c r="F46" s="414" t="s">
        <v>876</v>
      </c>
    </row>
    <row r="47" spans="1:6" ht="10.95" customHeight="1">
      <c r="A47" s="414" t="s">
        <v>1047</v>
      </c>
      <c r="B47" s="430">
        <v>45809</v>
      </c>
      <c r="C47" s="430">
        <v>45826</v>
      </c>
      <c r="D47" s="414" t="s">
        <v>1319</v>
      </c>
      <c r="E47" s="415">
        <v>186272.04</v>
      </c>
      <c r="F47" s="414" t="s">
        <v>892</v>
      </c>
    </row>
    <row r="48" spans="1:6" ht="10.95" customHeight="1">
      <c r="A48" s="414" t="s">
        <v>1045</v>
      </c>
      <c r="B48" s="430">
        <v>45809</v>
      </c>
      <c r="C48" s="430">
        <v>45833</v>
      </c>
      <c r="D48" s="414" t="s">
        <v>1320</v>
      </c>
      <c r="E48" s="415">
        <v>99038.8</v>
      </c>
      <c r="F48" s="414" t="s">
        <v>876</v>
      </c>
    </row>
    <row r="49" spans="1:6" ht="10.95" customHeight="1">
      <c r="A49" s="414" t="s">
        <v>420</v>
      </c>
      <c r="B49" s="430">
        <v>45810</v>
      </c>
      <c r="C49" s="430">
        <v>45838</v>
      </c>
      <c r="D49" s="414" t="s">
        <v>1321</v>
      </c>
      <c r="E49" s="415">
        <v>176258.56</v>
      </c>
      <c r="F49" s="414" t="s">
        <v>892</v>
      </c>
    </row>
    <row r="50" spans="1:6" ht="10.95" customHeight="1">
      <c r="A50" s="414" t="s">
        <v>935</v>
      </c>
      <c r="B50" s="430">
        <v>45821</v>
      </c>
      <c r="C50" s="430">
        <v>45838</v>
      </c>
      <c r="D50" s="414" t="s">
        <v>1322</v>
      </c>
      <c r="E50" s="415">
        <v>337480</v>
      </c>
      <c r="F50" s="414" t="s">
        <v>868</v>
      </c>
    </row>
    <row r="51" spans="1:6" ht="10.95" customHeight="1">
      <c r="A51" s="414" t="s">
        <v>1043</v>
      </c>
      <c r="B51" s="430">
        <v>45823</v>
      </c>
      <c r="C51" s="430">
        <v>45838</v>
      </c>
      <c r="D51" s="414" t="s">
        <v>1323</v>
      </c>
      <c r="E51" s="415">
        <v>14494.39</v>
      </c>
      <c r="F51" s="414" t="s">
        <v>876</v>
      </c>
    </row>
    <row r="52" spans="1:6" ht="10.95" customHeight="1">
      <c r="A52" s="414" t="s">
        <v>1043</v>
      </c>
      <c r="B52" s="430">
        <v>45824</v>
      </c>
      <c r="C52" s="430">
        <v>45854</v>
      </c>
      <c r="D52" s="414" t="s">
        <v>1324</v>
      </c>
      <c r="E52" s="415">
        <v>12867.27</v>
      </c>
      <c r="F52" s="414" t="s">
        <v>1041</v>
      </c>
    </row>
    <row r="53" spans="1:6" ht="10.95" customHeight="1">
      <c r="A53" s="414" t="s">
        <v>746</v>
      </c>
      <c r="B53" s="430">
        <v>45824</v>
      </c>
      <c r="C53" s="430">
        <v>45832</v>
      </c>
      <c r="D53" s="414" t="s">
        <v>1325</v>
      </c>
      <c r="E53" s="415">
        <v>21240</v>
      </c>
      <c r="F53" s="414" t="s">
        <v>868</v>
      </c>
    </row>
    <row r="54" spans="1:6" ht="10.95" customHeight="1">
      <c r="A54" s="414" t="s">
        <v>1043</v>
      </c>
      <c r="B54" s="430">
        <v>45832</v>
      </c>
      <c r="C54" s="430">
        <v>45862</v>
      </c>
      <c r="D54" s="414" t="s">
        <v>1326</v>
      </c>
      <c r="E54" s="415">
        <v>14528.58</v>
      </c>
      <c r="F54" s="414" t="s">
        <v>1041</v>
      </c>
    </row>
    <row r="55" spans="1:6" ht="10.95" customHeight="1">
      <c r="A55" s="414" t="s">
        <v>1207</v>
      </c>
      <c r="B55" s="430">
        <v>45834</v>
      </c>
      <c r="C55" s="430">
        <v>45864</v>
      </c>
      <c r="D55" s="414" t="s">
        <v>1327</v>
      </c>
      <c r="E55" s="415">
        <v>44132</v>
      </c>
      <c r="F55" s="414" t="s">
        <v>868</v>
      </c>
    </row>
    <row r="56" spans="1:6" ht="10.95" customHeight="1">
      <c r="A56" s="414" t="s">
        <v>1049</v>
      </c>
      <c r="B56" s="430">
        <v>45835</v>
      </c>
      <c r="C56" s="430">
        <v>45835</v>
      </c>
      <c r="D56" s="414" t="s">
        <v>1328</v>
      </c>
      <c r="E56" s="415">
        <v>155910.12</v>
      </c>
      <c r="F56" s="414" t="s">
        <v>868</v>
      </c>
    </row>
    <row r="57" spans="1:6" ht="10.95" customHeight="1">
      <c r="A57" s="421" t="s">
        <v>715</v>
      </c>
      <c r="B57" s="429">
        <v>45832</v>
      </c>
      <c r="C57" s="429">
        <v>45838</v>
      </c>
      <c r="D57" s="421" t="s">
        <v>1309</v>
      </c>
      <c r="E57" s="422">
        <v>258175.66</v>
      </c>
      <c r="F57" s="421" t="s">
        <v>1283</v>
      </c>
    </row>
    <row r="58" spans="1:6" ht="10.95" customHeight="1">
      <c r="A58" s="416" t="s">
        <v>895</v>
      </c>
      <c r="B58" s="416"/>
      <c r="C58" s="416"/>
      <c r="D58" s="416"/>
      <c r="E58" s="417">
        <f>SUM(E39:E57)</f>
        <v>1551557.64</v>
      </c>
      <c r="F58" s="416"/>
    </row>
    <row r="59" spans="1:6" ht="13.35" customHeight="1"/>
    <row r="60" spans="1:6" s="412" customFormat="1" ht="12.15" customHeight="1">
      <c r="A60" s="409" t="s">
        <v>916</v>
      </c>
      <c r="B60" s="409"/>
      <c r="C60" s="409"/>
      <c r="D60" s="409"/>
      <c r="E60" s="409"/>
      <c r="F60" s="409"/>
    </row>
    <row r="61" spans="1:6" ht="10.95" customHeight="1">
      <c r="A61" s="421" t="s">
        <v>1213</v>
      </c>
      <c r="B61" s="429">
        <v>45791</v>
      </c>
      <c r="C61" s="429">
        <v>45822</v>
      </c>
      <c r="D61" s="421" t="s">
        <v>1214</v>
      </c>
      <c r="E61" s="422">
        <v>120006</v>
      </c>
      <c r="F61" s="421" t="s">
        <v>919</v>
      </c>
    </row>
    <row r="62" spans="1:6" ht="10.95" customHeight="1">
      <c r="A62" s="414" t="s">
        <v>404</v>
      </c>
      <c r="B62" s="430">
        <v>45819</v>
      </c>
      <c r="C62" s="430">
        <v>45819</v>
      </c>
      <c r="D62" s="414" t="s">
        <v>1329</v>
      </c>
      <c r="E62" s="415">
        <v>77442</v>
      </c>
      <c r="F62" s="414" t="s">
        <v>919</v>
      </c>
    </row>
    <row r="63" spans="1:6" ht="10.95" customHeight="1">
      <c r="A63" s="414" t="s">
        <v>795</v>
      </c>
      <c r="B63" s="430">
        <v>45826</v>
      </c>
      <c r="C63" s="430">
        <v>45826</v>
      </c>
      <c r="D63" s="414" t="s">
        <v>1330</v>
      </c>
      <c r="E63" s="415">
        <v>352775.8</v>
      </c>
      <c r="F63" s="414" t="s">
        <v>919</v>
      </c>
    </row>
    <row r="64" spans="1:6" ht="10.95" customHeight="1">
      <c r="A64" s="421" t="s">
        <v>715</v>
      </c>
      <c r="B64" s="429">
        <v>45832</v>
      </c>
      <c r="C64" s="429">
        <v>45838</v>
      </c>
      <c r="D64" s="421" t="s">
        <v>1305</v>
      </c>
      <c r="E64" s="422">
        <v>88500</v>
      </c>
      <c r="F64" s="421" t="s">
        <v>919</v>
      </c>
    </row>
    <row r="65" spans="1:6" ht="10.95" customHeight="1">
      <c r="A65" s="416" t="s">
        <v>920</v>
      </c>
      <c r="B65" s="416"/>
      <c r="C65" s="416"/>
      <c r="D65" s="416"/>
      <c r="E65" s="417">
        <f>SUM(E61:E64)</f>
        <v>638723.80000000005</v>
      </c>
      <c r="F65" s="416"/>
    </row>
    <row r="66" spans="1:6" ht="13.35" customHeight="1"/>
    <row r="67" spans="1:6" ht="10.95" customHeight="1">
      <c r="A67" s="419" t="s">
        <v>164</v>
      </c>
      <c r="B67" s="419"/>
      <c r="C67" s="419"/>
      <c r="D67" s="419"/>
      <c r="E67" s="420">
        <f>SUM(E10,E14,E18,E23,E27,E32,E36,E58,E65)</f>
        <v>3488352.0999999996</v>
      </c>
      <c r="F67" s="419"/>
    </row>
    <row r="68" spans="1:6" ht="13.35" customHeight="1"/>
    <row r="69" spans="1:6">
      <c r="E69" s="425">
        <f>+E67-E10</f>
        <v>3250972.5399999996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321AD-D656-4B12-9B73-AB04ECD0B31C}">
  <dimension ref="A1:R111"/>
  <sheetViews>
    <sheetView topLeftCell="E1" workbookViewId="0">
      <pane ySplit="1" topLeftCell="A12" activePane="bottomLeft" state="frozen"/>
      <selection activeCell="F36" sqref="F36"/>
      <selection pane="bottomLeft" activeCell="F36" sqref="F36"/>
    </sheetView>
  </sheetViews>
  <sheetFormatPr baseColWidth="10" defaultColWidth="8.88671875" defaultRowHeight="14.4"/>
  <cols>
    <col min="1" max="1" width="23.5546875" hidden="1" customWidth="1"/>
    <col min="2" max="2" width="27" hidden="1" customWidth="1"/>
    <col min="3" max="3" width="28.44140625" customWidth="1"/>
    <col min="4" max="4" width="14" bestFit="1" customWidth="1"/>
    <col min="5" max="5" width="30.6640625" customWidth="1"/>
    <col min="6" max="6" width="21.109375" style="370" customWidth="1"/>
    <col min="7" max="7" width="7.44140625" style="370" customWidth="1"/>
    <col min="8" max="8" width="15.44140625" style="370" customWidth="1"/>
    <col min="9" max="9" width="13.109375" style="370" customWidth="1"/>
    <col min="10" max="10" width="15" style="370" bestFit="1" customWidth="1"/>
    <col min="11" max="11" width="14.5546875" customWidth="1"/>
    <col min="12" max="13" width="18.5546875" bestFit="1" customWidth="1"/>
    <col min="14" max="15" width="14" bestFit="1" customWidth="1"/>
    <col min="16" max="16" width="13.6640625" bestFit="1" customWidth="1"/>
    <col min="17" max="17" width="10" bestFit="1" customWidth="1"/>
    <col min="18" max="18" width="11.109375" bestFit="1" customWidth="1"/>
  </cols>
  <sheetData>
    <row r="1" spans="1:16" s="832" customFormat="1" ht="42.6" customHeight="1">
      <c r="A1" s="607" t="s">
        <v>1052</v>
      </c>
      <c r="B1" s="607" t="s">
        <v>1053</v>
      </c>
      <c r="C1" s="607" t="s">
        <v>1054</v>
      </c>
      <c r="D1" s="607" t="s">
        <v>1055</v>
      </c>
      <c r="E1" s="607" t="s">
        <v>1056</v>
      </c>
      <c r="F1" s="606" t="s">
        <v>1057</v>
      </c>
      <c r="G1" s="606" t="s">
        <v>1058</v>
      </c>
      <c r="H1" s="606" t="s">
        <v>1059</v>
      </c>
      <c r="I1" s="606" t="s">
        <v>1060</v>
      </c>
      <c r="J1" s="606" t="s">
        <v>1215</v>
      </c>
      <c r="K1" s="835">
        <v>45839</v>
      </c>
      <c r="L1" s="835">
        <v>45870</v>
      </c>
      <c r="M1" s="835">
        <v>45901</v>
      </c>
      <c r="N1" s="835">
        <v>45931</v>
      </c>
      <c r="O1" s="835">
        <v>45962</v>
      </c>
      <c r="P1" s="835">
        <v>45992</v>
      </c>
    </row>
    <row r="2" spans="1:16" s="832" customFormat="1" ht="12">
      <c r="A2" s="834"/>
      <c r="B2" s="834"/>
      <c r="C2" s="834"/>
      <c r="D2" s="834"/>
      <c r="E2" s="834"/>
      <c r="F2" s="833"/>
      <c r="G2" s="833"/>
      <c r="H2" s="833"/>
      <c r="I2" s="833"/>
      <c r="J2" s="833"/>
    </row>
    <row r="3" spans="1:16">
      <c r="A3" t="s">
        <v>480</v>
      </c>
      <c r="B3" t="s">
        <v>1216</v>
      </c>
      <c r="C3" t="s">
        <v>436</v>
      </c>
      <c r="D3" t="s">
        <v>1217</v>
      </c>
      <c r="E3" t="s">
        <v>1218</v>
      </c>
      <c r="F3" s="370">
        <v>18880</v>
      </c>
      <c r="H3" s="370">
        <v>18880</v>
      </c>
      <c r="I3" s="370">
        <v>18880</v>
      </c>
      <c r="J3" s="824">
        <v>18016</v>
      </c>
      <c r="K3" s="732">
        <f>+J3</f>
        <v>18016</v>
      </c>
      <c r="L3" s="732"/>
      <c r="M3" s="732"/>
      <c r="N3" s="732"/>
      <c r="O3" s="732"/>
      <c r="P3" s="732"/>
    </row>
    <row r="4" spans="1:16" s="373" customFormat="1" ht="12">
      <c r="A4" s="773"/>
      <c r="B4" s="773"/>
      <c r="C4" s="774" t="s">
        <v>33</v>
      </c>
      <c r="D4" s="773"/>
      <c r="E4" s="773"/>
      <c r="F4" s="772">
        <f t="shared" ref="F4:P4" si="0">SUM(F3)</f>
        <v>18880</v>
      </c>
      <c r="G4" s="772">
        <f t="shared" si="0"/>
        <v>0</v>
      </c>
      <c r="H4" s="772">
        <f t="shared" si="0"/>
        <v>18880</v>
      </c>
      <c r="I4" s="772">
        <f t="shared" si="0"/>
        <v>18880</v>
      </c>
      <c r="J4" s="771">
        <f t="shared" si="0"/>
        <v>18016</v>
      </c>
      <c r="K4" s="771">
        <f t="shared" si="0"/>
        <v>18016</v>
      </c>
      <c r="L4" s="771">
        <f t="shared" si="0"/>
        <v>0</v>
      </c>
      <c r="M4" s="771">
        <f t="shared" si="0"/>
        <v>0</v>
      </c>
      <c r="N4" s="771">
        <f t="shared" si="0"/>
        <v>0</v>
      </c>
      <c r="O4" s="771">
        <f t="shared" si="0"/>
        <v>0</v>
      </c>
      <c r="P4" s="771">
        <f t="shared" si="0"/>
        <v>0</v>
      </c>
    </row>
    <row r="5" spans="1:16">
      <c r="J5" s="824"/>
      <c r="K5" s="732"/>
      <c r="L5" s="732"/>
      <c r="M5" s="732"/>
      <c r="N5" s="732"/>
      <c r="O5" s="732"/>
      <c r="P5" s="732"/>
    </row>
    <row r="6" spans="1:16">
      <c r="A6" t="s">
        <v>490</v>
      </c>
      <c r="B6" t="s">
        <v>1063</v>
      </c>
      <c r="C6" t="s">
        <v>369</v>
      </c>
      <c r="D6" t="s">
        <v>367</v>
      </c>
      <c r="E6" t="s">
        <v>368</v>
      </c>
      <c r="F6" s="370">
        <v>278099.52</v>
      </c>
      <c r="H6" s="370">
        <v>278099.52</v>
      </c>
      <c r="I6" s="370">
        <v>0</v>
      </c>
      <c r="J6" s="824">
        <v>5099.5200000000004</v>
      </c>
      <c r="K6" s="732">
        <f>+J6</f>
        <v>5099.5200000000004</v>
      </c>
      <c r="L6" s="732"/>
      <c r="M6" s="732"/>
      <c r="N6" s="732"/>
      <c r="O6" s="732"/>
      <c r="P6" s="732"/>
    </row>
    <row r="7" spans="1:16">
      <c r="A7" t="s">
        <v>490</v>
      </c>
      <c r="B7" t="s">
        <v>1063</v>
      </c>
      <c r="C7" t="s">
        <v>728</v>
      </c>
      <c r="D7" t="s">
        <v>1219</v>
      </c>
      <c r="E7" t="s">
        <v>1220</v>
      </c>
      <c r="F7" s="370">
        <v>53100</v>
      </c>
      <c r="H7" s="370">
        <v>53100</v>
      </c>
      <c r="I7" s="370">
        <v>53100</v>
      </c>
      <c r="J7" s="824">
        <v>53100</v>
      </c>
      <c r="K7" s="732">
        <f>+J7</f>
        <v>53100</v>
      </c>
      <c r="L7" s="732"/>
      <c r="M7" s="732"/>
      <c r="N7" s="732"/>
      <c r="O7" s="732"/>
      <c r="P7" s="732"/>
    </row>
    <row r="8" spans="1:16">
      <c r="A8" t="s">
        <v>493</v>
      </c>
      <c r="B8" t="s">
        <v>1064</v>
      </c>
      <c r="C8" t="s">
        <v>737</v>
      </c>
      <c r="D8" t="s">
        <v>738</v>
      </c>
      <c r="E8" t="s">
        <v>1065</v>
      </c>
      <c r="F8" s="370">
        <v>104888.89</v>
      </c>
      <c r="H8" s="370">
        <v>104888.89</v>
      </c>
      <c r="I8" s="370">
        <v>0</v>
      </c>
      <c r="J8" s="824">
        <v>64888.89</v>
      </c>
      <c r="K8" s="732"/>
      <c r="L8" s="732">
        <f>+J8</f>
        <v>64888.89</v>
      </c>
      <c r="M8" s="732"/>
      <c r="N8" s="732"/>
      <c r="O8" s="732"/>
      <c r="P8" s="732"/>
    </row>
    <row r="9" spans="1:16">
      <c r="A9" t="s">
        <v>496</v>
      </c>
      <c r="B9" t="s">
        <v>1068</v>
      </c>
      <c r="C9" t="s">
        <v>735</v>
      </c>
      <c r="D9" t="s">
        <v>821</v>
      </c>
      <c r="E9" t="s">
        <v>1069</v>
      </c>
      <c r="F9" s="370">
        <v>100300</v>
      </c>
      <c r="H9" s="370">
        <v>100300</v>
      </c>
      <c r="I9" s="370">
        <v>0</v>
      </c>
      <c r="J9" s="824">
        <v>62050</v>
      </c>
      <c r="K9" s="732"/>
      <c r="L9" s="732">
        <f>+J9</f>
        <v>62050</v>
      </c>
      <c r="M9" s="732"/>
      <c r="N9" s="732"/>
      <c r="O9" s="732"/>
      <c r="P9" s="732"/>
    </row>
    <row r="10" spans="1:16" s="373" customFormat="1" ht="12">
      <c r="A10" s="773"/>
      <c r="B10" s="773"/>
      <c r="C10" s="774" t="s">
        <v>49</v>
      </c>
      <c r="D10" s="773"/>
      <c r="E10" s="773"/>
      <c r="F10" s="772">
        <f t="shared" ref="F10:P10" si="1">SUM(F6:F9)</f>
        <v>536388.41</v>
      </c>
      <c r="G10" s="772">
        <f t="shared" si="1"/>
        <v>0</v>
      </c>
      <c r="H10" s="772">
        <f t="shared" si="1"/>
        <v>536388.41</v>
      </c>
      <c r="I10" s="772">
        <f t="shared" si="1"/>
        <v>53100</v>
      </c>
      <c r="J10" s="771">
        <f t="shared" si="1"/>
        <v>185138.41</v>
      </c>
      <c r="K10" s="771">
        <f t="shared" si="1"/>
        <v>58199.520000000004</v>
      </c>
      <c r="L10" s="771">
        <f t="shared" si="1"/>
        <v>126938.89</v>
      </c>
      <c r="M10" s="771">
        <f t="shared" si="1"/>
        <v>0</v>
      </c>
      <c r="N10" s="771">
        <f t="shared" si="1"/>
        <v>0</v>
      </c>
      <c r="O10" s="771">
        <f t="shared" si="1"/>
        <v>0</v>
      </c>
      <c r="P10" s="771">
        <f t="shared" si="1"/>
        <v>0</v>
      </c>
    </row>
    <row r="11" spans="1:16">
      <c r="J11" s="824"/>
      <c r="K11" s="732"/>
      <c r="L11" s="732"/>
      <c r="M11" s="732"/>
      <c r="N11" s="732"/>
      <c r="O11" s="732"/>
      <c r="P11" s="732"/>
    </row>
    <row r="12" spans="1:16">
      <c r="A12" t="s">
        <v>1071</v>
      </c>
      <c r="B12" t="s">
        <v>1072</v>
      </c>
      <c r="C12" t="s">
        <v>1028</v>
      </c>
      <c r="D12" t="s">
        <v>1077</v>
      </c>
      <c r="E12" t="s">
        <v>1078</v>
      </c>
      <c r="F12" s="370">
        <v>44250</v>
      </c>
      <c r="H12" s="370">
        <v>44250</v>
      </c>
      <c r="I12" s="370">
        <v>44250</v>
      </c>
      <c r="J12" s="824">
        <v>44250</v>
      </c>
      <c r="K12" s="732">
        <f>+J12</f>
        <v>44250</v>
      </c>
      <c r="L12" s="732"/>
      <c r="M12" s="732"/>
      <c r="N12" s="732"/>
      <c r="O12" s="732"/>
      <c r="P12" s="732"/>
    </row>
    <row r="13" spans="1:16">
      <c r="A13" t="s">
        <v>1071</v>
      </c>
      <c r="B13" t="s">
        <v>1072</v>
      </c>
      <c r="C13" t="s">
        <v>1031</v>
      </c>
      <c r="D13" t="s">
        <v>1075</v>
      </c>
      <c r="E13" t="s">
        <v>1076</v>
      </c>
      <c r="F13" s="370">
        <v>27446.2</v>
      </c>
      <c r="H13" s="370">
        <v>87446.2</v>
      </c>
      <c r="I13" s="370">
        <v>87446.2</v>
      </c>
      <c r="J13" s="824">
        <v>87446.2</v>
      </c>
      <c r="K13" s="732">
        <f>+J13</f>
        <v>87446.2</v>
      </c>
      <c r="L13" s="732"/>
      <c r="M13" s="732"/>
      <c r="N13" s="732"/>
      <c r="O13" s="732"/>
      <c r="P13" s="732"/>
    </row>
    <row r="14" spans="1:16">
      <c r="A14" t="s">
        <v>508</v>
      </c>
      <c r="B14" t="s">
        <v>1079</v>
      </c>
      <c r="C14" t="s">
        <v>715</v>
      </c>
      <c r="D14" t="s">
        <v>1080</v>
      </c>
      <c r="E14" t="s">
        <v>1081</v>
      </c>
      <c r="F14" s="370">
        <v>3209516.66</v>
      </c>
      <c r="H14" s="370">
        <v>3209516.66</v>
      </c>
      <c r="I14" s="370">
        <v>0</v>
      </c>
      <c r="J14" s="824">
        <v>9516.66</v>
      </c>
      <c r="K14" s="732">
        <f>+J14</f>
        <v>9516.66</v>
      </c>
      <c r="L14" s="732"/>
      <c r="M14" s="732"/>
      <c r="N14" s="732"/>
      <c r="O14" s="732"/>
      <c r="P14" s="732"/>
    </row>
    <row r="15" spans="1:16">
      <c r="A15" t="s">
        <v>1331</v>
      </c>
      <c r="B15" t="s">
        <v>1332</v>
      </c>
      <c r="C15" t="s">
        <v>317</v>
      </c>
      <c r="D15" t="s">
        <v>1333</v>
      </c>
      <c r="F15" s="370">
        <v>405023.2</v>
      </c>
      <c r="H15" s="370">
        <v>405023.2</v>
      </c>
      <c r="I15" s="370">
        <v>0</v>
      </c>
      <c r="J15" s="824">
        <v>405023.2</v>
      </c>
      <c r="K15" s="732"/>
      <c r="L15" s="732">
        <f>+J15</f>
        <v>405023.2</v>
      </c>
      <c r="M15" s="732"/>
      <c r="N15" s="732"/>
      <c r="O15" s="732"/>
      <c r="P15" s="732"/>
    </row>
    <row r="16" spans="1:16">
      <c r="A16" t="s">
        <v>1082</v>
      </c>
      <c r="B16" t="s">
        <v>1083</v>
      </c>
      <c r="C16" t="s">
        <v>1084</v>
      </c>
      <c r="D16" t="s">
        <v>1085</v>
      </c>
      <c r="E16" t="s">
        <v>1086</v>
      </c>
      <c r="F16" s="370">
        <v>951768.56</v>
      </c>
      <c r="H16" s="370">
        <v>951768.56</v>
      </c>
      <c r="I16" s="370">
        <v>0</v>
      </c>
      <c r="J16" s="824">
        <v>14485014.93</v>
      </c>
      <c r="K16" s="824">
        <v>5000000</v>
      </c>
      <c r="L16" s="824">
        <v>5000000</v>
      </c>
      <c r="M16" s="732">
        <v>4485014.93</v>
      </c>
      <c r="N16" s="732"/>
      <c r="O16" s="732"/>
      <c r="P16" s="732"/>
    </row>
    <row r="17" spans="1:16">
      <c r="A17" t="s">
        <v>1095</v>
      </c>
      <c r="B17" t="s">
        <v>1096</v>
      </c>
      <c r="C17" t="s">
        <v>715</v>
      </c>
      <c r="D17" t="s">
        <v>1097</v>
      </c>
      <c r="E17" t="s">
        <v>1098</v>
      </c>
      <c r="F17" s="370">
        <v>213877.56</v>
      </c>
      <c r="G17" s="370">
        <v>167734.70000000001</v>
      </c>
      <c r="H17" s="370">
        <v>381612.26</v>
      </c>
      <c r="I17" s="370">
        <v>250795.93</v>
      </c>
      <c r="J17" s="824">
        <v>381612.26</v>
      </c>
      <c r="K17" s="730">
        <v>250795.93</v>
      </c>
      <c r="L17" s="730"/>
      <c r="M17" s="730">
        <f>+J17-K17</f>
        <v>130816.33000000002</v>
      </c>
      <c r="N17" s="732"/>
      <c r="O17" s="732"/>
      <c r="P17" s="732"/>
    </row>
    <row r="18" spans="1:16">
      <c r="A18" t="s">
        <v>1105</v>
      </c>
      <c r="B18" t="s">
        <v>1106</v>
      </c>
      <c r="C18" t="s">
        <v>715</v>
      </c>
      <c r="D18" t="s">
        <v>1097</v>
      </c>
      <c r="E18" t="s">
        <v>1098</v>
      </c>
      <c r="F18" s="370">
        <v>163265.32</v>
      </c>
      <c r="G18" s="370">
        <v>28571.439999999999</v>
      </c>
      <c r="H18" s="370">
        <v>191836.76</v>
      </c>
      <c r="I18" s="370">
        <v>151020.43</v>
      </c>
      <c r="J18" s="824">
        <v>191836.76</v>
      </c>
      <c r="K18" s="730">
        <v>151020.43</v>
      </c>
      <c r="L18" s="730"/>
      <c r="M18" s="730">
        <f>+J18-K18</f>
        <v>40816.330000000016</v>
      </c>
      <c r="N18" s="732"/>
      <c r="O18" s="732"/>
      <c r="P18" s="732"/>
    </row>
    <row r="19" spans="1:16">
      <c r="A19" t="s">
        <v>1109</v>
      </c>
      <c r="B19" t="s">
        <v>1110</v>
      </c>
      <c r="C19" t="s">
        <v>1111</v>
      </c>
      <c r="D19" t="s">
        <v>1112</v>
      </c>
      <c r="E19" t="s">
        <v>1113</v>
      </c>
      <c r="F19" s="370">
        <v>879749.12</v>
      </c>
      <c r="H19" s="370">
        <v>879749.12</v>
      </c>
      <c r="I19" s="370">
        <v>0</v>
      </c>
      <c r="J19" s="824">
        <v>273022.48</v>
      </c>
      <c r="K19" s="732">
        <f>+J19</f>
        <v>273022.48</v>
      </c>
      <c r="L19" s="732"/>
      <c r="M19" s="732"/>
      <c r="N19" s="732"/>
      <c r="O19" s="732"/>
      <c r="P19" s="732"/>
    </row>
    <row r="20" spans="1:16">
      <c r="A20" t="s">
        <v>1114</v>
      </c>
      <c r="B20" t="s">
        <v>1115</v>
      </c>
      <c r="C20" t="s">
        <v>1221</v>
      </c>
      <c r="D20" t="s">
        <v>1334</v>
      </c>
      <c r="E20" t="s">
        <v>1335</v>
      </c>
      <c r="F20" s="370">
        <v>43440.52</v>
      </c>
      <c r="H20" s="370">
        <v>43440.52</v>
      </c>
      <c r="I20" s="370">
        <v>43440.52</v>
      </c>
      <c r="J20" s="824">
        <v>43440.52</v>
      </c>
      <c r="K20" s="732">
        <f>+J20</f>
        <v>43440.52</v>
      </c>
      <c r="L20" s="732"/>
      <c r="M20" s="732"/>
      <c r="N20" s="732"/>
      <c r="O20" s="732"/>
      <c r="P20" s="732"/>
    </row>
    <row r="21" spans="1:16">
      <c r="A21" t="s">
        <v>1114</v>
      </c>
      <c r="B21" t="s">
        <v>1115</v>
      </c>
      <c r="C21" t="s">
        <v>1221</v>
      </c>
      <c r="D21" t="s">
        <v>1222</v>
      </c>
      <c r="E21" t="s">
        <v>1223</v>
      </c>
      <c r="F21" s="370">
        <v>50122.86</v>
      </c>
      <c r="H21" s="370">
        <v>50122.86</v>
      </c>
      <c r="I21" s="370">
        <v>50122.86</v>
      </c>
      <c r="J21" s="824">
        <v>50122.86</v>
      </c>
      <c r="K21" s="732">
        <f>+J21</f>
        <v>50122.86</v>
      </c>
      <c r="L21" s="732"/>
      <c r="M21" s="732"/>
      <c r="N21" s="732"/>
      <c r="O21" s="732"/>
      <c r="P21" s="732"/>
    </row>
    <row r="22" spans="1:16">
      <c r="A22" t="s">
        <v>1114</v>
      </c>
      <c r="B22" t="s">
        <v>1115</v>
      </c>
      <c r="C22" t="s">
        <v>715</v>
      </c>
      <c r="D22" t="s">
        <v>1080</v>
      </c>
      <c r="E22" t="s">
        <v>1081</v>
      </c>
      <c r="G22" s="370">
        <v>107489.81</v>
      </c>
      <c r="H22" s="370">
        <v>107489.81</v>
      </c>
      <c r="I22" s="370">
        <v>0</v>
      </c>
      <c r="J22" s="824">
        <v>107489.81</v>
      </c>
      <c r="K22" s="732">
        <f>+J22</f>
        <v>107489.81</v>
      </c>
      <c r="L22" s="732"/>
      <c r="M22" s="732"/>
      <c r="N22" s="732"/>
      <c r="O22" s="732"/>
      <c r="P22" s="732"/>
    </row>
    <row r="23" spans="1:16">
      <c r="C23" t="s">
        <v>317</v>
      </c>
      <c r="E23" t="s">
        <v>1336</v>
      </c>
      <c r="J23" s="824">
        <v>487071.07</v>
      </c>
      <c r="K23" s="732"/>
      <c r="L23" s="732">
        <f>+J23</f>
        <v>487071.07</v>
      </c>
      <c r="M23" s="732"/>
      <c r="N23" s="732"/>
      <c r="O23" s="732"/>
      <c r="P23" s="732"/>
    </row>
    <row r="24" spans="1:16">
      <c r="C24" t="s">
        <v>1337</v>
      </c>
      <c r="E24" t="s">
        <v>1338</v>
      </c>
      <c r="J24" s="824">
        <v>11741</v>
      </c>
      <c r="K24" s="732">
        <f>+J24</f>
        <v>11741</v>
      </c>
      <c r="L24" s="732"/>
      <c r="M24" s="732"/>
      <c r="N24" s="732"/>
      <c r="O24" s="732"/>
      <c r="P24" s="732"/>
    </row>
    <row r="25" spans="1:16">
      <c r="E25" s="250" t="s">
        <v>1226</v>
      </c>
      <c r="F25" s="827"/>
      <c r="G25" s="827"/>
      <c r="H25" s="827"/>
      <c r="I25" s="827"/>
      <c r="J25" s="828">
        <v>5283734</v>
      </c>
      <c r="K25" s="828"/>
      <c r="L25" s="826">
        <v>1500000</v>
      </c>
      <c r="M25" s="826">
        <v>2000000</v>
      </c>
      <c r="N25" s="826">
        <v>1183734</v>
      </c>
      <c r="O25" s="826">
        <v>600000</v>
      </c>
      <c r="P25" s="826"/>
    </row>
    <row r="26" spans="1:16">
      <c r="E26" s="250" t="s">
        <v>1227</v>
      </c>
      <c r="F26" s="827"/>
      <c r="G26" s="827"/>
      <c r="H26" s="827"/>
      <c r="I26" s="827"/>
      <c r="J26" s="828">
        <v>7782000</v>
      </c>
      <c r="K26" s="828"/>
      <c r="L26" s="826"/>
      <c r="M26" s="826">
        <v>2500000</v>
      </c>
      <c r="N26" s="826">
        <v>2500000</v>
      </c>
      <c r="O26" s="826">
        <v>2782000</v>
      </c>
      <c r="P26" s="826"/>
    </row>
    <row r="27" spans="1:16" s="373" customFormat="1" ht="12">
      <c r="A27" s="773"/>
      <c r="B27" s="773"/>
      <c r="C27" s="774" t="s">
        <v>35</v>
      </c>
      <c r="D27" s="773"/>
      <c r="E27" s="773"/>
      <c r="F27" s="772">
        <f>SUM(F12:F22)</f>
        <v>5988460.0000000009</v>
      </c>
      <c r="G27" s="772">
        <f>SUM(G12:G22)</f>
        <v>303795.95</v>
      </c>
      <c r="H27" s="772">
        <f>SUM(H12:H22)</f>
        <v>6352255.9500000002</v>
      </c>
      <c r="I27" s="772">
        <f>SUM(I12:I22)</f>
        <v>627075.94000000006</v>
      </c>
      <c r="J27" s="771">
        <f t="shared" ref="J27:P27" si="2">SUM(J12:J26)</f>
        <v>29643321.75</v>
      </c>
      <c r="K27" s="771">
        <f t="shared" si="2"/>
        <v>6028845.8899999987</v>
      </c>
      <c r="L27" s="771">
        <f t="shared" si="2"/>
        <v>7392094.2700000005</v>
      </c>
      <c r="M27" s="771">
        <f t="shared" si="2"/>
        <v>9156647.5899999999</v>
      </c>
      <c r="N27" s="771">
        <f t="shared" si="2"/>
        <v>3683734</v>
      </c>
      <c r="O27" s="771">
        <f t="shared" si="2"/>
        <v>3382000</v>
      </c>
      <c r="P27" s="771">
        <f t="shared" si="2"/>
        <v>0</v>
      </c>
    </row>
    <row r="28" spans="1:16">
      <c r="J28" s="824"/>
      <c r="K28" s="732"/>
      <c r="L28" s="732"/>
      <c r="M28" s="732"/>
      <c r="N28" s="732"/>
      <c r="O28" s="732"/>
      <c r="P28" s="732"/>
    </row>
    <row r="29" spans="1:16">
      <c r="A29" t="s">
        <v>595</v>
      </c>
      <c r="B29" t="s">
        <v>1121</v>
      </c>
      <c r="C29" t="s">
        <v>715</v>
      </c>
      <c r="E29" t="s">
        <v>1229</v>
      </c>
      <c r="J29" s="730">
        <v>19700000</v>
      </c>
      <c r="K29" s="730"/>
      <c r="L29" s="730">
        <v>3000000</v>
      </c>
      <c r="M29" s="730">
        <v>3000000</v>
      </c>
      <c r="N29" s="730">
        <v>5700000</v>
      </c>
      <c r="O29" s="730">
        <v>5000000</v>
      </c>
      <c r="P29" s="730">
        <v>3000000</v>
      </c>
    </row>
    <row r="30" spans="1:16" s="373" customFormat="1" ht="12">
      <c r="A30" s="773"/>
      <c r="B30" s="773"/>
      <c r="C30" s="774" t="s">
        <v>38</v>
      </c>
      <c r="D30" s="773"/>
      <c r="E30" s="773"/>
      <c r="F30" s="772">
        <f>SUM(F28)</f>
        <v>0</v>
      </c>
      <c r="G30" s="772">
        <f>SUM(G28)</f>
        <v>0</v>
      </c>
      <c r="H30" s="772">
        <f>SUM(H28)</f>
        <v>0</v>
      </c>
      <c r="I30" s="772">
        <f>SUM(I28)</f>
        <v>0</v>
      </c>
      <c r="J30" s="771">
        <f t="shared" ref="J30:P30" si="3">SUM(J29)</f>
        <v>19700000</v>
      </c>
      <c r="K30" s="771">
        <f t="shared" si="3"/>
        <v>0</v>
      </c>
      <c r="L30" s="771">
        <f t="shared" si="3"/>
        <v>3000000</v>
      </c>
      <c r="M30" s="771">
        <f t="shared" si="3"/>
        <v>3000000</v>
      </c>
      <c r="N30" s="771">
        <f t="shared" si="3"/>
        <v>5700000</v>
      </c>
      <c r="O30" s="771">
        <f t="shared" si="3"/>
        <v>5000000</v>
      </c>
      <c r="P30" s="771">
        <f t="shared" si="3"/>
        <v>3000000</v>
      </c>
    </row>
    <row r="31" spans="1:16">
      <c r="J31" s="824"/>
      <c r="K31" s="732"/>
      <c r="L31" s="732"/>
      <c r="M31" s="732"/>
      <c r="N31" s="732"/>
      <c r="O31" s="732"/>
      <c r="P31" s="732"/>
    </row>
    <row r="32" spans="1:16">
      <c r="A32" t="s">
        <v>595</v>
      </c>
      <c r="B32" t="s">
        <v>1121</v>
      </c>
      <c r="C32" t="s">
        <v>715</v>
      </c>
      <c r="D32" t="s">
        <v>1097</v>
      </c>
      <c r="E32" t="s">
        <v>1098</v>
      </c>
      <c r="G32" s="370">
        <v>82287.179999999993</v>
      </c>
      <c r="H32" s="370">
        <v>82287.179999999993</v>
      </c>
      <c r="I32" s="370">
        <v>57857.34</v>
      </c>
      <c r="J32" s="824">
        <v>82287.179999999993</v>
      </c>
      <c r="K32" s="824">
        <v>57857.34</v>
      </c>
      <c r="L32" s="732"/>
      <c r="M32" s="732">
        <f>+J32-K32</f>
        <v>24429.839999999997</v>
      </c>
      <c r="N32" s="732"/>
      <c r="O32" s="732"/>
      <c r="P32" s="732"/>
    </row>
    <row r="33" spans="1:16">
      <c r="A33" t="s">
        <v>595</v>
      </c>
      <c r="B33" t="s">
        <v>1121</v>
      </c>
      <c r="C33" t="s">
        <v>715</v>
      </c>
      <c r="D33" t="s">
        <v>1080</v>
      </c>
      <c r="E33" t="s">
        <v>1081</v>
      </c>
      <c r="F33" s="370">
        <v>378722.97</v>
      </c>
      <c r="G33" s="370">
        <v>12683.8</v>
      </c>
      <c r="H33" s="370">
        <v>391406.77</v>
      </c>
      <c r="I33" s="370">
        <v>0</v>
      </c>
      <c r="J33" s="824">
        <v>391406.77</v>
      </c>
      <c r="K33" s="732">
        <f>+J33</f>
        <v>391406.77</v>
      </c>
      <c r="L33" s="732"/>
      <c r="M33" s="732"/>
      <c r="N33" s="732"/>
      <c r="O33" s="732"/>
      <c r="P33" s="732"/>
    </row>
    <row r="34" spans="1:16">
      <c r="A34" t="s">
        <v>595</v>
      </c>
      <c r="B34" t="s">
        <v>1121</v>
      </c>
      <c r="C34" t="s">
        <v>715</v>
      </c>
      <c r="D34" t="s">
        <v>1339</v>
      </c>
      <c r="E34" t="s">
        <v>1340</v>
      </c>
      <c r="F34" s="370">
        <v>2360000</v>
      </c>
      <c r="H34" s="370">
        <v>2360000</v>
      </c>
      <c r="I34" s="370">
        <v>2360000</v>
      </c>
      <c r="J34" s="824">
        <f>SUM(K34:P34)</f>
        <v>14160000</v>
      </c>
      <c r="K34" s="732">
        <v>2360000</v>
      </c>
      <c r="L34" s="828">
        <v>2360000</v>
      </c>
      <c r="M34" s="828">
        <v>2360000</v>
      </c>
      <c r="N34" s="828">
        <v>2360000</v>
      </c>
      <c r="O34" s="828">
        <v>2360000</v>
      </c>
      <c r="P34" s="828">
        <v>2360000</v>
      </c>
    </row>
    <row r="35" spans="1:16" s="373" customFormat="1" ht="12">
      <c r="A35" s="773"/>
      <c r="B35" s="773"/>
      <c r="C35" s="774" t="s">
        <v>767</v>
      </c>
      <c r="D35" s="773"/>
      <c r="E35" s="773"/>
      <c r="F35" s="772">
        <f>SUM(F33)</f>
        <v>378722.97</v>
      </c>
      <c r="G35" s="772">
        <f>SUM(G33)</f>
        <v>12683.8</v>
      </c>
      <c r="H35" s="772">
        <f>SUM(H33)</f>
        <v>391406.77</v>
      </c>
      <c r="I35" s="772">
        <f>SUM(I33)</f>
        <v>0</v>
      </c>
      <c r="J35" s="771">
        <f t="shared" ref="J35:P35" si="4">SUM(J32:J34)</f>
        <v>14633693.949999999</v>
      </c>
      <c r="K35" s="771">
        <f t="shared" si="4"/>
        <v>2809264.11</v>
      </c>
      <c r="L35" s="771">
        <f t="shared" si="4"/>
        <v>2360000</v>
      </c>
      <c r="M35" s="771">
        <f t="shared" si="4"/>
        <v>2384429.84</v>
      </c>
      <c r="N35" s="771">
        <f t="shared" si="4"/>
        <v>2360000</v>
      </c>
      <c r="O35" s="771">
        <f t="shared" si="4"/>
        <v>2360000</v>
      </c>
      <c r="P35" s="771">
        <f t="shared" si="4"/>
        <v>2360000</v>
      </c>
    </row>
    <row r="36" spans="1:16">
      <c r="J36" s="824"/>
      <c r="K36" s="732"/>
      <c r="L36" s="732"/>
      <c r="M36" s="732"/>
      <c r="N36" s="732"/>
      <c r="O36" s="732"/>
      <c r="P36" s="732"/>
    </row>
    <row r="37" spans="1:16">
      <c r="A37" t="s">
        <v>598</v>
      </c>
      <c r="B37" t="s">
        <v>1341</v>
      </c>
      <c r="C37" t="s">
        <v>715</v>
      </c>
      <c r="D37" t="s">
        <v>1342</v>
      </c>
      <c r="E37" t="s">
        <v>1343</v>
      </c>
      <c r="F37" s="370">
        <v>54785.34</v>
      </c>
      <c r="H37" s="370">
        <v>54785.34</v>
      </c>
      <c r="I37" s="370">
        <v>54785.34</v>
      </c>
      <c r="J37" s="824">
        <f>SUM(K37:P37)</f>
        <v>54785.34</v>
      </c>
      <c r="K37" s="732">
        <v>54785.34</v>
      </c>
      <c r="L37" s="732"/>
      <c r="M37" s="732"/>
      <c r="N37" s="732"/>
      <c r="O37" s="732"/>
      <c r="P37" s="732"/>
    </row>
    <row r="38" spans="1:16">
      <c r="A38" t="s">
        <v>598</v>
      </c>
      <c r="B38" t="s">
        <v>1341</v>
      </c>
      <c r="C38" t="s">
        <v>1045</v>
      </c>
      <c r="D38" t="s">
        <v>1344</v>
      </c>
      <c r="E38" t="s">
        <v>1345</v>
      </c>
      <c r="F38" s="370">
        <v>92323.199999999997</v>
      </c>
      <c r="H38" s="370">
        <v>92323.199999999997</v>
      </c>
      <c r="I38" s="370">
        <v>92323.199999999997</v>
      </c>
      <c r="J38" s="824">
        <f>SUM(K38:P38)</f>
        <v>1800000</v>
      </c>
      <c r="K38" s="732">
        <v>300000</v>
      </c>
      <c r="L38" s="828">
        <v>300000</v>
      </c>
      <c r="M38" s="828">
        <v>300000</v>
      </c>
      <c r="N38" s="828">
        <v>300000</v>
      </c>
      <c r="O38" s="828">
        <v>300000</v>
      </c>
      <c r="P38" s="828">
        <v>300000</v>
      </c>
    </row>
    <row r="39" spans="1:16" s="373" customFormat="1" ht="12">
      <c r="A39" s="773"/>
      <c r="B39" s="773"/>
      <c r="C39" s="774" t="s">
        <v>40</v>
      </c>
      <c r="D39" s="773"/>
      <c r="E39" s="773"/>
      <c r="F39" s="772">
        <f>SUM(F37)</f>
        <v>54785.34</v>
      </c>
      <c r="G39" s="772">
        <f>SUM(G37)</f>
        <v>0</v>
      </c>
      <c r="H39" s="772">
        <f>SUM(H37)</f>
        <v>54785.34</v>
      </c>
      <c r="I39" s="772">
        <f>SUM(I37)</f>
        <v>54785.34</v>
      </c>
      <c r="J39" s="771">
        <f t="shared" ref="J39:P39" si="5">SUM(J37:J38)</f>
        <v>1854785.34</v>
      </c>
      <c r="K39" s="771">
        <f t="shared" si="5"/>
        <v>354785.33999999997</v>
      </c>
      <c r="L39" s="771">
        <f t="shared" si="5"/>
        <v>300000</v>
      </c>
      <c r="M39" s="771">
        <f t="shared" si="5"/>
        <v>300000</v>
      </c>
      <c r="N39" s="771">
        <f t="shared" si="5"/>
        <v>300000</v>
      </c>
      <c r="O39" s="771">
        <f t="shared" si="5"/>
        <v>300000</v>
      </c>
      <c r="P39" s="771">
        <f t="shared" si="5"/>
        <v>300000</v>
      </c>
    </row>
    <row r="40" spans="1:16">
      <c r="J40" s="824"/>
      <c r="K40" s="732"/>
      <c r="L40" s="732"/>
      <c r="M40" s="732"/>
      <c r="N40" s="732"/>
      <c r="O40" s="732"/>
      <c r="P40" s="732"/>
    </row>
    <row r="41" spans="1:16">
      <c r="A41" t="s">
        <v>595</v>
      </c>
      <c r="B41" t="s">
        <v>1121</v>
      </c>
      <c r="C41" t="s">
        <v>1231</v>
      </c>
      <c r="E41" s="250" t="s">
        <v>768</v>
      </c>
      <c r="F41" s="827"/>
      <c r="G41" s="827"/>
      <c r="H41" s="827"/>
      <c r="I41" s="827"/>
      <c r="J41" s="826">
        <f>SUM(K41:P41)</f>
        <v>10620000</v>
      </c>
      <c r="K41" s="826">
        <v>1770000</v>
      </c>
      <c r="L41" s="826">
        <v>1770000</v>
      </c>
      <c r="M41" s="826">
        <v>1770000</v>
      </c>
      <c r="N41" s="826">
        <v>1770000</v>
      </c>
      <c r="O41" s="826">
        <v>1770000</v>
      </c>
      <c r="P41" s="826">
        <v>1770000</v>
      </c>
    </row>
    <row r="42" spans="1:16" s="373" customFormat="1" ht="12">
      <c r="A42" s="773"/>
      <c r="B42" s="773"/>
      <c r="C42" s="774" t="s">
        <v>768</v>
      </c>
      <c r="D42" s="773"/>
      <c r="E42" s="773"/>
      <c r="F42" s="772">
        <f>SUM(F40)</f>
        <v>0</v>
      </c>
      <c r="G42" s="772">
        <f>SUM(G40)</f>
        <v>0</v>
      </c>
      <c r="H42" s="772">
        <f>SUM(H40)</f>
        <v>0</v>
      </c>
      <c r="I42" s="772">
        <f>SUM(I40)</f>
        <v>0</v>
      </c>
      <c r="J42" s="771">
        <f t="shared" ref="J42:P42" si="6">SUM(J41)</f>
        <v>10620000</v>
      </c>
      <c r="K42" s="771">
        <f t="shared" si="6"/>
        <v>1770000</v>
      </c>
      <c r="L42" s="771">
        <f t="shared" si="6"/>
        <v>1770000</v>
      </c>
      <c r="M42" s="771">
        <f t="shared" si="6"/>
        <v>1770000</v>
      </c>
      <c r="N42" s="771">
        <f t="shared" si="6"/>
        <v>1770000</v>
      </c>
      <c r="O42" s="771">
        <f t="shared" si="6"/>
        <v>1770000</v>
      </c>
      <c r="P42" s="771">
        <f t="shared" si="6"/>
        <v>1770000</v>
      </c>
    </row>
    <row r="43" spans="1:16">
      <c r="J43" s="824"/>
      <c r="K43" s="732"/>
      <c r="L43" s="732"/>
      <c r="M43" s="732"/>
      <c r="N43" s="732"/>
      <c r="O43" s="732"/>
      <c r="P43" s="732"/>
    </row>
    <row r="44" spans="1:16" s="373" customFormat="1" ht="10.199999999999999">
      <c r="C44" s="373" t="s">
        <v>1236</v>
      </c>
      <c r="E44" s="831" t="s">
        <v>1237</v>
      </c>
      <c r="F44" s="830"/>
      <c r="G44" s="830"/>
      <c r="H44" s="830"/>
      <c r="I44" s="830"/>
      <c r="J44" s="829">
        <f>SUM(K44:P44)</f>
        <v>259128</v>
      </c>
      <c r="K44" s="829">
        <v>43188</v>
      </c>
      <c r="L44" s="829">
        <v>43188</v>
      </c>
      <c r="M44" s="829">
        <v>43188</v>
      </c>
      <c r="N44" s="829">
        <v>43188</v>
      </c>
      <c r="O44" s="829">
        <v>43188</v>
      </c>
      <c r="P44" s="829">
        <v>43188</v>
      </c>
    </row>
    <row r="45" spans="1:16" s="373" customFormat="1" ht="10.199999999999999">
      <c r="C45" s="373" t="s">
        <v>1236</v>
      </c>
      <c r="E45" s="831" t="s">
        <v>1238</v>
      </c>
      <c r="F45" s="830"/>
      <c r="G45" s="830"/>
      <c r="H45" s="830"/>
      <c r="I45" s="830"/>
      <c r="J45" s="829">
        <f>SUM(K45:P45)</f>
        <v>225000</v>
      </c>
      <c r="K45" s="829">
        <v>37500</v>
      </c>
      <c r="L45" s="829">
        <v>37500</v>
      </c>
      <c r="M45" s="829">
        <v>37500</v>
      </c>
      <c r="N45" s="829">
        <v>37500</v>
      </c>
      <c r="O45" s="829">
        <v>37500</v>
      </c>
      <c r="P45" s="829">
        <v>37500</v>
      </c>
    </row>
    <row r="46" spans="1:16" s="373" customFormat="1" ht="12">
      <c r="A46" s="773"/>
      <c r="B46" s="773"/>
      <c r="C46" s="774" t="s">
        <v>672</v>
      </c>
      <c r="D46" s="773"/>
      <c r="E46" s="773"/>
      <c r="F46" s="772">
        <f>SUM(F44)</f>
        <v>0</v>
      </c>
      <c r="G46" s="772">
        <f>SUM(G44)</f>
        <v>0</v>
      </c>
      <c r="H46" s="772">
        <f>SUM(H44)</f>
        <v>0</v>
      </c>
      <c r="I46" s="772">
        <f>SUM(I44)</f>
        <v>0</v>
      </c>
      <c r="J46" s="772">
        <f t="shared" ref="J46:P46" si="7">SUM(J44:J45)</f>
        <v>484128</v>
      </c>
      <c r="K46" s="772">
        <f t="shared" si="7"/>
        <v>80688</v>
      </c>
      <c r="L46" s="772">
        <f t="shared" si="7"/>
        <v>80688</v>
      </c>
      <c r="M46" s="772">
        <f t="shared" si="7"/>
        <v>80688</v>
      </c>
      <c r="N46" s="772">
        <f t="shared" si="7"/>
        <v>80688</v>
      </c>
      <c r="O46" s="772">
        <f t="shared" si="7"/>
        <v>80688</v>
      </c>
      <c r="P46" s="772">
        <f t="shared" si="7"/>
        <v>80688</v>
      </c>
    </row>
    <row r="47" spans="1:16">
      <c r="J47" s="824"/>
      <c r="K47" s="732"/>
      <c r="L47" s="732"/>
      <c r="M47" s="732"/>
      <c r="N47" s="732"/>
      <c r="O47" s="732"/>
      <c r="P47" s="732"/>
    </row>
    <row r="48" spans="1:16">
      <c r="A48" t="s">
        <v>607</v>
      </c>
      <c r="B48" t="s">
        <v>1346</v>
      </c>
      <c r="C48" t="s">
        <v>389</v>
      </c>
      <c r="D48" t="s">
        <v>1347</v>
      </c>
      <c r="E48" t="s">
        <v>1348</v>
      </c>
      <c r="F48" s="370">
        <v>767000</v>
      </c>
      <c r="H48" s="370">
        <v>767000</v>
      </c>
      <c r="I48" s="370">
        <v>767000</v>
      </c>
      <c r="J48" s="824">
        <v>335100</v>
      </c>
      <c r="K48" s="732">
        <f>+J48</f>
        <v>335100</v>
      </c>
      <c r="L48" s="732"/>
      <c r="M48" s="732"/>
      <c r="N48" s="732"/>
      <c r="O48" s="732"/>
      <c r="P48" s="732"/>
    </row>
    <row r="49" spans="1:16">
      <c r="A49" t="s">
        <v>607</v>
      </c>
      <c r="B49" t="s">
        <v>1346</v>
      </c>
      <c r="C49" t="s">
        <v>389</v>
      </c>
      <c r="D49" t="s">
        <v>1349</v>
      </c>
      <c r="E49" t="s">
        <v>1350</v>
      </c>
      <c r="F49" s="370">
        <v>767000</v>
      </c>
      <c r="H49" s="370">
        <v>767000</v>
      </c>
      <c r="I49" s="370">
        <v>767000</v>
      </c>
      <c r="J49" s="824">
        <f>SUM(K49:P49)</f>
        <v>4602000</v>
      </c>
      <c r="K49" s="732">
        <v>767000</v>
      </c>
      <c r="L49" s="828">
        <v>767000</v>
      </c>
      <c r="M49" s="828">
        <v>767000</v>
      </c>
      <c r="N49" s="828">
        <v>767000</v>
      </c>
      <c r="O49" s="828">
        <v>767000</v>
      </c>
      <c r="P49" s="828">
        <v>767000</v>
      </c>
    </row>
    <row r="50" spans="1:16">
      <c r="A50" t="s">
        <v>607</v>
      </c>
      <c r="B50" t="s">
        <v>1346</v>
      </c>
      <c r="C50" t="s">
        <v>778</v>
      </c>
      <c r="D50" t="s">
        <v>1351</v>
      </c>
      <c r="E50" t="s">
        <v>1352</v>
      </c>
      <c r="F50" s="370">
        <v>832455.53</v>
      </c>
      <c r="H50" s="370">
        <v>832455.53</v>
      </c>
      <c r="I50" s="370">
        <v>832455.53</v>
      </c>
      <c r="J50" s="824">
        <f>SUM(K50:P50)</f>
        <v>4994733.1800000006</v>
      </c>
      <c r="K50" s="732">
        <v>832455.53</v>
      </c>
      <c r="L50" s="828">
        <v>832455.53</v>
      </c>
      <c r="M50" s="828">
        <v>832455.53</v>
      </c>
      <c r="N50" s="828">
        <v>832455.53</v>
      </c>
      <c r="O50" s="828">
        <v>832455.53</v>
      </c>
      <c r="P50" s="828">
        <v>832455.53</v>
      </c>
    </row>
    <row r="51" spans="1:16" s="373" customFormat="1" ht="12">
      <c r="A51" s="773"/>
      <c r="B51" s="773"/>
      <c r="C51" s="774" t="s">
        <v>43</v>
      </c>
      <c r="D51" s="773"/>
      <c r="E51" s="773"/>
      <c r="F51" s="772">
        <f>SUM(F49)</f>
        <v>767000</v>
      </c>
      <c r="G51" s="772">
        <f>SUM(G49)</f>
        <v>0</v>
      </c>
      <c r="H51" s="772">
        <f>SUM(H49)</f>
        <v>767000</v>
      </c>
      <c r="I51" s="772">
        <f>SUM(I49)</f>
        <v>767000</v>
      </c>
      <c r="J51" s="771">
        <f t="shared" ref="J51:P51" si="8">SUM(J48:J50)</f>
        <v>9931833.1799999997</v>
      </c>
      <c r="K51" s="771">
        <f t="shared" si="8"/>
        <v>1934555.53</v>
      </c>
      <c r="L51" s="771">
        <f t="shared" si="8"/>
        <v>1599455.53</v>
      </c>
      <c r="M51" s="771">
        <f t="shared" si="8"/>
        <v>1599455.53</v>
      </c>
      <c r="N51" s="771">
        <f t="shared" si="8"/>
        <v>1599455.53</v>
      </c>
      <c r="O51" s="771">
        <f t="shared" si="8"/>
        <v>1599455.53</v>
      </c>
      <c r="P51" s="771">
        <f t="shared" si="8"/>
        <v>1599455.53</v>
      </c>
    </row>
    <row r="52" spans="1:16">
      <c r="J52" s="824"/>
      <c r="K52" s="732"/>
      <c r="L52" s="732"/>
      <c r="M52" s="732"/>
      <c r="N52" s="732"/>
      <c r="O52" s="732"/>
      <c r="P52" s="732"/>
    </row>
    <row r="53" spans="1:16">
      <c r="A53" t="s">
        <v>619</v>
      </c>
      <c r="B53" t="s">
        <v>1239</v>
      </c>
      <c r="C53" t="s">
        <v>856</v>
      </c>
      <c r="D53" t="s">
        <v>1353</v>
      </c>
      <c r="E53" t="s">
        <v>1354</v>
      </c>
      <c r="F53" s="370">
        <v>826</v>
      </c>
      <c r="H53" s="370">
        <v>826</v>
      </c>
      <c r="I53" s="370">
        <v>826</v>
      </c>
      <c r="J53" s="824">
        <v>826</v>
      </c>
      <c r="K53" s="732">
        <f>+J53</f>
        <v>826</v>
      </c>
      <c r="L53" s="732"/>
      <c r="M53" s="732"/>
      <c r="N53" s="732"/>
      <c r="O53" s="732"/>
      <c r="P53" s="732"/>
    </row>
    <row r="54" spans="1:16">
      <c r="A54" t="s">
        <v>619</v>
      </c>
      <c r="B54" t="s">
        <v>1239</v>
      </c>
      <c r="C54" t="s">
        <v>1316</v>
      </c>
      <c r="D54" t="s">
        <v>1355</v>
      </c>
      <c r="E54" t="s">
        <v>1356</v>
      </c>
      <c r="F54" s="370">
        <v>32500</v>
      </c>
      <c r="H54" s="370">
        <v>32500</v>
      </c>
      <c r="I54" s="370">
        <v>32500</v>
      </c>
      <c r="J54" s="824">
        <v>16250</v>
      </c>
      <c r="K54" s="732">
        <f>+J54</f>
        <v>16250</v>
      </c>
      <c r="L54" s="732"/>
      <c r="M54" s="732"/>
      <c r="N54" s="732"/>
      <c r="O54" s="732"/>
      <c r="P54" s="732"/>
    </row>
    <row r="55" spans="1:16">
      <c r="A55" t="s">
        <v>619</v>
      </c>
      <c r="B55" t="s">
        <v>1239</v>
      </c>
      <c r="C55" t="s">
        <v>1043</v>
      </c>
      <c r="D55" t="s">
        <v>1137</v>
      </c>
      <c r="E55" t="s">
        <v>1138</v>
      </c>
      <c r="F55" s="370">
        <v>53502.559999999998</v>
      </c>
      <c r="H55" s="370">
        <v>53502.559999999998</v>
      </c>
      <c r="I55" s="370">
        <v>51941.17</v>
      </c>
      <c r="J55" s="824">
        <v>40126.92</v>
      </c>
      <c r="K55" s="732">
        <f>+J55</f>
        <v>40126.92</v>
      </c>
      <c r="L55" s="732"/>
      <c r="M55" s="732"/>
      <c r="N55" s="732"/>
      <c r="O55" s="732"/>
      <c r="P55" s="732"/>
    </row>
    <row r="56" spans="1:16">
      <c r="A56" t="s">
        <v>619</v>
      </c>
      <c r="B56" t="s">
        <v>1239</v>
      </c>
      <c r="C56" t="s">
        <v>740</v>
      </c>
      <c r="D56" t="s">
        <v>1250</v>
      </c>
      <c r="E56" t="s">
        <v>1251</v>
      </c>
      <c r="F56" s="370">
        <v>49766.5</v>
      </c>
      <c r="H56" s="370">
        <v>49766.5</v>
      </c>
      <c r="I56" s="370">
        <v>0</v>
      </c>
      <c r="J56" s="824">
        <v>49766.5</v>
      </c>
      <c r="K56" s="732"/>
      <c r="L56" s="732">
        <f>+J56</f>
        <v>49766.5</v>
      </c>
      <c r="M56" s="732"/>
      <c r="N56" s="732"/>
      <c r="O56" s="732"/>
      <c r="P56" s="732"/>
    </row>
    <row r="57" spans="1:16">
      <c r="A57" t="s">
        <v>619</v>
      </c>
      <c r="B57" t="s">
        <v>1239</v>
      </c>
      <c r="C57" t="s">
        <v>1043</v>
      </c>
      <c r="D57" t="s">
        <v>1357</v>
      </c>
      <c r="E57" t="s">
        <v>1358</v>
      </c>
      <c r="F57" s="370">
        <v>57977.56</v>
      </c>
      <c r="H57" s="370">
        <v>57977.56</v>
      </c>
      <c r="I57" s="370">
        <v>29022.97</v>
      </c>
      <c r="J57" s="824">
        <v>57977.56</v>
      </c>
      <c r="K57" s="732">
        <v>29022.97</v>
      </c>
      <c r="L57" s="732">
        <f>+J57-K57</f>
        <v>28954.589999999997</v>
      </c>
      <c r="M57" s="732"/>
      <c r="N57" s="732"/>
      <c r="O57" s="732"/>
      <c r="P57" s="732"/>
    </row>
    <row r="58" spans="1:16">
      <c r="A58" t="s">
        <v>619</v>
      </c>
      <c r="B58" t="s">
        <v>1239</v>
      </c>
      <c r="C58" t="s">
        <v>746</v>
      </c>
      <c r="D58" t="s">
        <v>1248</v>
      </c>
      <c r="E58" t="s">
        <v>1249</v>
      </c>
      <c r="F58" s="370">
        <v>63720</v>
      </c>
      <c r="H58" s="370">
        <v>63720</v>
      </c>
      <c r="I58" s="370">
        <v>42480</v>
      </c>
      <c r="J58" s="824">
        <v>63720</v>
      </c>
      <c r="K58" s="824">
        <v>42480</v>
      </c>
      <c r="L58" s="824">
        <v>21240</v>
      </c>
      <c r="M58" s="732"/>
      <c r="N58" s="732"/>
      <c r="O58" s="732"/>
      <c r="P58" s="732"/>
    </row>
    <row r="59" spans="1:16">
      <c r="A59" t="s">
        <v>619</v>
      </c>
      <c r="B59" t="s">
        <v>1239</v>
      </c>
      <c r="C59" t="s">
        <v>1049</v>
      </c>
      <c r="D59" t="s">
        <v>1244</v>
      </c>
      <c r="E59" t="s">
        <v>1245</v>
      </c>
      <c r="F59" s="370">
        <v>78881.960000000006</v>
      </c>
      <c r="H59" s="370">
        <v>78881.960000000006</v>
      </c>
      <c r="I59" s="370">
        <v>78881.960000000006</v>
      </c>
      <c r="J59" s="824">
        <v>78881.960000000006</v>
      </c>
      <c r="K59" s="732">
        <f t="shared" ref="K59:K65" si="9">+J59</f>
        <v>78881.960000000006</v>
      </c>
      <c r="L59" s="732"/>
      <c r="M59" s="732"/>
      <c r="N59" s="732"/>
      <c r="O59" s="732"/>
      <c r="P59" s="732"/>
    </row>
    <row r="60" spans="1:16">
      <c r="A60" t="s">
        <v>619</v>
      </c>
      <c r="B60" t="s">
        <v>1239</v>
      </c>
      <c r="C60" t="s">
        <v>1049</v>
      </c>
      <c r="D60" t="s">
        <v>1264</v>
      </c>
      <c r="E60" t="s">
        <v>1359</v>
      </c>
      <c r="F60" s="370">
        <v>80000</v>
      </c>
      <c r="H60" s="370">
        <v>80000</v>
      </c>
      <c r="I60" s="370">
        <v>0</v>
      </c>
      <c r="J60" s="824">
        <v>80000</v>
      </c>
      <c r="K60" s="732">
        <f t="shared" si="9"/>
        <v>80000</v>
      </c>
      <c r="L60" s="732"/>
      <c r="M60" s="732"/>
      <c r="N60" s="732"/>
      <c r="O60" s="732"/>
      <c r="P60" s="732"/>
    </row>
    <row r="61" spans="1:16">
      <c r="A61" t="s">
        <v>619</v>
      </c>
      <c r="B61" t="s">
        <v>1239</v>
      </c>
      <c r="C61" t="s">
        <v>756</v>
      </c>
      <c r="D61" t="s">
        <v>955</v>
      </c>
      <c r="E61" t="s">
        <v>1129</v>
      </c>
      <c r="F61" s="370">
        <v>264792</v>
      </c>
      <c r="H61" s="370">
        <v>264792</v>
      </c>
      <c r="I61" s="370">
        <v>176528</v>
      </c>
      <c r="J61" s="824">
        <v>88264</v>
      </c>
      <c r="K61" s="732">
        <f t="shared" si="9"/>
        <v>88264</v>
      </c>
      <c r="L61" s="732"/>
      <c r="M61" s="732"/>
      <c r="N61" s="732"/>
      <c r="O61" s="732"/>
      <c r="P61" s="732"/>
    </row>
    <row r="62" spans="1:16">
      <c r="A62" t="s">
        <v>619</v>
      </c>
      <c r="B62" t="s">
        <v>1239</v>
      </c>
      <c r="C62" t="s">
        <v>1045</v>
      </c>
      <c r="D62" t="s">
        <v>1132</v>
      </c>
      <c r="E62" t="s">
        <v>1133</v>
      </c>
      <c r="F62" s="370">
        <v>92323.199999999997</v>
      </c>
      <c r="H62" s="370">
        <v>92323.199999999997</v>
      </c>
      <c r="I62" s="370">
        <v>92323.199999999997</v>
      </c>
      <c r="J62" s="824">
        <v>92323.199999999997</v>
      </c>
      <c r="K62" s="732">
        <f t="shared" si="9"/>
        <v>92323.199999999997</v>
      </c>
      <c r="L62" s="732"/>
      <c r="M62" s="732"/>
      <c r="N62" s="732"/>
      <c r="O62" s="732"/>
      <c r="P62" s="732"/>
    </row>
    <row r="63" spans="1:16">
      <c r="A63" t="s">
        <v>619</v>
      </c>
      <c r="B63" t="s">
        <v>1239</v>
      </c>
      <c r="C63" t="s">
        <v>1045</v>
      </c>
      <c r="D63" t="s">
        <v>1246</v>
      </c>
      <c r="E63" t="s">
        <v>1247</v>
      </c>
      <c r="F63" s="370">
        <v>99038.8</v>
      </c>
      <c r="H63" s="370">
        <v>99038.8</v>
      </c>
      <c r="I63" s="370">
        <v>99038.8</v>
      </c>
      <c r="J63" s="824">
        <v>99038.8</v>
      </c>
      <c r="K63" s="732">
        <f t="shared" si="9"/>
        <v>99038.8</v>
      </c>
      <c r="L63" s="732"/>
      <c r="M63" s="732"/>
      <c r="N63" s="732"/>
      <c r="O63" s="732"/>
      <c r="P63" s="732"/>
    </row>
    <row r="64" spans="1:16">
      <c r="A64" t="s">
        <v>619</v>
      </c>
      <c r="B64" t="s">
        <v>1239</v>
      </c>
      <c r="C64" t="s">
        <v>389</v>
      </c>
      <c r="D64" t="s">
        <v>1360</v>
      </c>
      <c r="E64" t="s">
        <v>1361</v>
      </c>
      <c r="F64" s="370">
        <v>143134</v>
      </c>
      <c r="H64" s="370">
        <v>143134</v>
      </c>
      <c r="I64" s="370">
        <v>143134</v>
      </c>
      <c r="J64" s="824">
        <v>143134</v>
      </c>
      <c r="K64" s="732">
        <f t="shared" si="9"/>
        <v>143134</v>
      </c>
      <c r="L64" s="732"/>
      <c r="M64" s="732"/>
      <c r="N64" s="732"/>
      <c r="O64" s="732"/>
      <c r="P64" s="732"/>
    </row>
    <row r="65" spans="1:18">
      <c r="A65" t="s">
        <v>619</v>
      </c>
      <c r="B65" t="s">
        <v>1239</v>
      </c>
      <c r="C65" t="s">
        <v>1049</v>
      </c>
      <c r="D65" t="s">
        <v>1262</v>
      </c>
      <c r="E65" t="s">
        <v>1362</v>
      </c>
      <c r="F65" s="370">
        <v>155910.14000000001</v>
      </c>
      <c r="H65" s="370">
        <v>155910.14000000001</v>
      </c>
      <c r="I65" s="370">
        <v>155910.14000000001</v>
      </c>
      <c r="J65" s="824">
        <v>155910.14000000001</v>
      </c>
      <c r="K65" s="732">
        <f t="shared" si="9"/>
        <v>155910.14000000001</v>
      </c>
      <c r="L65" s="732"/>
      <c r="M65" s="732"/>
      <c r="N65" s="732"/>
      <c r="O65" s="732"/>
      <c r="P65" s="732"/>
    </row>
    <row r="66" spans="1:18">
      <c r="A66" t="s">
        <v>619</v>
      </c>
      <c r="B66" t="s">
        <v>1239</v>
      </c>
      <c r="C66" t="s">
        <v>1207</v>
      </c>
      <c r="D66" t="s">
        <v>1240</v>
      </c>
      <c r="E66" t="s">
        <v>1241</v>
      </c>
      <c r="F66" s="370">
        <v>44132</v>
      </c>
      <c r="G66" s="370">
        <v>132396</v>
      </c>
      <c r="H66" s="370">
        <v>176528</v>
      </c>
      <c r="I66" s="370">
        <v>132396</v>
      </c>
      <c r="J66" s="824">
        <v>176528</v>
      </c>
      <c r="K66" s="824">
        <v>132396</v>
      </c>
      <c r="L66" s="732">
        <f>+J66-K66</f>
        <v>44132</v>
      </c>
      <c r="M66" s="732"/>
      <c r="N66" s="732"/>
      <c r="O66" s="732"/>
      <c r="P66" s="732"/>
    </row>
    <row r="67" spans="1:18">
      <c r="A67" t="s">
        <v>619</v>
      </c>
      <c r="B67" t="s">
        <v>1239</v>
      </c>
      <c r="C67" t="s">
        <v>1047</v>
      </c>
      <c r="D67" t="s">
        <v>1363</v>
      </c>
      <c r="E67" t="s">
        <v>1364</v>
      </c>
      <c r="F67" s="370">
        <v>186272.04</v>
      </c>
      <c r="H67" s="370">
        <v>186272.04</v>
      </c>
      <c r="I67" s="370">
        <v>186272.04</v>
      </c>
      <c r="J67" s="824">
        <v>186272.04</v>
      </c>
      <c r="K67" s="732">
        <f>+J67</f>
        <v>186272.04</v>
      </c>
      <c r="L67" s="732"/>
      <c r="M67" s="732"/>
      <c r="N67" s="732"/>
      <c r="O67" s="732"/>
      <c r="P67" s="732"/>
      <c r="R67" s="370"/>
    </row>
    <row r="68" spans="1:18">
      <c r="A68" t="s">
        <v>619</v>
      </c>
      <c r="B68" t="s">
        <v>1239</v>
      </c>
      <c r="C68" t="s">
        <v>715</v>
      </c>
      <c r="D68" t="s">
        <v>1342</v>
      </c>
      <c r="E68" t="s">
        <v>1343</v>
      </c>
      <c r="F68" s="370">
        <v>258175.66</v>
      </c>
      <c r="H68" s="370">
        <v>258175.66</v>
      </c>
      <c r="I68" s="370">
        <v>258175.66</v>
      </c>
      <c r="J68" s="824">
        <v>258175.66</v>
      </c>
      <c r="K68" s="732">
        <f>+J68</f>
        <v>258175.66</v>
      </c>
      <c r="L68" s="732"/>
      <c r="M68" s="732"/>
      <c r="N68" s="732"/>
      <c r="O68" s="732"/>
      <c r="P68" s="732"/>
      <c r="R68" s="370"/>
    </row>
    <row r="69" spans="1:18">
      <c r="A69" t="s">
        <v>619</v>
      </c>
      <c r="B69" t="s">
        <v>1239</v>
      </c>
      <c r="C69" t="s">
        <v>740</v>
      </c>
      <c r="D69" t="s">
        <v>938</v>
      </c>
      <c r="E69" t="s">
        <v>1126</v>
      </c>
      <c r="F69" s="370">
        <v>273279.15000000002</v>
      </c>
      <c r="H69" s="370">
        <v>273279.15000000002</v>
      </c>
      <c r="I69" s="370">
        <v>0</v>
      </c>
      <c r="J69" s="824">
        <v>273279.15000000002</v>
      </c>
      <c r="K69" s="732"/>
      <c r="L69" s="732">
        <f>+J69</f>
        <v>273279.15000000002</v>
      </c>
      <c r="M69" s="732"/>
      <c r="N69" s="732"/>
      <c r="O69" s="732"/>
      <c r="P69" s="732"/>
      <c r="R69" s="370">
        <f>805000-362400</f>
        <v>442600</v>
      </c>
    </row>
    <row r="70" spans="1:18">
      <c r="A70" t="s">
        <v>619</v>
      </c>
      <c r="B70" t="s">
        <v>1239</v>
      </c>
      <c r="C70" t="s">
        <v>1254</v>
      </c>
      <c r="D70" t="s">
        <v>1255</v>
      </c>
      <c r="E70" t="s">
        <v>1365</v>
      </c>
      <c r="F70" s="370">
        <v>277890</v>
      </c>
      <c r="H70" s="370">
        <v>277890</v>
      </c>
      <c r="I70" s="370">
        <v>0</v>
      </c>
      <c r="J70" s="824">
        <v>277890</v>
      </c>
      <c r="K70" s="730">
        <f>+J70*0.5</f>
        <v>138945</v>
      </c>
      <c r="L70" s="730">
        <f>+J70*0.5</f>
        <v>138945</v>
      </c>
      <c r="M70" s="732"/>
      <c r="N70" s="732"/>
      <c r="O70" s="732"/>
      <c r="P70" s="732"/>
      <c r="R70" s="370">
        <f>+R69*0.18</f>
        <v>79668</v>
      </c>
    </row>
    <row r="71" spans="1:18">
      <c r="A71" t="s">
        <v>619</v>
      </c>
      <c r="B71" t="s">
        <v>1239</v>
      </c>
      <c r="C71" t="s">
        <v>935</v>
      </c>
      <c r="D71" t="s">
        <v>1266</v>
      </c>
      <c r="E71" t="s">
        <v>1366</v>
      </c>
      <c r="F71" s="370">
        <v>337480</v>
      </c>
      <c r="H71" s="370">
        <v>337480</v>
      </c>
      <c r="I71" s="370">
        <v>337480</v>
      </c>
      <c r="J71" s="824">
        <v>337480</v>
      </c>
      <c r="K71" s="732">
        <f>+J71</f>
        <v>337480</v>
      </c>
      <c r="L71" s="732"/>
      <c r="M71" s="732"/>
      <c r="N71" s="732"/>
      <c r="O71" s="732"/>
      <c r="P71" s="732"/>
      <c r="R71" s="370">
        <f>+R69+R70</f>
        <v>522268</v>
      </c>
    </row>
    <row r="72" spans="1:18">
      <c r="A72" t="s">
        <v>619</v>
      </c>
      <c r="B72" t="s">
        <v>1239</v>
      </c>
      <c r="C72" t="s">
        <v>420</v>
      </c>
      <c r="D72" t="s">
        <v>928</v>
      </c>
      <c r="E72" t="s">
        <v>1123</v>
      </c>
      <c r="F72" s="370">
        <v>1895548.05</v>
      </c>
      <c r="G72" s="370">
        <v>94688.639999999999</v>
      </c>
      <c r="H72" s="370">
        <v>1990236.69</v>
      </c>
      <c r="I72" s="370">
        <v>1637752.28</v>
      </c>
      <c r="J72" s="824">
        <v>365300.97</v>
      </c>
      <c r="K72" s="732">
        <f>+J72</f>
        <v>365300.97</v>
      </c>
      <c r="L72" s="732"/>
      <c r="M72" s="732"/>
      <c r="N72" s="732"/>
      <c r="O72" s="732"/>
      <c r="P72" s="732"/>
      <c r="R72" s="370"/>
    </row>
    <row r="73" spans="1:18">
      <c r="A73" t="s">
        <v>619</v>
      </c>
      <c r="B73" t="s">
        <v>1239</v>
      </c>
      <c r="C73" t="s">
        <v>1367</v>
      </c>
      <c r="D73" t="s">
        <v>1258</v>
      </c>
      <c r="E73" t="s">
        <v>1368</v>
      </c>
      <c r="F73" s="370">
        <v>1286200</v>
      </c>
      <c r="H73" s="370">
        <v>1286200</v>
      </c>
      <c r="I73" s="370">
        <v>0</v>
      </c>
      <c r="J73" s="824">
        <v>1286200</v>
      </c>
      <c r="K73" s="732"/>
      <c r="L73" s="732">
        <f>+J73</f>
        <v>1286200</v>
      </c>
      <c r="M73" s="732"/>
      <c r="N73" s="732"/>
      <c r="O73" s="732"/>
      <c r="P73" s="732"/>
      <c r="Q73" s="732">
        <f>+J73+J74</f>
        <v>3372109.6</v>
      </c>
      <c r="R73" s="370"/>
    </row>
    <row r="74" spans="1:18">
      <c r="A74" t="s">
        <v>619</v>
      </c>
      <c r="B74" t="s">
        <v>1239</v>
      </c>
      <c r="C74" t="s">
        <v>1367</v>
      </c>
      <c r="D74" t="s">
        <v>1260</v>
      </c>
      <c r="E74" t="s">
        <v>1369</v>
      </c>
      <c r="F74" s="370">
        <v>2480076.7999999998</v>
      </c>
      <c r="H74" s="370">
        <v>2480076.7999999998</v>
      </c>
      <c r="I74" s="370">
        <v>0</v>
      </c>
      <c r="J74" s="824">
        <v>2085909.6</v>
      </c>
      <c r="K74" s="730">
        <f>+J74*0.5</f>
        <v>1042954.8</v>
      </c>
      <c r="L74" s="730">
        <f>+J74*0.5</f>
        <v>1042954.8</v>
      </c>
      <c r="M74" s="732"/>
      <c r="N74" s="732"/>
      <c r="O74" s="732"/>
      <c r="P74" s="732"/>
      <c r="Q74">
        <f>+Q73/60.65</f>
        <v>55599.498763396543</v>
      </c>
    </row>
    <row r="75" spans="1:18">
      <c r="A75" t="s">
        <v>619</v>
      </c>
      <c r="B75" t="s">
        <v>1239</v>
      </c>
      <c r="C75" s="250" t="s">
        <v>1316</v>
      </c>
      <c r="D75" s="250"/>
      <c r="E75" s="250" t="s">
        <v>1370</v>
      </c>
      <c r="F75" s="827">
        <v>32500</v>
      </c>
      <c r="G75" s="827"/>
      <c r="H75" s="827">
        <v>32500</v>
      </c>
      <c r="I75" s="827">
        <v>32500</v>
      </c>
      <c r="J75" s="826">
        <v>29232</v>
      </c>
      <c r="K75" s="828">
        <f>+J75</f>
        <v>29232</v>
      </c>
      <c r="L75" s="828"/>
      <c r="M75" s="828"/>
      <c r="N75" s="828"/>
      <c r="O75" s="828"/>
      <c r="P75" s="828"/>
    </row>
    <row r="76" spans="1:18">
      <c r="C76" s="250" t="s">
        <v>1371</v>
      </c>
      <c r="D76" s="250"/>
      <c r="E76" s="250" t="s">
        <v>1269</v>
      </c>
      <c r="F76" s="827"/>
      <c r="G76" s="827"/>
      <c r="H76" s="827"/>
      <c r="I76" s="827"/>
      <c r="J76" s="826">
        <f>SUM(K76:P76)</f>
        <v>1777565.0684931511</v>
      </c>
      <c r="K76" s="826">
        <v>238777.39726027395</v>
      </c>
      <c r="L76" s="825">
        <f>(+(+(2500/0.73)*1.27)*61)*1</f>
        <v>265308.21917808219</v>
      </c>
      <c r="M76" s="825">
        <f>(+(+(3000/0.73)*1.27)*61)*1</f>
        <v>318369.86301369872</v>
      </c>
      <c r="N76" s="825">
        <f>(+(+(3000/0.73)*1.27)*61)*1</f>
        <v>318369.86301369872</v>
      </c>
      <c r="O76" s="825">
        <f>(+(+(3000/0.73)*1.27)*61)*1</f>
        <v>318369.86301369872</v>
      </c>
      <c r="P76" s="825">
        <f>(+(+(3000/0.73)*1.27)*61)*1</f>
        <v>318369.86301369872</v>
      </c>
    </row>
    <row r="77" spans="1:18" s="373" customFormat="1" ht="12">
      <c r="A77" s="773"/>
      <c r="B77" s="773"/>
      <c r="C77" s="774" t="s">
        <v>45</v>
      </c>
      <c r="D77" s="773"/>
      <c r="E77" s="773"/>
      <c r="F77" s="772">
        <f>SUM(F54:F63)</f>
        <v>872502.58000000007</v>
      </c>
      <c r="G77" s="772">
        <f>SUM(G54:G63)</f>
        <v>0</v>
      </c>
      <c r="H77" s="772">
        <f>SUM(H54:H63)</f>
        <v>872502.58000000007</v>
      </c>
      <c r="I77" s="772">
        <f>SUM(I54:I63)</f>
        <v>602716.10000000009</v>
      </c>
      <c r="J77" s="771">
        <f t="shared" ref="J77:P77" si="10">SUM(J53:J76)</f>
        <v>8020051.5684931511</v>
      </c>
      <c r="K77" s="771">
        <f t="shared" si="10"/>
        <v>3595791.8572602738</v>
      </c>
      <c r="L77" s="771">
        <f t="shared" si="10"/>
        <v>3150780.2591780825</v>
      </c>
      <c r="M77" s="771">
        <f t="shared" si="10"/>
        <v>318369.86301369872</v>
      </c>
      <c r="N77" s="771">
        <f t="shared" si="10"/>
        <v>318369.86301369872</v>
      </c>
      <c r="O77" s="771">
        <f t="shared" si="10"/>
        <v>318369.86301369872</v>
      </c>
      <c r="P77" s="771">
        <f t="shared" si="10"/>
        <v>318369.86301369872</v>
      </c>
    </row>
    <row r="78" spans="1:18">
      <c r="J78" s="824"/>
      <c r="K78" s="732"/>
      <c r="L78" s="732"/>
      <c r="M78" s="732"/>
      <c r="N78" s="732"/>
      <c r="O78" s="732"/>
      <c r="P78" s="732"/>
    </row>
    <row r="79" spans="1:18">
      <c r="A79" t="s">
        <v>628</v>
      </c>
      <c r="B79" t="s">
        <v>1147</v>
      </c>
      <c r="C79" t="s">
        <v>400</v>
      </c>
      <c r="D79" t="s">
        <v>1275</v>
      </c>
      <c r="E79" t="s">
        <v>1276</v>
      </c>
      <c r="F79" s="370">
        <v>10000</v>
      </c>
      <c r="H79" s="370">
        <v>10000</v>
      </c>
      <c r="I79" s="370">
        <v>0</v>
      </c>
      <c r="J79" s="824">
        <v>10000</v>
      </c>
      <c r="K79" s="732">
        <f>+J79</f>
        <v>10000</v>
      </c>
      <c r="L79" s="732"/>
      <c r="M79" s="732"/>
      <c r="N79" s="732"/>
      <c r="O79" s="732"/>
      <c r="P79" s="732"/>
    </row>
    <row r="80" spans="1:18">
      <c r="A80" t="s">
        <v>628</v>
      </c>
      <c r="B80" t="s">
        <v>1147</v>
      </c>
      <c r="C80" t="s">
        <v>404</v>
      </c>
      <c r="D80" t="s">
        <v>1273</v>
      </c>
      <c r="E80" t="s">
        <v>1274</v>
      </c>
      <c r="F80" s="370">
        <v>77442</v>
      </c>
      <c r="H80" s="370">
        <v>77442</v>
      </c>
      <c r="I80" s="370">
        <v>77442</v>
      </c>
      <c r="J80" s="824">
        <v>77442</v>
      </c>
      <c r="K80" s="732">
        <f>+J80</f>
        <v>77442</v>
      </c>
      <c r="L80" s="732"/>
      <c r="M80" s="732"/>
      <c r="N80" s="732"/>
      <c r="O80" s="732"/>
      <c r="P80" s="732"/>
    </row>
    <row r="81" spans="1:16">
      <c r="A81" t="s">
        <v>628</v>
      </c>
      <c r="B81" t="s">
        <v>1147</v>
      </c>
      <c r="C81" t="s">
        <v>1213</v>
      </c>
      <c r="D81" t="s">
        <v>1271</v>
      </c>
      <c r="E81" t="s">
        <v>1272</v>
      </c>
      <c r="F81" s="370">
        <v>120006</v>
      </c>
      <c r="H81" s="370">
        <v>120006</v>
      </c>
      <c r="I81" s="370">
        <v>120006</v>
      </c>
      <c r="J81" s="824">
        <v>120006</v>
      </c>
      <c r="K81" s="732">
        <f>+J81</f>
        <v>120006</v>
      </c>
      <c r="L81" s="732"/>
      <c r="M81" s="732"/>
      <c r="N81" s="732"/>
      <c r="O81" s="732"/>
      <c r="P81" s="732"/>
    </row>
    <row r="82" spans="1:16">
      <c r="A82" t="s">
        <v>628</v>
      </c>
      <c r="B82" t="s">
        <v>1147</v>
      </c>
      <c r="C82" t="s">
        <v>715</v>
      </c>
      <c r="D82" t="s">
        <v>1097</v>
      </c>
      <c r="E82" t="s">
        <v>1098</v>
      </c>
      <c r="F82" s="370">
        <v>123900</v>
      </c>
      <c r="H82" s="370">
        <v>123900</v>
      </c>
      <c r="I82" s="370">
        <v>88500</v>
      </c>
      <c r="J82" s="824">
        <v>123900</v>
      </c>
      <c r="K82" s="824">
        <v>88500</v>
      </c>
      <c r="L82" s="732">
        <f>+J82-K82</f>
        <v>35400</v>
      </c>
      <c r="M82" s="732"/>
      <c r="N82" s="732"/>
      <c r="O82" s="732"/>
      <c r="P82" s="732"/>
    </row>
    <row r="83" spans="1:16">
      <c r="A83" t="s">
        <v>628</v>
      </c>
      <c r="B83" t="s">
        <v>1147</v>
      </c>
      <c r="C83" t="s">
        <v>795</v>
      </c>
      <c r="D83" t="s">
        <v>946</v>
      </c>
      <c r="E83" t="s">
        <v>1372</v>
      </c>
      <c r="F83" s="370">
        <v>369694</v>
      </c>
      <c r="H83" s="370">
        <v>369694</v>
      </c>
      <c r="I83" s="370">
        <v>369694</v>
      </c>
      <c r="J83" s="824">
        <v>1085364</v>
      </c>
      <c r="K83" s="732">
        <f>+J83</f>
        <v>1085364</v>
      </c>
      <c r="L83" s="732"/>
      <c r="M83" s="732"/>
      <c r="N83" s="732"/>
      <c r="O83" s="732"/>
      <c r="P83" s="732"/>
    </row>
    <row r="84" spans="1:16">
      <c r="C84" t="s">
        <v>795</v>
      </c>
      <c r="D84" t="s">
        <v>1373</v>
      </c>
      <c r="E84" t="s">
        <v>1374</v>
      </c>
      <c r="F84" s="549"/>
      <c r="G84" s="549"/>
      <c r="H84" s="549"/>
      <c r="I84" s="549"/>
      <c r="J84" s="824">
        <v>114507.2</v>
      </c>
      <c r="K84" s="732">
        <f>+J84*0.5</f>
        <v>57253.599999999999</v>
      </c>
      <c r="L84" s="732">
        <f>+J84*0.5</f>
        <v>57253.599999999999</v>
      </c>
      <c r="M84" s="732"/>
      <c r="N84" s="732"/>
      <c r="O84" s="732"/>
    </row>
    <row r="85" spans="1:16">
      <c r="C85" t="s">
        <v>795</v>
      </c>
      <c r="D85" t="s">
        <v>1375</v>
      </c>
      <c r="E85" t="s">
        <v>1376</v>
      </c>
      <c r="F85" s="549"/>
      <c r="G85" s="549"/>
      <c r="H85" s="549"/>
      <c r="I85" s="549"/>
      <c r="J85" s="824">
        <v>78723.7</v>
      </c>
      <c r="K85" s="732">
        <f>+J85*0.5</f>
        <v>39361.85</v>
      </c>
      <c r="L85" s="732">
        <f>+J85*0.5</f>
        <v>39361.85</v>
      </c>
      <c r="M85" s="732"/>
      <c r="N85" s="732"/>
      <c r="O85" s="732"/>
    </row>
    <row r="86" spans="1:16">
      <c r="C86" t="s">
        <v>795</v>
      </c>
      <c r="D86" t="s">
        <v>1377</v>
      </c>
      <c r="E86" t="s">
        <v>1378</v>
      </c>
      <c r="F86" s="549"/>
      <c r="G86" s="549"/>
      <c r="H86" s="549"/>
      <c r="I86" s="549"/>
      <c r="J86" s="824">
        <v>715670</v>
      </c>
      <c r="K86" s="732"/>
      <c r="L86" s="732">
        <f>+J86*0.5</f>
        <v>357835</v>
      </c>
      <c r="N86" s="732">
        <f>+J86*0.5</f>
        <v>357835</v>
      </c>
      <c r="O86" s="732"/>
      <c r="P86" s="732"/>
    </row>
    <row r="87" spans="1:16">
      <c r="A87" t="s">
        <v>628</v>
      </c>
      <c r="B87" t="s">
        <v>1147</v>
      </c>
      <c r="C87" t="s">
        <v>950</v>
      </c>
      <c r="D87" t="s">
        <v>949</v>
      </c>
      <c r="E87" t="s">
        <v>1150</v>
      </c>
      <c r="F87" s="370">
        <v>2587042.39</v>
      </c>
      <c r="H87" s="370">
        <v>2587042.39</v>
      </c>
      <c r="I87" s="370">
        <v>0</v>
      </c>
      <c r="J87" s="824">
        <v>2587042.39</v>
      </c>
      <c r="K87" s="732"/>
      <c r="L87" s="732">
        <f>+J87</f>
        <v>2587042.39</v>
      </c>
      <c r="M87" s="732"/>
      <c r="N87" s="732"/>
      <c r="O87" s="732"/>
      <c r="P87" s="732"/>
    </row>
    <row r="88" spans="1:16" s="373" customFormat="1" ht="12">
      <c r="A88" s="773"/>
      <c r="B88" s="773"/>
      <c r="C88" s="774" t="s">
        <v>48</v>
      </c>
      <c r="D88" s="773"/>
      <c r="E88" s="773"/>
      <c r="F88" s="772">
        <f>SUM(F78:F87)</f>
        <v>3288084.39</v>
      </c>
      <c r="G88" s="772">
        <f>SUM(G78:G87)</f>
        <v>0</v>
      </c>
      <c r="H88" s="772">
        <f>SUM(H78:H87)</f>
        <v>3288084.39</v>
      </c>
      <c r="I88" s="772">
        <f>SUM(I78:I87)</f>
        <v>655642</v>
      </c>
      <c r="J88" s="771">
        <f t="shared" ref="J88:P88" si="11">SUM(J79:J87)</f>
        <v>4912655.29</v>
      </c>
      <c r="K88" s="771">
        <f t="shared" si="11"/>
        <v>1477927.4500000002</v>
      </c>
      <c r="L88" s="771">
        <f t="shared" si="11"/>
        <v>3076892.8400000003</v>
      </c>
      <c r="M88" s="771">
        <f t="shared" si="11"/>
        <v>0</v>
      </c>
      <c r="N88" s="771">
        <f t="shared" si="11"/>
        <v>357835</v>
      </c>
      <c r="O88" s="771">
        <f t="shared" si="11"/>
        <v>0</v>
      </c>
      <c r="P88" s="771">
        <f t="shared" si="11"/>
        <v>0</v>
      </c>
    </row>
    <row r="89" spans="1:16" s="373" customFormat="1" ht="12">
      <c r="A89" s="590"/>
      <c r="B89" s="590"/>
      <c r="C89" s="781"/>
      <c r="D89" s="590"/>
      <c r="E89" s="590"/>
      <c r="F89" s="780"/>
      <c r="G89" s="780"/>
      <c r="H89" s="780"/>
      <c r="I89" s="780"/>
      <c r="J89" s="779"/>
      <c r="K89" s="779"/>
      <c r="L89" s="779"/>
      <c r="M89" s="779"/>
      <c r="N89" s="779"/>
      <c r="O89" s="779"/>
      <c r="P89" s="779"/>
    </row>
    <row r="90" spans="1:16">
      <c r="J90" s="824">
        <f t="shared" ref="J90:P90" si="12">+J4+J10+J27+J30+J35+J39+J42+J46+J51+J77+J88</f>
        <v>100003623.48849316</v>
      </c>
      <c r="K90" s="824">
        <f t="shared" si="12"/>
        <v>18128073.697260272</v>
      </c>
      <c r="L90" s="824">
        <f t="shared" si="12"/>
        <v>22856849.789178081</v>
      </c>
      <c r="M90" s="824">
        <f t="shared" si="12"/>
        <v>18609590.823013701</v>
      </c>
      <c r="N90" s="824">
        <f t="shared" si="12"/>
        <v>16170082.393013697</v>
      </c>
      <c r="O90" s="824">
        <f t="shared" si="12"/>
        <v>14810513.393013697</v>
      </c>
      <c r="P90" s="824">
        <f t="shared" si="12"/>
        <v>9428513.3930136971</v>
      </c>
    </row>
    <row r="91" spans="1:16">
      <c r="A91" s="823" t="s">
        <v>447</v>
      </c>
      <c r="B91" s="823"/>
      <c r="C91" s="823"/>
      <c r="D91" s="823"/>
      <c r="E91" s="823"/>
      <c r="F91" s="822">
        <f>SUM(F3:F87)</f>
        <v>31944765.560000002</v>
      </c>
      <c r="G91" s="822">
        <f>SUM(G3:G87)</f>
        <v>942331.32000000018</v>
      </c>
      <c r="H91" s="822">
        <f>SUM(H3:H87)</f>
        <v>33007096.879999995</v>
      </c>
      <c r="I91" s="822">
        <f>SUM(I3:I87)</f>
        <v>11896838.949999997</v>
      </c>
      <c r="J91" s="821">
        <f t="shared" ref="J91:P91" si="13">SUM(J3:J88)/2</f>
        <v>100003623.48849313</v>
      </c>
      <c r="K91" s="821">
        <f t="shared" si="13"/>
        <v>18128073.697260279</v>
      </c>
      <c r="L91" s="821">
        <f t="shared" si="13"/>
        <v>22856849.789178085</v>
      </c>
      <c r="M91" s="821">
        <f t="shared" si="13"/>
        <v>18609590.823013701</v>
      </c>
      <c r="N91" s="821">
        <f t="shared" si="13"/>
        <v>16170082.393013701</v>
      </c>
      <c r="O91" s="821">
        <f t="shared" si="13"/>
        <v>14810513.393013701</v>
      </c>
      <c r="P91" s="821">
        <f t="shared" si="13"/>
        <v>9428513.393013699</v>
      </c>
    </row>
    <row r="92" spans="1:16">
      <c r="J92" s="730">
        <f t="shared" ref="J92:P92" si="14">+J90-J91</f>
        <v>0</v>
      </c>
      <c r="K92" s="730">
        <f t="shared" si="14"/>
        <v>0</v>
      </c>
      <c r="L92" s="730">
        <f t="shared" si="14"/>
        <v>0</v>
      </c>
      <c r="M92" s="730">
        <f t="shared" si="14"/>
        <v>0</v>
      </c>
      <c r="N92" s="730">
        <f t="shared" si="14"/>
        <v>0</v>
      </c>
      <c r="O92" s="730">
        <f t="shared" si="14"/>
        <v>0</v>
      </c>
      <c r="P92" s="730">
        <f t="shared" si="14"/>
        <v>0</v>
      </c>
    </row>
    <row r="101" spans="10:11">
      <c r="J101" s="370">
        <v>15000000</v>
      </c>
    </row>
    <row r="102" spans="10:11">
      <c r="J102" s="1045">
        <v>-1689000</v>
      </c>
      <c r="K102" t="s">
        <v>1379</v>
      </c>
    </row>
    <row r="103" spans="10:11">
      <c r="J103" s="1045">
        <v>-731900</v>
      </c>
      <c r="K103" t="s">
        <v>1380</v>
      </c>
    </row>
    <row r="104" spans="10:11">
      <c r="J104" s="1045">
        <v>-2252000</v>
      </c>
      <c r="K104" t="s">
        <v>945</v>
      </c>
    </row>
    <row r="105" spans="10:11">
      <c r="J105" s="370">
        <f>SUM(J101:J104)</f>
        <v>10327100</v>
      </c>
    </row>
    <row r="106" spans="10:11">
      <c r="J106" s="1045">
        <f>-'FLUJO JUNIO 2025'!D36</f>
        <v>-5657784.9500000002</v>
      </c>
      <c r="K106" t="s">
        <v>1381</v>
      </c>
    </row>
    <row r="107" spans="10:11">
      <c r="J107" s="370">
        <f>+J105+J106</f>
        <v>4669315.05</v>
      </c>
    </row>
    <row r="108" spans="10:11">
      <c r="J108" s="1045">
        <v>-1185000</v>
      </c>
      <c r="K108" t="s">
        <v>1382</v>
      </c>
    </row>
    <row r="109" spans="10:11">
      <c r="J109" s="370">
        <f>+J107+J108</f>
        <v>3484315.05</v>
      </c>
    </row>
    <row r="110" spans="10:11">
      <c r="J110" s="1045">
        <f>-K50-K48-K64</f>
        <v>-1310689.53</v>
      </c>
      <c r="K110" t="s">
        <v>1383</v>
      </c>
    </row>
    <row r="111" spans="10:11">
      <c r="J111" s="370">
        <f>+J109+J110</f>
        <v>2173625.5199999996</v>
      </c>
    </row>
  </sheetData>
  <autoFilter ref="C1:P93" xr:uid="{87D321AD-D656-4B12-9B73-AB04ECD0B31C}"/>
  <phoneticPr fontId="3" type="noConversion"/>
  <conditionalFormatting sqref="D1:D1048576">
    <cfRule type="duplicateValues" dxfId="21" priority="1"/>
  </conditionalFormatting>
  <pageMargins left="0.7" right="0.7" top="0.75" bottom="0.75" header="0.3" footer="0.3"/>
  <pageSetup orientation="portrait" horizontalDpi="4294967295" verticalDpi="4294967295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9485A-8C1D-42E7-B267-AF4D8FA06C5B}">
  <dimension ref="A1:I53"/>
  <sheetViews>
    <sheetView showGridLines="0" zoomScaleNormal="100" workbookViewId="0">
      <selection activeCell="F36" sqref="F36"/>
    </sheetView>
  </sheetViews>
  <sheetFormatPr baseColWidth="10" defaultColWidth="8" defaultRowHeight="11.4"/>
  <cols>
    <col min="1" max="1" width="3.5546875" style="408" customWidth="1"/>
    <col min="2" max="2" width="40.44140625" style="408" bestFit="1" customWidth="1"/>
    <col min="3" max="3" width="13.33203125" style="408" customWidth="1"/>
    <col min="4" max="4" width="3.6640625" style="408" bestFit="1" customWidth="1"/>
    <col min="5" max="5" width="8" style="408"/>
    <col min="6" max="6" width="58.88671875" style="408" bestFit="1" customWidth="1"/>
    <col min="7" max="7" width="12.44140625" style="408" bestFit="1" customWidth="1"/>
    <col min="8" max="8" width="12.33203125" style="408" bestFit="1" customWidth="1"/>
    <col min="9" max="9" width="13" style="408" bestFit="1" customWidth="1"/>
    <col min="10" max="16384" width="8" style="408"/>
  </cols>
  <sheetData>
    <row r="1" spans="1:9" s="405" customFormat="1" ht="16.649999999999999" customHeight="1">
      <c r="A1" s="404" t="s">
        <v>235</v>
      </c>
      <c r="B1" s="404"/>
      <c r="C1" s="404"/>
      <c r="D1" s="404"/>
      <c r="F1" s="447" t="s">
        <v>662</v>
      </c>
      <c r="G1" s="447"/>
      <c r="H1" s="447"/>
      <c r="I1" s="447"/>
    </row>
    <row r="2" spans="1:9" s="407" customFormat="1" ht="14.4" customHeight="1">
      <c r="A2" s="406" t="s">
        <v>236</v>
      </c>
      <c r="B2" s="406"/>
      <c r="C2" s="406"/>
      <c r="D2" s="406"/>
      <c r="F2" s="449" t="s">
        <v>1384</v>
      </c>
      <c r="G2" s="449"/>
      <c r="H2" s="449"/>
      <c r="I2" s="449"/>
    </row>
    <row r="3" spans="1:9" s="407" customFormat="1" ht="14.4" customHeight="1">
      <c r="A3" s="406" t="s">
        <v>1385</v>
      </c>
      <c r="B3" s="406"/>
      <c r="C3" s="406"/>
      <c r="D3" s="406"/>
      <c r="F3" s="449" t="s">
        <v>1386</v>
      </c>
      <c r="G3" s="449"/>
      <c r="H3" s="449"/>
      <c r="I3" s="449"/>
    </row>
    <row r="4" spans="1:9" ht="13.35" customHeight="1">
      <c r="F4"/>
      <c r="G4"/>
      <c r="H4"/>
      <c r="I4"/>
    </row>
    <row r="5" spans="1:9" s="412" customFormat="1" ht="12.15" customHeight="1">
      <c r="A5" s="409"/>
      <c r="B5" s="410" t="s">
        <v>238</v>
      </c>
      <c r="C5" s="411" t="s">
        <v>1387</v>
      </c>
      <c r="D5" s="411"/>
      <c r="F5" s="451" t="s">
        <v>862</v>
      </c>
      <c r="G5" s="452" t="s">
        <v>665</v>
      </c>
      <c r="H5" s="452" t="s">
        <v>666</v>
      </c>
      <c r="I5" s="451" t="s">
        <v>238</v>
      </c>
    </row>
    <row r="6" spans="1:9" ht="13.35" customHeight="1">
      <c r="F6" s="455" t="s">
        <v>1388</v>
      </c>
      <c r="G6" s="456">
        <v>94191221.829999998</v>
      </c>
      <c r="H6" s="456">
        <v>0</v>
      </c>
      <c r="I6" s="802">
        <f>+G6-H6</f>
        <v>94191221.829999998</v>
      </c>
    </row>
    <row r="7" spans="1:9" s="412" customFormat="1" ht="12.15" customHeight="1">
      <c r="A7" s="409" t="s">
        <v>239</v>
      </c>
      <c r="B7" s="409"/>
      <c r="C7" s="409"/>
      <c r="D7" s="409"/>
      <c r="F7" s="459" t="s">
        <v>1389</v>
      </c>
      <c r="G7" s="460">
        <v>21715435.649999999</v>
      </c>
      <c r="H7" s="460">
        <v>0</v>
      </c>
      <c r="I7" s="802">
        <f t="shared" ref="I7:I26" si="0">+G7-H7</f>
        <v>21715435.649999999</v>
      </c>
    </row>
    <row r="8" spans="1:9" ht="10.95" customHeight="1">
      <c r="A8" s="413"/>
      <c r="B8" s="413" t="s">
        <v>638</v>
      </c>
      <c r="C8" s="413"/>
      <c r="D8" s="413"/>
      <c r="F8" s="459" t="s">
        <v>1025</v>
      </c>
      <c r="G8" s="460">
        <v>12061090.189999999</v>
      </c>
      <c r="H8" s="460">
        <v>1993193.66</v>
      </c>
      <c r="I8" s="802">
        <f t="shared" si="0"/>
        <v>10067896.529999999</v>
      </c>
    </row>
    <row r="9" spans="1:9" ht="10.95" customHeight="1">
      <c r="B9" s="414" t="s">
        <v>639</v>
      </c>
      <c r="C9" s="415">
        <v>71474.679999999993</v>
      </c>
      <c r="D9" s="414"/>
      <c r="F9" s="459" t="s">
        <v>1037</v>
      </c>
      <c r="G9" s="460">
        <v>11533325.91</v>
      </c>
      <c r="H9" s="460">
        <v>0</v>
      </c>
      <c r="I9" s="802">
        <f t="shared" si="0"/>
        <v>11533325.91</v>
      </c>
    </row>
    <row r="10" spans="1:9" ht="10.95" customHeight="1">
      <c r="B10" s="414" t="s">
        <v>640</v>
      </c>
      <c r="C10" s="415">
        <v>112599.65</v>
      </c>
      <c r="D10" s="414" t="s">
        <v>641</v>
      </c>
      <c r="F10" s="459" t="s">
        <v>1390</v>
      </c>
      <c r="G10" s="460">
        <v>92323.199999999997</v>
      </c>
      <c r="H10" s="460">
        <v>0</v>
      </c>
      <c r="I10" s="802">
        <f t="shared" si="0"/>
        <v>92323.199999999997</v>
      </c>
    </row>
    <row r="11" spans="1:9" ht="10.95" customHeight="1">
      <c r="B11" s="414" t="s">
        <v>799</v>
      </c>
      <c r="C11" s="415">
        <v>3997240.08</v>
      </c>
      <c r="D11" s="414" t="s">
        <v>641</v>
      </c>
      <c r="F11" s="459" t="s">
        <v>1391</v>
      </c>
      <c r="G11" s="460">
        <v>54785.34</v>
      </c>
      <c r="H11" s="460">
        <v>0</v>
      </c>
      <c r="I11" s="802">
        <f t="shared" si="0"/>
        <v>54785.34</v>
      </c>
    </row>
    <row r="12" spans="1:9" ht="10.95" customHeight="1">
      <c r="B12" s="414" t="s">
        <v>1392</v>
      </c>
      <c r="C12" s="415">
        <v>13977096.08</v>
      </c>
      <c r="D12" s="414" t="s">
        <v>641</v>
      </c>
      <c r="F12" s="836" t="s">
        <v>1393</v>
      </c>
      <c r="G12" s="837">
        <f t="shared" ref="G12:H12" si="1">SUM(G6:G11)</f>
        <v>139648182.11999997</v>
      </c>
      <c r="H12" s="837">
        <f t="shared" si="1"/>
        <v>1993193.66</v>
      </c>
      <c r="I12" s="837">
        <f>SUM(I6:I11)</f>
        <v>137654988.45999998</v>
      </c>
    </row>
    <row r="13" spans="1:9" ht="10.95" customHeight="1">
      <c r="B13" s="414" t="s">
        <v>1394</v>
      </c>
      <c r="C13" s="415">
        <v>1001267.63</v>
      </c>
      <c r="D13" s="414"/>
      <c r="F13" s="459"/>
      <c r="G13" s="460"/>
      <c r="H13" s="460"/>
      <c r="I13" s="802"/>
    </row>
    <row r="14" spans="1:9" ht="10.95" customHeight="1">
      <c r="B14" s="414" t="s">
        <v>844</v>
      </c>
      <c r="C14" s="415">
        <v>4010708.22</v>
      </c>
      <c r="D14" s="414" t="s">
        <v>641</v>
      </c>
      <c r="F14" s="459" t="s">
        <v>954</v>
      </c>
      <c r="G14" s="460">
        <v>5471175.9699999997</v>
      </c>
      <c r="H14" s="460">
        <v>0</v>
      </c>
      <c r="I14" s="802">
        <f t="shared" si="0"/>
        <v>5471175.9699999997</v>
      </c>
    </row>
    <row r="15" spans="1:9" ht="10.95" customHeight="1">
      <c r="B15" s="414" t="s">
        <v>845</v>
      </c>
      <c r="C15" s="415">
        <v>1224277.92</v>
      </c>
      <c r="D15" s="414"/>
      <c r="F15" s="459" t="s">
        <v>1279</v>
      </c>
      <c r="G15" s="460">
        <v>1534000</v>
      </c>
      <c r="H15" s="460">
        <v>0</v>
      </c>
      <c r="I15" s="802">
        <f t="shared" si="0"/>
        <v>1534000</v>
      </c>
    </row>
    <row r="16" spans="1:9" ht="10.95" customHeight="1">
      <c r="B16" s="416" t="s">
        <v>642</v>
      </c>
      <c r="C16" s="417">
        <f>SUM(C9:C15)</f>
        <v>24394664.259999998</v>
      </c>
      <c r="D16" s="416"/>
      <c r="F16" s="459" t="s">
        <v>1280</v>
      </c>
      <c r="G16" s="460">
        <v>4690542.4400000004</v>
      </c>
      <c r="H16" s="460">
        <v>0</v>
      </c>
      <c r="I16" s="802">
        <f t="shared" si="0"/>
        <v>4690542.4400000004</v>
      </c>
    </row>
    <row r="17" spans="1:9" ht="10.95" customHeight="1">
      <c r="A17" s="413"/>
      <c r="B17" s="413" t="s">
        <v>240</v>
      </c>
      <c r="C17" s="413"/>
      <c r="D17" s="413"/>
      <c r="F17" s="459" t="s">
        <v>1281</v>
      </c>
      <c r="G17" s="460">
        <v>562462.9</v>
      </c>
      <c r="H17" s="460">
        <v>0</v>
      </c>
      <c r="I17" s="802">
        <f t="shared" si="0"/>
        <v>562462.9</v>
      </c>
    </row>
    <row r="18" spans="1:9" ht="10.95" customHeight="1">
      <c r="B18" s="414" t="s">
        <v>241</v>
      </c>
      <c r="C18" s="415">
        <v>15175476.640000001</v>
      </c>
      <c r="D18" s="414"/>
      <c r="F18" s="459" t="s">
        <v>1282</v>
      </c>
      <c r="G18" s="460">
        <v>310235.11</v>
      </c>
      <c r="H18" s="460">
        <v>0</v>
      </c>
      <c r="I18" s="802">
        <f t="shared" si="0"/>
        <v>310235.11</v>
      </c>
    </row>
    <row r="19" spans="1:9" ht="10.95" customHeight="1">
      <c r="B19" s="416" t="s">
        <v>242</v>
      </c>
      <c r="C19" s="417">
        <f>C18</f>
        <v>15175476.640000001</v>
      </c>
      <c r="D19" s="416"/>
      <c r="F19" s="459" t="s">
        <v>1283</v>
      </c>
      <c r="G19" s="460">
        <v>6893121.5199999996</v>
      </c>
      <c r="H19" s="460">
        <v>0</v>
      </c>
      <c r="I19" s="802">
        <f t="shared" si="0"/>
        <v>6893121.5199999996</v>
      </c>
    </row>
    <row r="20" spans="1:9" ht="10.95" customHeight="1">
      <c r="A20" s="413"/>
      <c r="B20" s="413" t="s">
        <v>243</v>
      </c>
      <c r="C20" s="413"/>
      <c r="D20" s="413"/>
      <c r="F20" s="459" t="s">
        <v>855</v>
      </c>
      <c r="G20" s="460">
        <v>6414761.3399999999</v>
      </c>
      <c r="H20" s="460">
        <v>0</v>
      </c>
      <c r="I20" s="802">
        <f t="shared" si="0"/>
        <v>6414761.3399999999</v>
      </c>
    </row>
    <row r="21" spans="1:9" ht="10.95" customHeight="1">
      <c r="B21" s="414" t="s">
        <v>1278</v>
      </c>
      <c r="C21" s="415">
        <v>4.1900000000000004</v>
      </c>
      <c r="D21" s="414"/>
      <c r="F21" s="459" t="s">
        <v>858</v>
      </c>
      <c r="G21" s="460">
        <v>3698626.94</v>
      </c>
      <c r="H21" s="460">
        <v>18821</v>
      </c>
      <c r="I21" s="802">
        <f t="shared" si="0"/>
        <v>3679805.94</v>
      </c>
    </row>
    <row r="22" spans="1:9" ht="10.95" customHeight="1">
      <c r="B22" s="414" t="s">
        <v>800</v>
      </c>
      <c r="C22" s="415">
        <v>43482646.630000003</v>
      </c>
      <c r="D22" s="414"/>
      <c r="F22" s="459" t="s">
        <v>942</v>
      </c>
      <c r="G22" s="460">
        <v>255323.73</v>
      </c>
      <c r="H22" s="460">
        <v>0</v>
      </c>
      <c r="I22" s="802">
        <f t="shared" si="0"/>
        <v>255323.73</v>
      </c>
    </row>
    <row r="23" spans="1:9" ht="10.95" customHeight="1">
      <c r="B23" s="414" t="s">
        <v>245</v>
      </c>
      <c r="C23" s="415">
        <v>30829127.739999998</v>
      </c>
      <c r="D23" s="414"/>
      <c r="F23" s="459" t="s">
        <v>940</v>
      </c>
      <c r="G23" s="460">
        <v>1017698.79</v>
      </c>
      <c r="H23" s="460">
        <v>0</v>
      </c>
      <c r="I23" s="802">
        <f t="shared" si="0"/>
        <v>1017698.79</v>
      </c>
    </row>
    <row r="24" spans="1:9" ht="10.95" customHeight="1">
      <c r="B24" s="414" t="s">
        <v>801</v>
      </c>
      <c r="C24" s="415">
        <v>14052404.34</v>
      </c>
      <c r="D24" s="414"/>
      <c r="F24" s="836" t="s">
        <v>1395</v>
      </c>
      <c r="G24" s="838">
        <f>SUM(G14:G23)</f>
        <v>30847948.739999998</v>
      </c>
      <c r="H24" s="838">
        <f t="shared" ref="H24:I24" si="2">SUM(H14:H23)</f>
        <v>18821</v>
      </c>
      <c r="I24" s="838">
        <f t="shared" si="2"/>
        <v>30829127.739999998</v>
      </c>
    </row>
    <row r="25" spans="1:9" ht="10.95" customHeight="1">
      <c r="B25" s="414" t="s">
        <v>33</v>
      </c>
      <c r="C25" s="415">
        <v>94172341.829999998</v>
      </c>
      <c r="D25" s="414"/>
      <c r="F25" s="459"/>
      <c r="G25" s="460"/>
      <c r="H25" s="460"/>
      <c r="I25" s="802"/>
    </row>
    <row r="26" spans="1:9" ht="10.95" customHeight="1">
      <c r="B26" s="416" t="s">
        <v>247</v>
      </c>
      <c r="C26" s="417">
        <f>SUM(C21:C25)</f>
        <v>182536524.73000002</v>
      </c>
      <c r="D26" s="416"/>
      <c r="F26" s="459" t="s">
        <v>860</v>
      </c>
      <c r="G26" s="460">
        <v>17555752.079999998</v>
      </c>
      <c r="H26" s="460">
        <v>3503347.74</v>
      </c>
      <c r="I26" s="802">
        <f t="shared" si="0"/>
        <v>14052404.339999998</v>
      </c>
    </row>
    <row r="27" spans="1:9" ht="10.95" customHeight="1">
      <c r="A27" s="416" t="s">
        <v>248</v>
      </c>
      <c r="C27" s="417">
        <f>(0 + ((C16 + C19) + C26))</f>
        <v>222106665.63000003</v>
      </c>
      <c r="D27" s="416"/>
      <c r="F27" s="836" t="s">
        <v>1396</v>
      </c>
      <c r="G27" s="839">
        <f>SUM(G26)</f>
        <v>17555752.079999998</v>
      </c>
      <c r="H27" s="839">
        <f t="shared" ref="H27:I27" si="3">SUM(H26)</f>
        <v>3503347.74</v>
      </c>
      <c r="I27" s="839">
        <f t="shared" si="3"/>
        <v>14052404.339999998</v>
      </c>
    </row>
    <row r="28" spans="1:9" ht="13.35" customHeight="1">
      <c r="F28"/>
      <c r="G28" s="614"/>
      <c r="H28" s="614"/>
      <c r="I28" s="614"/>
    </row>
    <row r="29" spans="1:9" s="412" customFormat="1" ht="12.15" customHeight="1">
      <c r="A29" s="409" t="s">
        <v>249</v>
      </c>
      <c r="B29" s="409"/>
      <c r="C29" s="409"/>
      <c r="D29" s="409"/>
      <c r="F29" s="461" t="s">
        <v>164</v>
      </c>
      <c r="G29" s="462">
        <f>+G12+G24+G27</f>
        <v>188051882.94</v>
      </c>
      <c r="H29" s="462">
        <f t="shared" ref="H29:I29" si="4">+H12+H24+H27</f>
        <v>5515362.4000000004</v>
      </c>
      <c r="I29" s="462">
        <f t="shared" si="4"/>
        <v>182536520.53999999</v>
      </c>
    </row>
    <row r="30" spans="1:9" ht="10.95" customHeight="1">
      <c r="A30" s="413"/>
      <c r="B30" s="413" t="s">
        <v>250</v>
      </c>
      <c r="C30" s="413"/>
      <c r="D30" s="413"/>
    </row>
    <row r="31" spans="1:9" ht="10.95" customHeight="1">
      <c r="B31" s="414" t="s">
        <v>251</v>
      </c>
      <c r="C31" s="415">
        <v>3488352.1</v>
      </c>
      <c r="D31" s="414" t="s">
        <v>641</v>
      </c>
      <c r="F31" s="412"/>
      <c r="G31" s="412"/>
      <c r="H31" s="412"/>
      <c r="I31" s="412"/>
    </row>
    <row r="32" spans="1:9" ht="10.95" customHeight="1">
      <c r="B32" s="414" t="s">
        <v>965</v>
      </c>
      <c r="C32" s="415">
        <v>34200000</v>
      </c>
      <c r="D32" s="414"/>
    </row>
    <row r="33" spans="1:4" ht="10.95" customHeight="1">
      <c r="B33" s="414" t="s">
        <v>802</v>
      </c>
      <c r="C33" s="415">
        <v>24111008.32</v>
      </c>
      <c r="D33" s="414"/>
    </row>
    <row r="34" spans="1:4" ht="10.95" customHeight="1">
      <c r="B34" s="414" t="s">
        <v>252</v>
      </c>
      <c r="C34" s="415">
        <v>141350</v>
      </c>
      <c r="D34" s="414"/>
    </row>
    <row r="35" spans="1:4" ht="10.95" customHeight="1">
      <c r="B35" s="414" t="s">
        <v>803</v>
      </c>
      <c r="C35" s="415">
        <v>1585.44</v>
      </c>
      <c r="D35" s="414"/>
    </row>
    <row r="36" spans="1:4" ht="10.95" customHeight="1">
      <c r="B36" s="414" t="s">
        <v>804</v>
      </c>
      <c r="C36" s="415">
        <v>225796.39</v>
      </c>
      <c r="D36" s="414"/>
    </row>
    <row r="37" spans="1:4" ht="10.95" customHeight="1">
      <c r="B37" s="414" t="s">
        <v>813</v>
      </c>
      <c r="C37" s="415">
        <v>48389.64</v>
      </c>
      <c r="D37" s="414"/>
    </row>
    <row r="38" spans="1:4" ht="10.95" customHeight="1">
      <c r="B38" s="414" t="s">
        <v>805</v>
      </c>
      <c r="C38" s="415">
        <v>880.8</v>
      </c>
      <c r="D38" s="414"/>
    </row>
    <row r="39" spans="1:4" ht="10.95" customHeight="1">
      <c r="B39" s="416" t="s">
        <v>253</v>
      </c>
      <c r="C39" s="417">
        <f>SUM(C31:C38)</f>
        <v>62217362.689999998</v>
      </c>
      <c r="D39" s="416"/>
    </row>
    <row r="40" spans="1:4" ht="10.95" customHeight="1">
      <c r="A40" s="416" t="s">
        <v>254</v>
      </c>
      <c r="C40" s="417">
        <f>(0 + C39)</f>
        <v>62217362.689999998</v>
      </c>
      <c r="D40" s="416"/>
    </row>
    <row r="41" spans="1:4" ht="13.35" customHeight="1"/>
    <row r="42" spans="1:4" ht="10.95" customHeight="1">
      <c r="B42" s="419" t="s">
        <v>255</v>
      </c>
      <c r="C42" s="420">
        <f>(C27 - C40)</f>
        <v>159889302.94000003</v>
      </c>
      <c r="D42" s="419"/>
    </row>
    <row r="43" spans="1:4" ht="13.35" customHeight="1"/>
    <row r="44" spans="1:4" s="412" customFormat="1" ht="12.15" customHeight="1">
      <c r="A44" s="409" t="s">
        <v>256</v>
      </c>
      <c r="B44" s="409"/>
      <c r="C44" s="409"/>
      <c r="D44" s="409"/>
    </row>
    <row r="45" spans="1:4" ht="10.95" customHeight="1">
      <c r="B45" s="421" t="s">
        <v>257</v>
      </c>
      <c r="C45" s="422">
        <v>159695773.63999999</v>
      </c>
      <c r="D45" s="421"/>
    </row>
    <row r="46" spans="1:4" ht="10.95" customHeight="1">
      <c r="B46" s="414" t="s">
        <v>647</v>
      </c>
      <c r="C46" s="415">
        <v>53967.17</v>
      </c>
      <c r="D46" s="414"/>
    </row>
    <row r="47" spans="1:4" ht="10.95" customHeight="1">
      <c r="B47" s="414" t="s">
        <v>846</v>
      </c>
      <c r="C47" s="415">
        <v>139562.13</v>
      </c>
      <c r="D47" s="414"/>
    </row>
    <row r="48" spans="1:4" ht="10.95" customHeight="1">
      <c r="A48" s="416" t="s">
        <v>258</v>
      </c>
      <c r="C48" s="417">
        <f>SUM(C45:C47)</f>
        <v>159889302.93999997</v>
      </c>
      <c r="D48" s="416"/>
    </row>
    <row r="51" spans="1:1" ht="10.95" customHeight="1">
      <c r="A51" s="423" t="s">
        <v>648</v>
      </c>
    </row>
    <row r="52" spans="1:1" ht="10.95" customHeight="1">
      <c r="A52" s="424" t="s">
        <v>1387</v>
      </c>
    </row>
    <row r="53" spans="1:1" ht="10.95" customHeight="1">
      <c r="A53" s="423" t="s">
        <v>1397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B707B-C4EC-4143-A2A3-7E1364E9809F}">
  <sheetPr>
    <pageSetUpPr autoPageBreaks="0" fitToPage="1"/>
  </sheetPr>
  <dimension ref="B1:Q57"/>
  <sheetViews>
    <sheetView showGridLines="0" zoomScale="80" zoomScaleNormal="80" zoomScalePageLayoutView="125" workbookViewId="0">
      <selection activeCell="M19" sqref="M19"/>
    </sheetView>
  </sheetViews>
  <sheetFormatPr baseColWidth="10" defaultColWidth="2.88671875" defaultRowHeight="13.2"/>
  <cols>
    <col min="1" max="1" width="1.33203125" style="851" customWidth="1"/>
    <col min="2" max="2" width="11.33203125" style="851" customWidth="1"/>
    <col min="3" max="3" width="27" style="851" customWidth="1"/>
    <col min="4" max="4" width="21.109375" style="851" bestFit="1" customWidth="1"/>
    <col min="5" max="5" width="17.44140625" style="851" bestFit="1" customWidth="1"/>
    <col min="6" max="6" width="16" style="851" bestFit="1" customWidth="1"/>
    <col min="7" max="7" width="10.44140625" style="851" bestFit="1" customWidth="1"/>
    <col min="8" max="8" width="9" style="851" bestFit="1" customWidth="1"/>
    <col min="9" max="9" width="9.33203125" style="851" bestFit="1" customWidth="1"/>
    <col min="10" max="10" width="8.33203125" style="851" bestFit="1" customWidth="1"/>
    <col min="11" max="11" width="4" style="851" customWidth="1"/>
    <col min="12" max="12" width="4.6640625" style="851" bestFit="1" customWidth="1"/>
    <col min="13" max="13" width="17.88671875" style="851" bestFit="1" customWidth="1"/>
    <col min="14" max="14" width="12.6640625" style="851" bestFit="1" customWidth="1"/>
    <col min="15" max="15" width="13.6640625" style="851" bestFit="1" customWidth="1"/>
    <col min="16" max="16" width="13" style="851" bestFit="1" customWidth="1"/>
    <col min="17" max="17" width="12.33203125" style="851" customWidth="1"/>
    <col min="18" max="18" width="9.6640625" style="851" bestFit="1" customWidth="1"/>
    <col min="19" max="19" width="10.33203125" style="851" bestFit="1" customWidth="1"/>
    <col min="20" max="20" width="7" style="851" bestFit="1" customWidth="1"/>
    <col min="21" max="21" width="10.33203125" style="851" bestFit="1" customWidth="1"/>
    <col min="22" max="22" width="13" style="851" bestFit="1" customWidth="1"/>
    <col min="23" max="23" width="13.33203125" style="851" bestFit="1" customWidth="1"/>
    <col min="24" max="24" width="6.33203125" style="851" customWidth="1"/>
    <col min="25" max="16384" width="2.88671875" style="851"/>
  </cols>
  <sheetData>
    <row r="1" spans="2:17" ht="22.2">
      <c r="B1" s="848" t="s">
        <v>1398</v>
      </c>
      <c r="C1" s="849"/>
      <c r="D1" s="849"/>
      <c r="E1" s="849"/>
      <c r="F1" s="849"/>
      <c r="G1" s="849"/>
      <c r="H1" s="849"/>
      <c r="I1" s="850"/>
    </row>
    <row r="3" spans="2:17" ht="15">
      <c r="B3" s="2139" t="s">
        <v>1399</v>
      </c>
      <c r="C3" s="2140"/>
      <c r="D3" s="2140"/>
      <c r="E3" s="2140"/>
      <c r="F3" s="2140"/>
      <c r="G3" s="2140"/>
      <c r="H3" s="2141"/>
      <c r="O3" s="852"/>
      <c r="P3" s="852"/>
      <c r="Q3" s="852"/>
    </row>
    <row r="4" spans="2:17" ht="13.8" thickBot="1">
      <c r="C4" s="853" t="s">
        <v>1400</v>
      </c>
      <c r="H4" s="854"/>
      <c r="O4" s="852"/>
      <c r="P4" s="852"/>
      <c r="Q4" s="852"/>
    </row>
    <row r="5" spans="2:17" ht="14.4" thickBot="1">
      <c r="C5" s="855" t="s">
        <v>1401</v>
      </c>
      <c r="D5" s="856">
        <f>+M26</f>
        <v>85.63</v>
      </c>
      <c r="E5" s="857"/>
      <c r="F5" s="858" t="s">
        <v>1402</v>
      </c>
      <c r="G5" s="859"/>
      <c r="N5" s="860"/>
      <c r="O5" s="852"/>
      <c r="P5" s="861"/>
      <c r="Q5" s="862"/>
    </row>
    <row r="6" spans="2:17" ht="14.4" thickBot="1">
      <c r="B6" s="863"/>
      <c r="C6" s="864" t="s">
        <v>1403</v>
      </c>
      <c r="D6" s="856"/>
      <c r="E6" s="857"/>
      <c r="F6" s="865" t="s">
        <v>1404</v>
      </c>
      <c r="G6" s="866" t="s">
        <v>1405</v>
      </c>
      <c r="N6" s="867"/>
      <c r="O6" s="852"/>
      <c r="P6" s="868"/>
      <c r="Q6" s="869"/>
    </row>
    <row r="7" spans="2:17" ht="14.4" thickBot="1">
      <c r="C7" s="864" t="s">
        <v>1406</v>
      </c>
      <c r="D7" s="870">
        <f>+O25</f>
        <v>462</v>
      </c>
      <c r="E7" s="871"/>
      <c r="F7" s="865" t="s">
        <v>1407</v>
      </c>
      <c r="G7" s="872"/>
      <c r="N7" s="860"/>
      <c r="O7" s="852"/>
      <c r="P7" s="868"/>
      <c r="Q7" s="873"/>
    </row>
    <row r="8" spans="2:17" ht="14.4" thickBot="1">
      <c r="C8" s="864"/>
      <c r="E8" s="874"/>
      <c r="F8" s="858" t="s">
        <v>1408</v>
      </c>
      <c r="G8" s="875" t="s">
        <v>1409</v>
      </c>
      <c r="N8" s="867"/>
      <c r="O8" s="852"/>
      <c r="P8" s="861"/>
      <c r="Q8" s="867"/>
    </row>
    <row r="9" spans="2:17" ht="14.4" thickBot="1">
      <c r="B9" s="876" t="s">
        <v>1410</v>
      </c>
      <c r="C9" s="853" t="s">
        <v>271</v>
      </c>
      <c r="D9" s="877" t="s">
        <v>1411</v>
      </c>
      <c r="E9" s="874"/>
      <c r="F9" s="858" t="s">
        <v>1412</v>
      </c>
      <c r="G9" s="878">
        <v>60</v>
      </c>
      <c r="N9" s="867"/>
      <c r="O9" s="879"/>
      <c r="P9" s="861"/>
      <c r="Q9" s="862"/>
    </row>
    <row r="10" spans="2:17" ht="14.4" thickBot="1">
      <c r="B10" s="880">
        <f>D10/D10</f>
        <v>1</v>
      </c>
      <c r="C10" s="864" t="s">
        <v>1413</v>
      </c>
      <c r="D10" s="856">
        <v>64535.58</v>
      </c>
      <c r="E10" s="874"/>
      <c r="F10" s="881"/>
      <c r="G10" s="881"/>
      <c r="I10" s="858"/>
      <c r="N10" s="860"/>
      <c r="O10" s="861"/>
      <c r="P10" s="868"/>
      <c r="Q10" s="869"/>
    </row>
    <row r="11" spans="2:17" ht="14.4" thickBot="1">
      <c r="B11" s="880">
        <f>D11/D10</f>
        <v>0.61301161312875774</v>
      </c>
      <c r="C11" s="864" t="s">
        <v>1414</v>
      </c>
      <c r="D11" s="856">
        <f>+M25</f>
        <v>39561.06</v>
      </c>
      <c r="E11" s="874"/>
      <c r="F11" s="882"/>
      <c r="G11" s="882"/>
      <c r="N11" s="883"/>
      <c r="O11" s="861"/>
      <c r="P11" s="868"/>
      <c r="Q11" s="869"/>
    </row>
    <row r="12" spans="2:17" ht="14.4" thickBot="1">
      <c r="B12" s="884">
        <f>D12/D10</f>
        <v>9.4988162053979799E-6</v>
      </c>
      <c r="C12" s="864" t="s">
        <v>1415</v>
      </c>
      <c r="D12" s="885">
        <f>+D11/D10</f>
        <v>0.61301161312875774</v>
      </c>
      <c r="E12" s="874"/>
      <c r="F12" s="886"/>
      <c r="G12" s="887"/>
      <c r="H12" s="867"/>
      <c r="N12" s="860"/>
      <c r="O12" s="852"/>
      <c r="P12" s="852"/>
      <c r="Q12" s="874"/>
    </row>
    <row r="13" spans="2:17" ht="13.8">
      <c r="D13" s="874"/>
      <c r="E13" s="874"/>
      <c r="F13" s="888"/>
      <c r="G13" s="882"/>
      <c r="H13" s="867"/>
      <c r="I13" s="889"/>
      <c r="N13" s="860"/>
      <c r="O13" s="852"/>
      <c r="P13" s="890"/>
    </row>
    <row r="14" spans="2:17" ht="13.8">
      <c r="D14" s="874"/>
      <c r="E14" s="874"/>
      <c r="F14" s="888"/>
      <c r="G14" s="891"/>
      <c r="H14" s="867"/>
      <c r="O14" s="890"/>
      <c r="P14" s="852"/>
    </row>
    <row r="15" spans="2:17" ht="13.8" thickBot="1">
      <c r="D15" s="874"/>
      <c r="E15" s="874"/>
      <c r="F15" s="882"/>
      <c r="G15" s="882"/>
      <c r="O15" s="892"/>
      <c r="P15" s="893" t="s">
        <v>1416</v>
      </c>
    </row>
    <row r="16" spans="2:17" ht="19.5" customHeight="1" thickBot="1">
      <c r="B16" s="894" t="s">
        <v>22</v>
      </c>
      <c r="C16" s="895"/>
      <c r="D16" s="895"/>
      <c r="E16" s="895"/>
      <c r="F16" s="896"/>
      <c r="G16" s="892"/>
      <c r="H16" s="892"/>
      <c r="I16" s="892"/>
      <c r="J16" s="892"/>
      <c r="K16" s="892"/>
      <c r="L16" s="892"/>
      <c r="M16" s="897" t="s">
        <v>1417</v>
      </c>
      <c r="N16" s="898" t="s">
        <v>1418</v>
      </c>
      <c r="O16" s="899" t="s">
        <v>1419</v>
      </c>
      <c r="P16" s="900" t="s">
        <v>1420</v>
      </c>
    </row>
    <row r="17" spans="2:17" ht="19.5" customHeight="1">
      <c r="B17" s="901" t="s">
        <v>1421</v>
      </c>
      <c r="C17" s="902" t="s">
        <v>29</v>
      </c>
      <c r="D17" s="903" t="s">
        <v>1422</v>
      </c>
      <c r="E17" s="904" t="s">
        <v>31</v>
      </c>
      <c r="F17" s="904" t="s">
        <v>1423</v>
      </c>
      <c r="G17" s="905" t="s">
        <v>1424</v>
      </c>
      <c r="H17" s="905" t="s">
        <v>1425</v>
      </c>
      <c r="I17" s="905" t="s">
        <v>1426</v>
      </c>
      <c r="J17" s="892"/>
      <c r="K17" s="892"/>
      <c r="L17" s="892"/>
      <c r="M17" s="906">
        <v>85.63</v>
      </c>
      <c r="N17" s="907">
        <v>38450</v>
      </c>
      <c r="O17" s="908">
        <v>462</v>
      </c>
      <c r="P17" s="909">
        <f>+M17*N17*O17</f>
        <v>1521122757</v>
      </c>
      <c r="Q17" s="910" t="s">
        <v>1427</v>
      </c>
    </row>
    <row r="18" spans="2:17" ht="20.100000000000001" customHeight="1">
      <c r="B18" s="911">
        <f>+D18/D10</f>
        <v>1629.7986320104351</v>
      </c>
      <c r="C18" s="912" t="s">
        <v>1428</v>
      </c>
      <c r="D18" s="913">
        <f>+E18*G9</f>
        <v>105180000</v>
      </c>
      <c r="E18" s="914">
        <v>1753000</v>
      </c>
      <c r="F18" s="915">
        <f>+D18/D7</f>
        <v>227662.33766233767</v>
      </c>
      <c r="G18" s="916">
        <f>+D18/$D$25</f>
        <v>4.6537569116951887E-2</v>
      </c>
      <c r="H18" s="917">
        <f>+D18/$D$37</f>
        <v>3.1486347805262167E-2</v>
      </c>
      <c r="I18" s="918">
        <f>+D18/D50</f>
        <v>2.6219674258194187E-2</v>
      </c>
      <c r="J18" s="919"/>
      <c r="K18" s="892"/>
      <c r="L18" s="892"/>
      <c r="M18" s="920"/>
      <c r="N18" s="921"/>
      <c r="O18" s="922"/>
      <c r="P18" s="923"/>
      <c r="Q18" s="910"/>
    </row>
    <row r="19" spans="2:17" ht="20.100000000000001" customHeight="1">
      <c r="B19" s="924">
        <f>+B20+B21</f>
        <v>7150</v>
      </c>
      <c r="C19" s="851" t="s">
        <v>35</v>
      </c>
      <c r="D19" s="925">
        <f>+D20+D21</f>
        <v>461429397</v>
      </c>
      <c r="E19" s="867">
        <f t="shared" ref="E19:E37" si="0">+D19/$G$9</f>
        <v>7690489.9500000002</v>
      </c>
      <c r="F19" s="926">
        <f>+D19/D7</f>
        <v>998764.92857142852</v>
      </c>
      <c r="G19" s="927">
        <f>+D19/$D$25</f>
        <v>0.20416241163225834</v>
      </c>
      <c r="H19" s="928">
        <f>+D19/$D$37</f>
        <v>0.1381320258748279</v>
      </c>
      <c r="I19" s="929">
        <f>+D19/$D$50</f>
        <v>0.11502689182824649</v>
      </c>
      <c r="J19" s="930"/>
      <c r="K19" s="892"/>
      <c r="L19" s="892"/>
      <c r="M19" s="920"/>
      <c r="N19" s="921"/>
      <c r="O19" s="922"/>
      <c r="P19" s="923"/>
    </row>
    <row r="20" spans="2:17" ht="20.100000000000001" customHeight="1">
      <c r="B20" s="931">
        <v>7150</v>
      </c>
      <c r="C20" s="932" t="s">
        <v>36</v>
      </c>
      <c r="D20" s="933">
        <f>+B20*D10</f>
        <v>461429397</v>
      </c>
      <c r="E20" s="934">
        <f t="shared" si="0"/>
        <v>7690489.9500000002</v>
      </c>
      <c r="F20" s="926">
        <f>+D20/D7</f>
        <v>998764.92857142852</v>
      </c>
      <c r="G20" s="927">
        <f t="shared" ref="G20:G21" si="1">+D20/$D$25</f>
        <v>0.20416241163225834</v>
      </c>
      <c r="H20" s="928">
        <f t="shared" ref="H20:H21" si="2">+D20/$D$37</f>
        <v>0.1381320258748279</v>
      </c>
      <c r="I20" s="929">
        <f t="shared" ref="I20:I21" si="3">+D20/$D$50</f>
        <v>0.11502689182824649</v>
      </c>
      <c r="J20" s="930"/>
      <c r="K20" s="892"/>
      <c r="L20" s="892"/>
      <c r="M20" s="920"/>
      <c r="N20" s="921"/>
      <c r="O20" s="922"/>
      <c r="P20" s="923"/>
    </row>
    <row r="21" spans="2:17" ht="20.100000000000001" customHeight="1">
      <c r="B21" s="931">
        <v>0</v>
      </c>
      <c r="C21" s="932" t="s">
        <v>37</v>
      </c>
      <c r="D21" s="933">
        <f>+B21*D11</f>
        <v>0</v>
      </c>
      <c r="E21" s="934">
        <f t="shared" si="0"/>
        <v>0</v>
      </c>
      <c r="F21" s="926">
        <f>+D21/D7</f>
        <v>0</v>
      </c>
      <c r="G21" s="927">
        <f t="shared" si="1"/>
        <v>0</v>
      </c>
      <c r="H21" s="928">
        <f t="shared" si="2"/>
        <v>0</v>
      </c>
      <c r="I21" s="929">
        <f t="shared" si="3"/>
        <v>0</v>
      </c>
      <c r="J21" s="930"/>
      <c r="K21" s="892"/>
      <c r="L21" s="892"/>
      <c r="M21" s="920"/>
      <c r="N21" s="921"/>
      <c r="O21" s="922"/>
      <c r="P21" s="923"/>
    </row>
    <row r="22" spans="2:17" ht="20.100000000000001" customHeight="1">
      <c r="B22" s="924">
        <f>+N17</f>
        <v>38450</v>
      </c>
      <c r="C22" s="851" t="s">
        <v>38</v>
      </c>
      <c r="D22" s="925">
        <f>+B22*D11</f>
        <v>1521122757</v>
      </c>
      <c r="E22" s="867">
        <f t="shared" si="0"/>
        <v>25352045.949999999</v>
      </c>
      <c r="F22" s="926">
        <f>+D22/D7</f>
        <v>3292473.5</v>
      </c>
      <c r="G22" s="927">
        <f>+D22/$D$25</f>
        <v>0.67303057082388207</v>
      </c>
      <c r="H22" s="928">
        <f>+D22/$D$37</f>
        <v>0.45535843488687289</v>
      </c>
      <c r="I22" s="929">
        <f>+D22/D50</f>
        <v>0.3791913214990138</v>
      </c>
      <c r="J22" s="892"/>
      <c r="K22" s="892"/>
      <c r="L22" s="892"/>
      <c r="M22" s="920"/>
      <c r="N22" s="921"/>
      <c r="O22" s="922"/>
      <c r="P22" s="923"/>
    </row>
    <row r="23" spans="2:17" ht="20.100000000000001" customHeight="1">
      <c r="B23" s="935">
        <v>0.1</v>
      </c>
      <c r="C23" s="851" t="s">
        <v>39</v>
      </c>
      <c r="D23" s="936">
        <f>+(D19+D22)*B23</f>
        <v>198255215.40000001</v>
      </c>
      <c r="E23" s="937">
        <f t="shared" si="0"/>
        <v>3304253.5900000003</v>
      </c>
      <c r="F23" s="926">
        <f>+D23/D7</f>
        <v>429123.84285714285</v>
      </c>
      <c r="G23" s="927">
        <f>+D23/$D$25</f>
        <v>8.7719298245614044E-2</v>
      </c>
      <c r="H23" s="928">
        <f>+D23/$D$37</f>
        <v>5.934904607617008E-2</v>
      </c>
      <c r="I23" s="929">
        <f>+D23/D50</f>
        <v>4.9421821332726032E-2</v>
      </c>
      <c r="J23" s="892"/>
      <c r="K23" s="892"/>
      <c r="L23" s="892"/>
      <c r="M23" s="938"/>
      <c r="N23" s="921"/>
      <c r="O23" s="922"/>
      <c r="P23" s="923"/>
    </row>
    <row r="24" spans="2:17" ht="20.100000000000001" customHeight="1" thickBot="1">
      <c r="B24" s="935">
        <v>0.04</v>
      </c>
      <c r="C24" s="851" t="s">
        <v>1429</v>
      </c>
      <c r="D24" s="936">
        <f>+B24*(D19+D22)</f>
        <v>79302086.159999996</v>
      </c>
      <c r="E24" s="937">
        <f t="shared" si="0"/>
        <v>1321701.436</v>
      </c>
      <c r="F24" s="926">
        <f>+D24/D7</f>
        <v>171649.53714285712</v>
      </c>
      <c r="G24" s="927">
        <f>+D24/$D$25</f>
        <v>3.5087719298245612E-2</v>
      </c>
      <c r="H24" s="928">
        <f>+D24/$D$37</f>
        <v>2.373961843046803E-2</v>
      </c>
      <c r="I24" s="929">
        <f>+D24/D50</f>
        <v>1.9768728533090411E-2</v>
      </c>
      <c r="J24" s="892"/>
      <c r="K24" s="892"/>
      <c r="L24" s="892"/>
      <c r="M24" s="939"/>
      <c r="N24" s="940"/>
      <c r="O24" s="941"/>
      <c r="P24" s="942"/>
    </row>
    <row r="25" spans="2:17" ht="20.100000000000001" customHeight="1" thickBot="1">
      <c r="B25" s="943"/>
      <c r="C25" s="944" t="s">
        <v>41</v>
      </c>
      <c r="D25" s="945">
        <f>+D19+D22+D23+D24</f>
        <v>2260109455.5599999</v>
      </c>
      <c r="E25" s="946">
        <f t="shared" si="0"/>
        <v>37668490.925999999</v>
      </c>
      <c r="F25" s="947">
        <f>+F19+F22+F23+F24</f>
        <v>4892011.8085714281</v>
      </c>
      <c r="G25" s="948"/>
      <c r="H25" s="949">
        <f t="shared" ref="H25:H36" si="4">+D25/$D$37</f>
        <v>0.67657912526833885</v>
      </c>
      <c r="I25" s="950">
        <f>+D25/D50</f>
        <v>0.56340876319307676</v>
      </c>
      <c r="J25" s="892"/>
      <c r="K25" s="892"/>
      <c r="L25" s="892"/>
      <c r="M25" s="951">
        <f>+M17*O17+M18*O18+M19*O19+M20*O20+M21*O21+M22*O22+M23*O23+M24*O24</f>
        <v>39561.06</v>
      </c>
      <c r="O25" s="951">
        <f>SUM(O17:O24)</f>
        <v>462</v>
      </c>
      <c r="P25" s="951">
        <f>SUM(P17:P24)</f>
        <v>1521122757</v>
      </c>
    </row>
    <row r="26" spans="2:17" ht="20.100000000000001" customHeight="1" thickBot="1">
      <c r="B26" s="952">
        <v>0.08</v>
      </c>
      <c r="C26" s="953" t="s">
        <v>42</v>
      </c>
      <c r="D26" s="925">
        <f>+B26*(D19+D22)</f>
        <v>158604172.31999999</v>
      </c>
      <c r="E26" s="867">
        <f t="shared" si="0"/>
        <v>2643402.872</v>
      </c>
      <c r="F26" s="954">
        <f>+D26/D7</f>
        <v>343299.07428571425</v>
      </c>
      <c r="G26" s="955">
        <f>+D26/$D$31</f>
        <v>0.23536334215945867</v>
      </c>
      <c r="H26" s="928">
        <f t="shared" si="4"/>
        <v>4.747923686093606E-2</v>
      </c>
      <c r="I26" s="956">
        <f>+D26/D50</f>
        <v>3.9537457066180823E-2</v>
      </c>
      <c r="J26" s="892"/>
      <c r="K26" s="892"/>
      <c r="L26" s="892"/>
      <c r="M26" s="957">
        <f>+M25/O25</f>
        <v>85.63</v>
      </c>
      <c r="P26" s="889"/>
    </row>
    <row r="27" spans="2:17" ht="20.100000000000001" customHeight="1">
      <c r="B27" s="935">
        <v>0.18</v>
      </c>
      <c r="C27" s="851" t="s">
        <v>43</v>
      </c>
      <c r="D27" s="936">
        <f>+B27*(D22+D19)</f>
        <v>356859387.71999997</v>
      </c>
      <c r="E27" s="937">
        <f t="shared" si="0"/>
        <v>5947656.4619999994</v>
      </c>
      <c r="F27" s="926">
        <f>+D27/$D$7</f>
        <v>772422.9171428571</v>
      </c>
      <c r="G27" s="927">
        <f>+D27/$D$31</f>
        <v>0.52956751985878203</v>
      </c>
      <c r="H27" s="928">
        <f t="shared" si="4"/>
        <v>0.10682828293710613</v>
      </c>
      <c r="I27" s="929">
        <f>+D27/D50</f>
        <v>8.8959278398906841E-2</v>
      </c>
      <c r="J27" s="958"/>
      <c r="K27" s="892"/>
      <c r="L27" s="892"/>
      <c r="M27" s="892"/>
      <c r="P27" s="889"/>
    </row>
    <row r="28" spans="2:17" ht="20.100000000000001" customHeight="1">
      <c r="B28" s="935">
        <v>3.5000000000000003E-2</v>
      </c>
      <c r="C28" s="851" t="s">
        <v>44</v>
      </c>
      <c r="D28" s="936">
        <f>+D25*B28</f>
        <v>79103830.944600001</v>
      </c>
      <c r="E28" s="937">
        <f t="shared" si="0"/>
        <v>1318397.1824100001</v>
      </c>
      <c r="F28" s="926">
        <f>+D28/$D$7</f>
        <v>171220.41330000001</v>
      </c>
      <c r="G28" s="927">
        <f>+D28/$D$31</f>
        <v>0.11738746690203003</v>
      </c>
      <c r="H28" s="928">
        <f t="shared" si="4"/>
        <v>2.3680269384391862E-2</v>
      </c>
      <c r="I28" s="929">
        <f>+D28/D50</f>
        <v>1.9719306711757686E-2</v>
      </c>
      <c r="J28" s="958"/>
      <c r="K28" s="892"/>
      <c r="L28" s="892"/>
      <c r="M28" s="959"/>
      <c r="P28" s="889"/>
    </row>
    <row r="29" spans="2:17" ht="20.100000000000001" customHeight="1">
      <c r="B29" s="935">
        <v>0.03</v>
      </c>
      <c r="C29" s="851" t="s">
        <v>45</v>
      </c>
      <c r="D29" s="936">
        <f>+(D19+D22)*B29</f>
        <v>59476564.619999997</v>
      </c>
      <c r="E29" s="937">
        <f t="shared" si="0"/>
        <v>991276.07699999993</v>
      </c>
      <c r="F29" s="926">
        <f>+D29/$D$7</f>
        <v>128737.15285714285</v>
      </c>
      <c r="G29" s="927">
        <f>+D29/$D$31</f>
        <v>8.8261253309797005E-2</v>
      </c>
      <c r="H29" s="928">
        <f t="shared" si="4"/>
        <v>1.7804713822851023E-2</v>
      </c>
      <c r="I29" s="929">
        <f>+D29/D50</f>
        <v>1.4826546399817809E-2</v>
      </c>
      <c r="J29" s="892"/>
      <c r="K29" s="958"/>
      <c r="L29" s="892"/>
      <c r="M29" s="892"/>
      <c r="P29" s="889"/>
      <c r="Q29" s="867"/>
    </row>
    <row r="30" spans="2:17" ht="20.100000000000001" customHeight="1">
      <c r="B30" s="935">
        <v>0.01</v>
      </c>
      <c r="C30" s="851" t="s">
        <v>46</v>
      </c>
      <c r="D30" s="925">
        <f>+B30*(D19+D22)</f>
        <v>19825521.539999999</v>
      </c>
      <c r="E30" s="867">
        <f t="shared" si="0"/>
        <v>330425.359</v>
      </c>
      <c r="F30" s="926">
        <f>+D30/$D$7</f>
        <v>42912.384285714281</v>
      </c>
      <c r="G30" s="927">
        <f>+D30/$D$31</f>
        <v>2.9420417769932334E-2</v>
      </c>
      <c r="H30" s="928">
        <f t="shared" si="4"/>
        <v>5.9349046076170075E-3</v>
      </c>
      <c r="I30" s="929">
        <f>+D30/D50</f>
        <v>4.9421821332726028E-3</v>
      </c>
      <c r="J30" s="892"/>
      <c r="K30" s="892"/>
      <c r="L30" s="892"/>
      <c r="M30" s="960"/>
      <c r="P30" s="889"/>
      <c r="Q30" s="867"/>
    </row>
    <row r="31" spans="2:17" ht="20.100000000000001" customHeight="1">
      <c r="B31" s="943"/>
      <c r="C31" s="944" t="s">
        <v>47</v>
      </c>
      <c r="D31" s="945">
        <f>+D26+D27+D28+D29+D30</f>
        <v>673869477.14459991</v>
      </c>
      <c r="E31" s="945">
        <f>+E26+E27+E28+E29+E30</f>
        <v>11231157.952409998</v>
      </c>
      <c r="F31" s="947">
        <f>+F26+F27+F28+F29+F30</f>
        <v>1458591.9418714286</v>
      </c>
      <c r="G31" s="961"/>
      <c r="H31" s="949">
        <f t="shared" si="4"/>
        <v>0.20172740761290206</v>
      </c>
      <c r="I31" s="950">
        <f>+D31/D50</f>
        <v>0.16798477070993575</v>
      </c>
      <c r="J31" s="892"/>
      <c r="K31" s="892"/>
      <c r="L31" s="892"/>
      <c r="M31"/>
    </row>
    <row r="32" spans="2:17" ht="20.100000000000001" customHeight="1">
      <c r="B32" s="952"/>
      <c r="C32" s="953" t="s">
        <v>48</v>
      </c>
      <c r="D32" s="925">
        <v>30500000</v>
      </c>
      <c r="E32" s="867">
        <f>+D32/$G$9</f>
        <v>508333.33333333331</v>
      </c>
      <c r="F32" s="926">
        <f>+D32/$D$7</f>
        <v>66017.316017316014</v>
      </c>
      <c r="G32" s="955">
        <f>+D32/$D$36</f>
        <v>0.10121576155030478</v>
      </c>
      <c r="H32" s="928">
        <f t="shared" si="4"/>
        <v>9.1303822785747876E-3</v>
      </c>
      <c r="I32" s="956">
        <f>+D32/D50</f>
        <v>7.6031571104290046E-3</v>
      </c>
      <c r="J32" s="892"/>
      <c r="K32" s="892"/>
      <c r="L32" s="892"/>
      <c r="M32" s="960"/>
    </row>
    <row r="33" spans="2:9" ht="20.100000000000001" customHeight="1">
      <c r="B33" s="924">
        <v>54475</v>
      </c>
      <c r="C33" s="851" t="s">
        <v>49</v>
      </c>
      <c r="D33" s="925">
        <v>25000000</v>
      </c>
      <c r="E33" s="867">
        <f t="shared" si="0"/>
        <v>416666.66666666669</v>
      </c>
      <c r="F33" s="926">
        <f>+D33/$D$7</f>
        <v>54112.554112554113</v>
      </c>
      <c r="G33" s="927">
        <f>+D33/$D$36</f>
        <v>8.2963738975659659E-2</v>
      </c>
      <c r="H33" s="928">
        <f t="shared" si="4"/>
        <v>7.4839199004711381E-3</v>
      </c>
      <c r="I33" s="929">
        <f>+D33/D50</f>
        <v>6.2320959921549216E-3</v>
      </c>
    </row>
    <row r="34" spans="2:9" ht="20.100000000000001" customHeight="1">
      <c r="B34" s="935">
        <v>0.1</v>
      </c>
      <c r="C34" s="851" t="s">
        <v>50</v>
      </c>
      <c r="D34" s="925">
        <f>+B34*D25</f>
        <v>226010945.55599999</v>
      </c>
      <c r="E34" s="867">
        <f t="shared" si="0"/>
        <v>3766849.0926000001</v>
      </c>
      <c r="F34" s="926">
        <f>+D34/$D$7</f>
        <v>489201.18085714284</v>
      </c>
      <c r="G34" s="927">
        <f>+D34/$D$36</f>
        <v>0.75002852371000039</v>
      </c>
      <c r="H34" s="928">
        <f t="shared" si="4"/>
        <v>6.7657912526833883E-2</v>
      </c>
      <c r="I34" s="928">
        <f>+D34/D50</f>
        <v>5.6340876319307676E-2</v>
      </c>
    </row>
    <row r="35" spans="2:9" ht="20.100000000000001" customHeight="1">
      <c r="B35" s="935">
        <v>0.01</v>
      </c>
      <c r="C35" s="851" t="s">
        <v>51</v>
      </c>
      <c r="D35" s="925">
        <f>+B35*(D19+D22)</f>
        <v>19825521.539999999</v>
      </c>
      <c r="E35" s="867">
        <f t="shared" si="0"/>
        <v>330425.359</v>
      </c>
      <c r="F35" s="926">
        <f>+D35/$D$7</f>
        <v>42912.384285714281</v>
      </c>
      <c r="G35" s="927">
        <f>+D35/$D$36</f>
        <v>6.5791975764035115E-2</v>
      </c>
      <c r="H35" s="928">
        <f t="shared" si="4"/>
        <v>5.9349046076170075E-3</v>
      </c>
      <c r="I35" s="928">
        <f>+D35/D50</f>
        <v>4.9421821332726028E-3</v>
      </c>
    </row>
    <row r="36" spans="2:9" ht="20.100000000000001" customHeight="1">
      <c r="B36" s="962"/>
      <c r="C36" s="944" t="s">
        <v>52</v>
      </c>
      <c r="D36" s="945">
        <f>+D32+D33+D34+D35</f>
        <v>301336467.09600002</v>
      </c>
      <c r="E36" s="946">
        <f t="shared" si="0"/>
        <v>5022274.4516000003</v>
      </c>
      <c r="F36" s="963">
        <f>+F32+F33+F34+F35</f>
        <v>652243.43527272716</v>
      </c>
      <c r="G36" s="927">
        <f>+D36/$D$36</f>
        <v>1</v>
      </c>
      <c r="H36" s="949">
        <f t="shared" si="4"/>
        <v>9.0207119313496828E-2</v>
      </c>
      <c r="I36" s="964">
        <f>+D36/D50</f>
        <v>7.5118311555164213E-2</v>
      </c>
    </row>
    <row r="37" spans="2:9" ht="20.100000000000001" customHeight="1">
      <c r="B37" s="965"/>
      <c r="C37" s="966" t="s">
        <v>53</v>
      </c>
      <c r="D37" s="967">
        <f>+D18+D25+D31+D36</f>
        <v>3340495399.8006001</v>
      </c>
      <c r="E37" s="968">
        <f t="shared" si="0"/>
        <v>55674923.330010004</v>
      </c>
      <c r="F37" s="969">
        <f>+F18+F25+F31+F36</f>
        <v>7230509.5233779214</v>
      </c>
      <c r="G37" s="970"/>
      <c r="H37" s="971"/>
      <c r="I37" s="918">
        <f>+D37/D50</f>
        <v>0.83273151971637094</v>
      </c>
    </row>
    <row r="38" spans="2:9" ht="13.8">
      <c r="D38" s="925"/>
      <c r="E38" s="883"/>
    </row>
    <row r="39" spans="2:9" ht="19.5" customHeight="1">
      <c r="D39" s="972"/>
      <c r="E39" s="883"/>
    </row>
    <row r="40" spans="2:9" ht="19.5" customHeight="1">
      <c r="B40" s="973"/>
      <c r="C40" s="894" t="s">
        <v>1430</v>
      </c>
      <c r="D40" s="895"/>
      <c r="E40" s="974"/>
      <c r="F40" s="896"/>
    </row>
    <row r="41" spans="2:9" ht="19.5" customHeight="1">
      <c r="B41" s="975"/>
      <c r="C41" s="976" t="s">
        <v>1431</v>
      </c>
      <c r="D41" s="903" t="s">
        <v>1422</v>
      </c>
      <c r="E41" s="977" t="str">
        <f>+E17</f>
        <v>US $</v>
      </c>
      <c r="F41" s="978" t="s">
        <v>1432</v>
      </c>
      <c r="H41" s="936"/>
    </row>
    <row r="42" spans="2:9" ht="19.5" customHeight="1">
      <c r="B42" s="980"/>
      <c r="C42" s="981" t="s">
        <v>33</v>
      </c>
      <c r="D42" s="982">
        <f>+D18</f>
        <v>105180000</v>
      </c>
      <c r="E42" s="983">
        <f t="shared" ref="E42:E47" si="5">+D42/$G$9</f>
        <v>1753000</v>
      </c>
      <c r="F42" s="984">
        <f>+D42/$D$11</f>
        <v>2658.6749697808909</v>
      </c>
    </row>
    <row r="43" spans="2:9" ht="13.8">
      <c r="B43" s="980">
        <v>6</v>
      </c>
      <c r="C43" s="985" t="s">
        <v>1433</v>
      </c>
      <c r="D43" s="986">
        <f>+D25</f>
        <v>2260109455.5599999</v>
      </c>
      <c r="E43" s="987">
        <f t="shared" si="5"/>
        <v>37668490.925999999</v>
      </c>
      <c r="F43" s="988">
        <f>+D43/$D$11</f>
        <v>57129.648587777985</v>
      </c>
    </row>
    <row r="44" spans="2:9" ht="13.8">
      <c r="B44" s="989"/>
      <c r="C44" s="985" t="s">
        <v>1434</v>
      </c>
      <c r="D44" s="986">
        <f>+D31</f>
        <v>673869477.14459991</v>
      </c>
      <c r="E44" s="987">
        <f t="shared" si="5"/>
        <v>11231157.952409999</v>
      </c>
      <c r="F44" s="988">
        <f>+D44/$D$11</f>
        <v>17033.655749987487</v>
      </c>
    </row>
    <row r="45" spans="2:9" ht="13.8">
      <c r="B45" s="990"/>
      <c r="C45" s="991" t="s">
        <v>1435</v>
      </c>
      <c r="D45" s="992">
        <f>+D36</f>
        <v>301336467.09600002</v>
      </c>
      <c r="E45" s="993">
        <f t="shared" si="5"/>
        <v>5022274.4516000003</v>
      </c>
      <c r="F45" s="994">
        <f>+D45/$D$11</f>
        <v>7616.9967916936512</v>
      </c>
    </row>
    <row r="46" spans="2:9" ht="20.399999999999999">
      <c r="B46" s="980">
        <v>16</v>
      </c>
      <c r="C46" s="976" t="s">
        <v>1436</v>
      </c>
      <c r="D46" s="995">
        <f>+D42+D43+D44+D45</f>
        <v>3340495399.8006001</v>
      </c>
      <c r="E46" s="996">
        <f t="shared" si="5"/>
        <v>55674923.330010004</v>
      </c>
      <c r="F46" s="995">
        <f>+F42+F43+F44+F45</f>
        <v>84438.976099240012</v>
      </c>
    </row>
    <row r="47" spans="2:9" ht="13.8">
      <c r="B47" s="997"/>
      <c r="C47" s="985" t="s">
        <v>1437</v>
      </c>
      <c r="D47" s="986">
        <f>+D46/D7</f>
        <v>7230509.5233779224</v>
      </c>
      <c r="E47" s="984">
        <f t="shared" si="5"/>
        <v>120508.49205629871</v>
      </c>
      <c r="F47" s="998"/>
    </row>
    <row r="48" spans="2:9" ht="13.8">
      <c r="B48" s="997"/>
      <c r="C48" s="991" t="s">
        <v>1438</v>
      </c>
      <c r="D48" s="992">
        <f>+D47/D5</f>
        <v>84438.976099240012</v>
      </c>
      <c r="E48" s="994">
        <f>+E47/D5</f>
        <v>1407.3162683206669</v>
      </c>
    </row>
    <row r="50" spans="2:7" ht="17.399999999999999">
      <c r="B50" s="997"/>
      <c r="C50" s="999" t="s">
        <v>1439</v>
      </c>
      <c r="D50" s="995">
        <f>+F50*D11</f>
        <v>4011491484</v>
      </c>
      <c r="E50" s="996">
        <f>+D50/G9</f>
        <v>66858191.399999999</v>
      </c>
      <c r="F50" s="1000">
        <f>+F51*G9</f>
        <v>101400</v>
      </c>
    </row>
    <row r="51" spans="2:7" ht="13.8">
      <c r="C51" s="1001" t="s">
        <v>1440</v>
      </c>
      <c r="D51" s="1002">
        <f>+D50/D7</f>
        <v>8682882</v>
      </c>
      <c r="E51" s="1003">
        <f>+D51/$G$9</f>
        <v>144714.70000000001</v>
      </c>
      <c r="F51" s="883">
        <v>1690</v>
      </c>
    </row>
    <row r="52" spans="2:7" ht="19.5" customHeight="1">
      <c r="C52" s="854"/>
      <c r="D52" s="854"/>
      <c r="E52" s="1004"/>
      <c r="F52" s="854"/>
    </row>
    <row r="53" spans="2:7" ht="19.5" customHeight="1">
      <c r="C53" s="1005" t="s">
        <v>1441</v>
      </c>
      <c r="D53" s="1006" t="s">
        <v>1422</v>
      </c>
      <c r="E53" s="1007" t="str">
        <f>+E41</f>
        <v>US $</v>
      </c>
      <c r="F53" s="1008"/>
    </row>
    <row r="54" spans="2:7" ht="13.8">
      <c r="C54" s="981" t="s">
        <v>1442</v>
      </c>
      <c r="D54" s="1009">
        <f>+D50-D46</f>
        <v>670996084.19939995</v>
      </c>
      <c r="E54" s="987">
        <f>+D54/$G$9</f>
        <v>11183268.06999</v>
      </c>
      <c r="F54" s="984">
        <f>+E54/D7</f>
        <v>24206.207943701298</v>
      </c>
      <c r="G54" s="874" t="s">
        <v>1443</v>
      </c>
    </row>
    <row r="55" spans="2:7" ht="13.8">
      <c r="B55" s="1010">
        <f>+(E50-E46)/E50</f>
        <v>0.16726848028362901</v>
      </c>
      <c r="C55" s="991" t="s">
        <v>1444</v>
      </c>
      <c r="D55" s="1011">
        <f>+D54/D18</f>
        <v>6.3795026069537926</v>
      </c>
      <c r="E55" s="1012"/>
      <c r="F55" s="1013">
        <f>+E54/D11</f>
        <v>282.68373167933316</v>
      </c>
      <c r="G55" s="874" t="s">
        <v>1432</v>
      </c>
    </row>
    <row r="56" spans="2:7">
      <c r="D56" s="1014"/>
      <c r="E56" s="1014"/>
      <c r="F56" s="979"/>
      <c r="G56" s="979"/>
    </row>
    <row r="57" spans="2:7" ht="14.4">
      <c r="B57"/>
      <c r="C57"/>
      <c r="D57"/>
      <c r="E57" s="1015">
        <f>+E54/E50</f>
        <v>0.16726848028362909</v>
      </c>
      <c r="F57" s="108"/>
      <c r="G57"/>
    </row>
  </sheetData>
  <mergeCells count="1">
    <mergeCell ref="B3:H3"/>
  </mergeCells>
  <dataValidations count="8">
    <dataValidation allowBlank="1" showInputMessage="1" showErrorMessage="1" promptTitle="COSTO" prompt="M2 DE VIVIENDA" sqref="B22" xr:uid="{09761FD3-F12E-46C6-8AEB-03A205C4DBE1}"/>
    <dataValidation allowBlank="1" showInputMessage="1" showErrorMessage="1" promptTitle="REGISTRO DE DATOS:" prompt="INDIQUE ÁREA DE CONSTRUCCIÓN" sqref="D5:E5" xr:uid="{BDAB0531-0B4C-4FB3-89EB-C6CE4588E22C}"/>
    <dataValidation allowBlank="1" showInputMessage="1" showErrorMessage="1" promptTitle="REGISTRO DE DATOS:" prompt="INDIQUE PARCELA BÁSICA" sqref="D6:E6" xr:uid="{1666B632-FE98-4D32-86BD-E4C3F456D956}"/>
    <dataValidation allowBlank="1" showInputMessage="1" showErrorMessage="1" promptTitle="REGISTRO DE DATOS:" prompt="INDIQUE CANTIDAD DE VIVIENDAS" sqref="D7:E7" xr:uid="{91DE092C-5D95-42BF-AB36-00984CD4012D}"/>
    <dataValidation allowBlank="1" showInputMessage="1" showErrorMessage="1" promptTitle="REGISTRO DE DATOS:" prompt="INDIQUE M2 DE PARCELAS BÁSICAS" sqref="D11" xr:uid="{1EAEA860-2654-493F-83AD-C67F4AB619D4}"/>
    <dataValidation allowBlank="1" showInputMessage="1" showErrorMessage="1" promptTitle="REGISTRO DE DATOS:" prompt="INDIQUE M2 PARCELAS ADICIONALES" sqref="D12" xr:uid="{07A4C416-50BC-4618-9F0E-BD160CADEE7A}"/>
    <dataValidation allowBlank="1" showInputMessage="1" showErrorMessage="1" promptTitle="REGISTRO DE DATOS:" prompt="Indique unidad en M2 del Parcelamiento" sqref="B33 B18" xr:uid="{B9E025AF-13F8-49BA-AF6D-0F7A60ADE050}"/>
    <dataValidation allowBlank="1" showInputMessage="1" showErrorMessage="1" promptTitle="COSTO" prompt="M2 DE URBANISMO" sqref="B19:B21" xr:uid="{8F0C3F45-6420-496D-B713-4B177FE8D39F}"/>
  </dataValidations>
  <pageMargins left="0.5" right="0.69" top="0.92" bottom="1" header="0" footer="0"/>
  <pageSetup scale="38" orientation="landscape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0E0E3-C9EC-48F6-B014-FF6FB9914586}">
  <sheetPr>
    <tabColor theme="5" tint="0.79998168889431442"/>
  </sheetPr>
  <dimension ref="A1:S49"/>
  <sheetViews>
    <sheetView showGridLines="0" zoomScaleNormal="100" workbookViewId="0">
      <selection activeCell="J9" sqref="J9"/>
    </sheetView>
  </sheetViews>
  <sheetFormatPr baseColWidth="10" defaultColWidth="11.44140625" defaultRowHeight="14.4"/>
  <cols>
    <col min="1" max="1" width="10.109375" customWidth="1"/>
    <col min="2" max="2" width="27.109375" customWidth="1"/>
    <col min="3" max="3" width="18" hidden="1" customWidth="1"/>
    <col min="4" max="4" width="18" customWidth="1"/>
    <col min="5" max="5" width="18" hidden="1" customWidth="1"/>
    <col min="6" max="6" width="12.44140625" style="841" hidden="1" customWidth="1"/>
    <col min="7" max="7" width="12.109375" style="841" hidden="1" customWidth="1"/>
    <col min="8" max="8" width="18" bestFit="1" customWidth="1"/>
    <col min="9" max="9" width="16.33203125" bestFit="1" customWidth="1"/>
    <col min="10" max="10" width="16.33203125" customWidth="1"/>
    <col min="11" max="11" width="20.88671875" customWidth="1"/>
    <col min="12" max="12" width="18" customWidth="1"/>
    <col min="13" max="13" width="14.33203125" bestFit="1" customWidth="1"/>
    <col min="14" max="14" width="19.6640625" customWidth="1"/>
    <col min="15" max="15" width="18.6640625" customWidth="1"/>
    <col min="16" max="16" width="16.109375" customWidth="1"/>
    <col min="17" max="17" width="18.5546875" customWidth="1"/>
    <col min="18" max="18" width="17" customWidth="1"/>
    <col min="19" max="21" width="15.44140625" bestFit="1" customWidth="1"/>
    <col min="22" max="22" width="14.44140625" bestFit="1" customWidth="1"/>
  </cols>
  <sheetData>
    <row r="1" spans="1:19" ht="21.6" customHeight="1">
      <c r="E1" s="370"/>
      <c r="H1" s="370"/>
      <c r="P1" s="2109" t="s">
        <v>185</v>
      </c>
      <c r="Q1" s="2109"/>
      <c r="R1" s="2109"/>
      <c r="S1" s="2109"/>
    </row>
    <row r="2" spans="1:19" ht="15" thickBot="1">
      <c r="E2" s="509"/>
      <c r="F2" s="840"/>
      <c r="H2" s="509"/>
      <c r="I2" s="181" t="s">
        <v>197</v>
      </c>
      <c r="J2" s="181"/>
      <c r="K2" s="181"/>
      <c r="L2" s="181"/>
      <c r="M2" s="181"/>
      <c r="N2" s="181" t="s">
        <v>199</v>
      </c>
      <c r="O2" s="181" t="s">
        <v>225</v>
      </c>
      <c r="P2" s="2109"/>
      <c r="Q2" s="2109"/>
      <c r="R2" s="2109"/>
      <c r="S2" s="2109"/>
    </row>
    <row r="3" spans="1:19" ht="15.6" customHeight="1" thickBot="1">
      <c r="B3" s="1033" t="s">
        <v>1445</v>
      </c>
      <c r="C3" s="1034"/>
      <c r="D3" s="1035"/>
      <c r="E3" s="1035"/>
      <c r="F3" s="1036"/>
      <c r="G3" s="1036"/>
      <c r="H3" s="1037">
        <v>60</v>
      </c>
      <c r="I3" s="2142" t="s">
        <v>145</v>
      </c>
      <c r="J3" s="2144" t="s">
        <v>650</v>
      </c>
      <c r="K3" s="2144" t="s">
        <v>651</v>
      </c>
      <c r="L3" s="2144" t="s">
        <v>652</v>
      </c>
      <c r="M3" s="2142" t="s">
        <v>227</v>
      </c>
      <c r="N3" s="2142" t="s">
        <v>807</v>
      </c>
      <c r="O3" s="2142" t="s">
        <v>146</v>
      </c>
      <c r="P3" s="183"/>
      <c r="Q3" s="183"/>
      <c r="R3" s="183"/>
      <c r="S3" s="183"/>
    </row>
    <row r="4" spans="1:19" ht="16.95" customHeight="1" thickBot="1">
      <c r="A4" s="152"/>
      <c r="B4" s="1038" t="s">
        <v>29</v>
      </c>
      <c r="C4" s="1039" t="s">
        <v>762</v>
      </c>
      <c r="D4" s="1040" t="s">
        <v>763</v>
      </c>
      <c r="E4" s="1038" t="s">
        <v>1446</v>
      </c>
      <c r="F4" s="1038"/>
      <c r="G4" s="1038"/>
      <c r="H4" s="1038" t="s">
        <v>31</v>
      </c>
      <c r="I4" s="2143"/>
      <c r="J4" s="2145"/>
      <c r="K4" s="2145"/>
      <c r="L4" s="2145"/>
      <c r="M4" s="2143"/>
      <c r="N4" s="2143"/>
      <c r="O4" s="2143"/>
      <c r="P4" s="183"/>
      <c r="Q4" s="183"/>
      <c r="R4" s="183"/>
      <c r="S4" s="183"/>
    </row>
    <row r="5" spans="1:19">
      <c r="A5">
        <v>1</v>
      </c>
      <c r="B5" s="335" t="s">
        <v>33</v>
      </c>
      <c r="C5" s="1025">
        <f>SUM('budget (11)'!D2:D3)</f>
        <v>103385169</v>
      </c>
      <c r="D5" s="1026">
        <v>103385169</v>
      </c>
      <c r="E5" s="1026">
        <f>+'ADI 462 julio 25 '!D18</f>
        <v>105180000</v>
      </c>
      <c r="F5" s="1027">
        <f>(+E5-D5)/D5</f>
        <v>1.7360623553268072E-2</v>
      </c>
      <c r="G5" s="1027">
        <f>(+E5-C5)/E5</f>
        <v>1.7064375356531662E-2</v>
      </c>
      <c r="H5" s="1026">
        <f>D5/H3</f>
        <v>1723086.15</v>
      </c>
      <c r="I5" s="651">
        <f>+'Finanza 06-25'!F2</f>
        <v>94191221.829999998</v>
      </c>
      <c r="J5" s="651">
        <f>+'Finanza 06-25'!F2</f>
        <v>94191221.829999998</v>
      </c>
      <c r="K5" s="651">
        <f>+'CXP 06-25'!E14</f>
        <v>18016</v>
      </c>
      <c r="L5" s="651"/>
      <c r="M5" s="651">
        <f>+J5-K5+L5</f>
        <v>94173205.829999998</v>
      </c>
      <c r="N5" s="1028">
        <f>I5-M5</f>
        <v>18016</v>
      </c>
      <c r="O5" s="1028">
        <f>+D5-I5</f>
        <v>9193947.1700000018</v>
      </c>
      <c r="P5" s="183"/>
      <c r="Q5" s="183"/>
      <c r="R5" s="183"/>
      <c r="S5" s="183"/>
    </row>
    <row r="6" spans="1:19">
      <c r="B6" s="1044" t="s">
        <v>35</v>
      </c>
      <c r="C6" s="1017">
        <f>SUM('budget (11)'!D11:D24)</f>
        <v>451758999.99999994</v>
      </c>
      <c r="D6" s="1029">
        <v>451758999.99999994</v>
      </c>
      <c r="E6" s="1029">
        <f>+'ADI 462 julio 25 '!D19</f>
        <v>461429397</v>
      </c>
      <c r="F6" s="1030">
        <f>(+E6-D6)/D6</f>
        <v>2.1406097056173891E-2</v>
      </c>
      <c r="G6" s="1030">
        <f t="shared" ref="G6:G23" si="0">(+E6-C6)/E6</f>
        <v>2.095747922189721E-2</v>
      </c>
      <c r="H6" s="1029">
        <f>D6/$H$3</f>
        <v>7529316.666666666</v>
      </c>
      <c r="I6" s="1018">
        <f>+'Finanza 06-25'!E4</f>
        <v>39326322.909999996</v>
      </c>
      <c r="J6" s="1018">
        <f>+'Finanza 06-25'!F4</f>
        <v>10067896.529999999</v>
      </c>
      <c r="K6" s="1018">
        <f>+'CXP 06-25'!E23</f>
        <v>451939.22</v>
      </c>
      <c r="L6" s="1018">
        <f>SUM('Anticipos 06-25'!D6:D9)</f>
        <v>13806726.640000001</v>
      </c>
      <c r="M6" s="1018">
        <f>+J6-K6+L6</f>
        <v>23422683.949999999</v>
      </c>
      <c r="N6" s="1019">
        <f>I6-M6</f>
        <v>15903638.959999997</v>
      </c>
      <c r="O6" s="1019">
        <f>+D6-I6</f>
        <v>412432677.08999991</v>
      </c>
      <c r="P6" s="183"/>
      <c r="Q6" s="184"/>
      <c r="R6" s="183"/>
      <c r="S6" s="183"/>
    </row>
    <row r="7" spans="1:19" ht="13.95" customHeight="1">
      <c r="B7" s="1044" t="s">
        <v>38</v>
      </c>
      <c r="C7" s="1020">
        <f>SUM('budget (11)'!D25:D39)</f>
        <v>1265953920</v>
      </c>
      <c r="D7" s="1029">
        <f>1447934796</f>
        <v>1447934796</v>
      </c>
      <c r="E7" s="1029">
        <f>+'ADI 462 julio 25 '!D22</f>
        <v>1521122757</v>
      </c>
      <c r="F7" s="1030">
        <f t="shared" ref="F7:F22" si="1">(+E7-D7)/D7</f>
        <v>5.0546448087431695E-2</v>
      </c>
      <c r="G7" s="1030">
        <f t="shared" si="0"/>
        <v>0.16775032509752927</v>
      </c>
      <c r="H7" s="1029">
        <f t="shared" ref="H7:H10" si="2">D7/$H$3</f>
        <v>24132246.600000001</v>
      </c>
      <c r="I7" s="1021">
        <f>+'Finanza 06-25'!E5</f>
        <v>0</v>
      </c>
      <c r="J7" s="1021">
        <f>+'Finanza 06-25'!F5</f>
        <v>0</v>
      </c>
      <c r="K7" s="1021"/>
      <c r="L7" s="1021"/>
      <c r="M7" s="1021">
        <f t="shared" ref="M7" si="3">+J7-K7+L7</f>
        <v>0</v>
      </c>
      <c r="N7" s="1022">
        <f t="shared" ref="N7:N21" si="4">I7-M7</f>
        <v>0</v>
      </c>
      <c r="O7" s="1022">
        <f t="shared" ref="O7:O10" si="5">+D7-I7</f>
        <v>1447934796</v>
      </c>
      <c r="P7" s="183"/>
      <c r="Q7" s="184"/>
      <c r="R7" s="183"/>
      <c r="S7" s="183"/>
    </row>
    <row r="8" spans="1:19">
      <c r="B8" s="1044" t="s">
        <v>764</v>
      </c>
      <c r="C8" s="1020">
        <v>0</v>
      </c>
      <c r="D8" s="1029">
        <v>37993876</v>
      </c>
      <c r="E8" s="1029">
        <f>+'ADI 462 julio 25 '!D24/2</f>
        <v>39651043.079999998</v>
      </c>
      <c r="F8" s="1030">
        <f t="shared" si="1"/>
        <v>4.3616689173802597E-2</v>
      </c>
      <c r="G8" s="1030">
        <f t="shared" si="0"/>
        <v>1</v>
      </c>
      <c r="H8" s="1029">
        <f t="shared" si="2"/>
        <v>633231.26666666672</v>
      </c>
      <c r="I8" s="1021">
        <f>+'Finanza 06-25'!E8</f>
        <v>0</v>
      </c>
      <c r="J8" s="1021">
        <f>+'Finanza 06-25'!F8</f>
        <v>0</v>
      </c>
      <c r="K8" s="1021"/>
      <c r="L8" s="1021"/>
      <c r="M8" s="1021"/>
      <c r="N8" s="1022"/>
      <c r="O8" s="1022">
        <f t="shared" si="5"/>
        <v>37993876</v>
      </c>
      <c r="P8" s="183"/>
      <c r="Q8" s="184"/>
      <c r="R8" s="183"/>
      <c r="S8" s="183"/>
    </row>
    <row r="9" spans="1:19" ht="13.95" customHeight="1">
      <c r="B9" s="1044" t="s">
        <v>148</v>
      </c>
      <c r="C9" s="1020">
        <f>SUM('budget (11)'!D40:D41)</f>
        <v>171771292</v>
      </c>
      <c r="D9" s="1029">
        <v>189969380</v>
      </c>
      <c r="E9" s="1029">
        <f>+'ADI 462 julio 25 '!D23</f>
        <v>198255215.40000001</v>
      </c>
      <c r="F9" s="1030">
        <f t="shared" si="1"/>
        <v>4.3616689173802674E-2</v>
      </c>
      <c r="G9" s="1030">
        <f t="shared" si="0"/>
        <v>0.13358500227379141</v>
      </c>
      <c r="H9" s="1029">
        <f t="shared" si="2"/>
        <v>3166156.3333333335</v>
      </c>
      <c r="I9" s="1021">
        <f>+'Finanza 06-25'!E6</f>
        <v>14309162.52</v>
      </c>
      <c r="J9" s="1021">
        <f>+'Finanza 06-25'!F6</f>
        <v>11533325.91</v>
      </c>
      <c r="K9" s="1021">
        <f>+'CXP 06-25'!E27</f>
        <v>57857.34</v>
      </c>
      <c r="L9" s="1021"/>
      <c r="M9" s="1021">
        <f>+J9-K9+L9</f>
        <v>11475468.57</v>
      </c>
      <c r="N9" s="1022">
        <f>I9-M9</f>
        <v>2833693.9499999993</v>
      </c>
      <c r="O9" s="1022">
        <f t="shared" si="5"/>
        <v>175660217.47999999</v>
      </c>
      <c r="P9" s="183"/>
      <c r="Q9" s="184"/>
      <c r="R9" s="183"/>
      <c r="S9" s="183"/>
    </row>
    <row r="10" spans="1:19">
      <c r="B10" s="1044" t="s">
        <v>40</v>
      </c>
      <c r="C10" s="1020">
        <f>SUM('budget (11)'!D42)</f>
        <v>34354258</v>
      </c>
      <c r="D10" s="1029">
        <v>37993876</v>
      </c>
      <c r="E10" s="1029">
        <f>+'ADI 462 julio 25 '!D24/2</f>
        <v>39651043.079999998</v>
      </c>
      <c r="F10" s="1030">
        <f t="shared" si="1"/>
        <v>4.3616689173802597E-2</v>
      </c>
      <c r="G10" s="1030">
        <f t="shared" si="0"/>
        <v>0.13358501236179834</v>
      </c>
      <c r="H10" s="1029">
        <f t="shared" si="2"/>
        <v>633231.26666666672</v>
      </c>
      <c r="I10" s="1021">
        <f>+'Finanza 06-25'!E7</f>
        <v>147108.54</v>
      </c>
      <c r="J10" s="1021">
        <f>+'Finanza 06-25'!F7</f>
        <v>147108.54</v>
      </c>
      <c r="K10" s="1021">
        <f>+'CXP 06-25'!E32</f>
        <v>147108.53999999998</v>
      </c>
      <c r="L10" s="1021"/>
      <c r="M10" s="1021">
        <f>+J10-K10+L10</f>
        <v>2.9103830456733704E-11</v>
      </c>
      <c r="N10" s="1022">
        <f t="shared" si="4"/>
        <v>147108.53999999998</v>
      </c>
      <c r="O10" s="1022">
        <f t="shared" si="5"/>
        <v>37846767.460000001</v>
      </c>
      <c r="P10" s="183"/>
      <c r="Q10" s="184"/>
      <c r="R10" s="183"/>
      <c r="S10" s="183"/>
    </row>
    <row r="11" spans="1:19">
      <c r="B11" s="254" t="s">
        <v>41</v>
      </c>
      <c r="C11" s="665">
        <f t="shared" ref="C11:L11" si="6">SUM(C6:C10)</f>
        <v>1923838470</v>
      </c>
      <c r="D11" s="665">
        <f>SUM(D6:D10)</f>
        <v>2165650928</v>
      </c>
      <c r="E11" s="665">
        <f>SUM(E6:E10)</f>
        <v>2260109455.5599999</v>
      </c>
      <c r="F11" s="842">
        <f>(+E11-D11)/D11</f>
        <v>4.3616691101383234E-2</v>
      </c>
      <c r="G11" s="842">
        <f t="shared" si="0"/>
        <v>0.14878526556877761</v>
      </c>
      <c r="H11" s="665">
        <f>SUM(H6:H10)</f>
        <v>36094182.133333333</v>
      </c>
      <c r="I11" s="655">
        <f>SUM(I6:I10)</f>
        <v>53782593.969999991</v>
      </c>
      <c r="J11" s="655">
        <f t="shared" si="6"/>
        <v>21748330.979999997</v>
      </c>
      <c r="K11" s="655">
        <f t="shared" si="6"/>
        <v>656905.09999999986</v>
      </c>
      <c r="L11" s="655">
        <f t="shared" si="6"/>
        <v>13806726.640000001</v>
      </c>
      <c r="M11" s="655">
        <f>SUM(M6:M10)</f>
        <v>34898152.519999996</v>
      </c>
      <c r="N11" s="655">
        <f>SUM(N6:N10)</f>
        <v>18884441.449999996</v>
      </c>
      <c r="O11" s="655">
        <f>SUM(O6:O10)</f>
        <v>2111868334.03</v>
      </c>
      <c r="P11" s="183"/>
      <c r="Q11" s="184"/>
      <c r="R11" s="183"/>
      <c r="S11" s="183"/>
    </row>
    <row r="12" spans="1:19">
      <c r="B12" s="1044" t="s">
        <v>42</v>
      </c>
      <c r="C12" s="1023">
        <f>SUM('budget (11)'!D43)</f>
        <v>137417034</v>
      </c>
      <c r="D12" s="1031">
        <v>151975504</v>
      </c>
      <c r="E12" s="1029">
        <f>+'ADI 462 julio 25 '!D26</f>
        <v>158604172.31999999</v>
      </c>
      <c r="F12" s="1030">
        <f t="shared" si="1"/>
        <v>4.3616689173802597E-2</v>
      </c>
      <c r="G12" s="1030">
        <f t="shared" si="0"/>
        <v>0.13358499975178958</v>
      </c>
      <c r="H12" s="1029">
        <f>D12/$H$3</f>
        <v>2532925.0666666669</v>
      </c>
      <c r="I12" s="1024">
        <f>+'Finanza 06-25'!E9</f>
        <v>5471175.9699999997</v>
      </c>
      <c r="J12" s="1024">
        <f>+'Finanza 06-25'!F9</f>
        <v>5471175.9699999997</v>
      </c>
      <c r="K12" s="1024"/>
      <c r="L12" s="1024"/>
      <c r="M12" s="1024">
        <f>+J12-K12+L12</f>
        <v>5471175.9699999997</v>
      </c>
      <c r="N12" s="1024">
        <f t="shared" si="4"/>
        <v>0</v>
      </c>
      <c r="O12" s="1024">
        <f>+D12-I12</f>
        <v>146504328.03</v>
      </c>
      <c r="P12" s="183"/>
      <c r="Q12" s="184"/>
      <c r="R12" s="183"/>
      <c r="S12" s="183"/>
    </row>
    <row r="13" spans="1:19">
      <c r="B13" s="1044" t="s">
        <v>43</v>
      </c>
      <c r="C13" s="1023">
        <f>SUM('budget (11)'!D45:D46)</f>
        <v>281704919</v>
      </c>
      <c r="D13" s="1031">
        <v>308130334</v>
      </c>
      <c r="E13" s="1031">
        <f>+'ADI 462 julio 25 '!D27</f>
        <v>356859387.71999997</v>
      </c>
      <c r="F13" s="1032">
        <f t="shared" si="1"/>
        <v>0.15814429266804991</v>
      </c>
      <c r="G13" s="1032">
        <f t="shared" si="0"/>
        <v>0.21059966840207628</v>
      </c>
      <c r="H13" s="1029">
        <f t="shared" ref="H13:H16" si="7">D13/$H$3</f>
        <v>5135505.5666666664</v>
      </c>
      <c r="I13" s="1024">
        <f>+'Finanza 06-25'!E10</f>
        <v>7823997.9900000002</v>
      </c>
      <c r="J13" s="1024">
        <f>+'Finanza 06-25'!F10</f>
        <v>6224542.46</v>
      </c>
      <c r="K13" s="1024">
        <f>+'CXP 06-25'!E36</f>
        <v>335100</v>
      </c>
      <c r="L13" s="1024"/>
      <c r="M13" s="1024">
        <f t="shared" ref="M13:M16" si="8">+J13-K13+L13</f>
        <v>5889442.46</v>
      </c>
      <c r="N13" s="1024">
        <f>I13-M13</f>
        <v>1934555.5300000003</v>
      </c>
      <c r="O13" s="1024">
        <f t="shared" ref="O13:O16" si="9">+D13-I13</f>
        <v>300306336.00999999</v>
      </c>
      <c r="P13" s="183"/>
      <c r="Q13" s="184"/>
      <c r="R13" s="183"/>
      <c r="S13" s="183"/>
    </row>
    <row r="14" spans="1:19">
      <c r="B14" s="1044" t="s">
        <v>44</v>
      </c>
      <c r="C14" s="1023">
        <f>SUM('budget (11)'!D47)</f>
        <v>67334346</v>
      </c>
      <c r="D14" s="1031">
        <v>75797782</v>
      </c>
      <c r="E14" s="1031">
        <f>+'ADI 462 julio 25 '!D28</f>
        <v>79103830.944600001</v>
      </c>
      <c r="F14" s="1032">
        <f t="shared" si="1"/>
        <v>4.3616697710231161E-2</v>
      </c>
      <c r="G14" s="1032">
        <f t="shared" si="0"/>
        <v>0.14878527125750338</v>
      </c>
      <c r="H14" s="1029">
        <f t="shared" si="7"/>
        <v>1263296.3666666667</v>
      </c>
      <c r="I14" s="1024">
        <f>+'Finanza 06-25'!E11</f>
        <v>872698.01</v>
      </c>
      <c r="J14" s="1024">
        <f>+'Finanza 06-25'!F11</f>
        <v>872698.01</v>
      </c>
      <c r="K14" s="1024"/>
      <c r="L14" s="1024"/>
      <c r="M14" s="1024">
        <f t="shared" si="8"/>
        <v>872698.01</v>
      </c>
      <c r="N14" s="1024">
        <f t="shared" si="4"/>
        <v>0</v>
      </c>
      <c r="O14" s="1024">
        <f t="shared" si="9"/>
        <v>74925083.989999995</v>
      </c>
      <c r="P14" s="183"/>
      <c r="Q14" s="184"/>
      <c r="R14" s="183"/>
      <c r="S14" s="183"/>
    </row>
    <row r="15" spans="1:19">
      <c r="A15">
        <v>1</v>
      </c>
      <c r="B15" s="1044" t="s">
        <v>45</v>
      </c>
      <c r="C15" s="1023">
        <f>SUM('budget (11)'!D48:D49)</f>
        <v>51531387.949999996</v>
      </c>
      <c r="D15" s="1031">
        <v>56990814</v>
      </c>
      <c r="E15" s="1031">
        <f>+'ADI 462 julio 25 '!D29</f>
        <v>59476564.619999997</v>
      </c>
      <c r="F15" s="1032">
        <f t="shared" si="1"/>
        <v>4.3616689173802597E-2</v>
      </c>
      <c r="G15" s="1032">
        <f t="shared" si="0"/>
        <v>0.13358499638912066</v>
      </c>
      <c r="H15" s="1029">
        <f t="shared" si="7"/>
        <v>949846.9</v>
      </c>
      <c r="I15" s="1024">
        <f>+'Finanza 06-25'!E12</f>
        <v>23387694.100000001</v>
      </c>
      <c r="J15" s="1024">
        <f>+'Finanza 06-25'!F12</f>
        <v>18260711.260000002</v>
      </c>
      <c r="K15" s="1024">
        <f>+'CXP 06-25'!E58</f>
        <v>1551557.64</v>
      </c>
      <c r="L15" s="1024"/>
      <c r="M15" s="1024">
        <f>+J15-K15+L15</f>
        <v>16709153.620000001</v>
      </c>
      <c r="N15" s="1024">
        <f>I15-M15</f>
        <v>6678540.4800000004</v>
      </c>
      <c r="O15" s="1024">
        <f t="shared" si="9"/>
        <v>33603119.899999999</v>
      </c>
      <c r="P15" s="183"/>
      <c r="Q15" s="184"/>
      <c r="R15" s="183"/>
      <c r="S15" s="183"/>
    </row>
    <row r="16" spans="1:19">
      <c r="B16" s="1044" t="s">
        <v>46</v>
      </c>
      <c r="C16" s="1023">
        <f>SUM('budget (11)'!D50)</f>
        <v>19238385</v>
      </c>
      <c r="D16" s="1031">
        <v>21656506</v>
      </c>
      <c r="E16" s="1031">
        <f>+'ADI 462 julio 25 '!D30</f>
        <v>19825521.539999999</v>
      </c>
      <c r="F16" s="1032">
        <f t="shared" si="1"/>
        <v>-8.454662354121209E-2</v>
      </c>
      <c r="G16" s="1032">
        <f t="shared" si="0"/>
        <v>2.9615187616395949E-2</v>
      </c>
      <c r="H16" s="1029">
        <f t="shared" si="7"/>
        <v>360941.76666666666</v>
      </c>
      <c r="I16" s="1024">
        <f>+'Finanza 06-25'!E13</f>
        <v>0</v>
      </c>
      <c r="J16" s="1024">
        <f>+'Finanza 06-25'!F13</f>
        <v>0</v>
      </c>
      <c r="K16" s="1024"/>
      <c r="L16" s="1024"/>
      <c r="M16" s="1024">
        <f t="shared" si="8"/>
        <v>0</v>
      </c>
      <c r="N16" s="1024">
        <f t="shared" si="4"/>
        <v>0</v>
      </c>
      <c r="O16" s="1024">
        <f t="shared" si="9"/>
        <v>21656506</v>
      </c>
      <c r="P16" s="183"/>
      <c r="Q16" s="184"/>
      <c r="R16" s="183"/>
      <c r="S16" s="183"/>
    </row>
    <row r="17" spans="2:19">
      <c r="B17" s="254" t="s">
        <v>47</v>
      </c>
      <c r="C17" s="665">
        <f t="shared" ref="C17:N17" si="10">SUM(C12:C16)</f>
        <v>557226071.95000005</v>
      </c>
      <c r="D17" s="665">
        <f t="shared" si="10"/>
        <v>614550940</v>
      </c>
      <c r="E17" s="665">
        <f t="shared" ref="E17" si="11">SUM(E12:E16)</f>
        <v>673869477.14459991</v>
      </c>
      <c r="F17" s="842">
        <f t="shared" si="1"/>
        <v>9.6523385261765141E-2</v>
      </c>
      <c r="G17" s="842">
        <f t="shared" si="0"/>
        <v>0.17309495258466848</v>
      </c>
      <c r="H17" s="665">
        <f>SUM(H12:H16)</f>
        <v>10242515.666666668</v>
      </c>
      <c r="I17" s="655">
        <f>SUM(I12:I16)</f>
        <v>37555566.07</v>
      </c>
      <c r="J17" s="655">
        <f t="shared" si="10"/>
        <v>30829127.700000003</v>
      </c>
      <c r="K17" s="655">
        <f t="shared" si="10"/>
        <v>1886657.64</v>
      </c>
      <c r="L17" s="655">
        <f t="shared" si="10"/>
        <v>0</v>
      </c>
      <c r="M17" s="655">
        <f t="shared" si="10"/>
        <v>28942470.060000002</v>
      </c>
      <c r="N17" s="655">
        <f t="shared" si="10"/>
        <v>8613096.0100000016</v>
      </c>
      <c r="O17" s="655">
        <f t="shared" ref="O17" si="12">SUM(O12:O16)</f>
        <v>576995373.92999995</v>
      </c>
      <c r="P17" s="183"/>
      <c r="Q17" s="184"/>
      <c r="R17" s="183"/>
      <c r="S17" s="183"/>
    </row>
    <row r="18" spans="2:19">
      <c r="B18" s="1044" t="s">
        <v>48</v>
      </c>
      <c r="C18" s="1023">
        <f>SUM('budget (11)'!D51:D52)</f>
        <v>15000000</v>
      </c>
      <c r="D18" s="1031">
        <v>30500000</v>
      </c>
      <c r="E18" s="1031">
        <f>+'ADI 462 julio 25 '!D32</f>
        <v>30500000</v>
      </c>
      <c r="F18" s="1032">
        <f t="shared" si="1"/>
        <v>0</v>
      </c>
      <c r="G18" s="1032">
        <f t="shared" si="0"/>
        <v>0.50819672131147542</v>
      </c>
      <c r="H18" s="1031">
        <f>D18/$H$3</f>
        <v>508333.33333333331</v>
      </c>
      <c r="I18" s="1024">
        <f>+'Finanza 06-25'!E14</f>
        <v>19316917.620000001</v>
      </c>
      <c r="J18" s="1024">
        <f>+'Finanza 06-25'!F14</f>
        <v>14052404.33</v>
      </c>
      <c r="K18" s="1024">
        <f>+'CXP 06-25'!E65</f>
        <v>638723.80000000005</v>
      </c>
      <c r="L18" s="1024">
        <f>+'Anticipos 06-25'!D5+'Anticipos 06-25'!D10</f>
        <v>1017500</v>
      </c>
      <c r="M18" s="1024">
        <f>+J18-K18+L18</f>
        <v>14431180.529999999</v>
      </c>
      <c r="N18" s="1024">
        <f>I18-M18</f>
        <v>4885737.0900000017</v>
      </c>
      <c r="O18" s="1024">
        <f>+D18-I18</f>
        <v>11183082.379999999</v>
      </c>
      <c r="P18" s="183"/>
      <c r="Q18" s="184"/>
      <c r="R18" s="183"/>
      <c r="S18" s="185"/>
    </row>
    <row r="19" spans="2:19">
      <c r="B19" s="1044" t="s">
        <v>49</v>
      </c>
      <c r="C19" s="1023">
        <f>SUM('budget (11)'!D4:D10)</f>
        <v>20789999.999999996</v>
      </c>
      <c r="D19" s="1031">
        <v>20789999.999999996</v>
      </c>
      <c r="E19" s="1031">
        <f>+'ADI 462 julio 25 '!D33</f>
        <v>25000000</v>
      </c>
      <c r="F19" s="1032">
        <f>(+E19-D19)/D19</f>
        <v>0.20250120250120271</v>
      </c>
      <c r="G19" s="1032">
        <f t="shared" si="0"/>
        <v>0.16840000000000016</v>
      </c>
      <c r="H19" s="1031">
        <f t="shared" ref="H19:H21" si="13">D19/$H$3</f>
        <v>346499.99999999994</v>
      </c>
      <c r="I19" s="1024">
        <f>+'Finanza 06-25'!E3</f>
        <v>22198724.059999999</v>
      </c>
      <c r="J19" s="1024">
        <f>+'Finanza 06-25'!F3</f>
        <v>21715435.649999999</v>
      </c>
      <c r="K19" s="1024">
        <f>+'CXP 06-25'!E18</f>
        <v>50670</v>
      </c>
      <c r="L19" s="1024">
        <f>+'Anticipos 06-25'!D2+'Anticipos 06-25'!D3+'Anticipos 06-25'!D4</f>
        <v>351250</v>
      </c>
      <c r="M19" s="1024">
        <f>+J19-K19+L19</f>
        <v>22016015.649999999</v>
      </c>
      <c r="N19" s="1024">
        <f>I19-M19</f>
        <v>182708.41000000015</v>
      </c>
      <c r="O19" s="1024">
        <f t="shared" ref="O19:O21" si="14">+D19-I19</f>
        <v>-1408724.0600000024</v>
      </c>
      <c r="P19" s="183"/>
      <c r="Q19" s="184"/>
      <c r="R19" s="183"/>
      <c r="S19" s="183"/>
    </row>
    <row r="20" spans="2:19">
      <c r="B20" s="1044" t="s">
        <v>50</v>
      </c>
      <c r="C20" s="1023">
        <f>SUM('budget (11)'!D54)</f>
        <v>192383847</v>
      </c>
      <c r="D20" s="1031">
        <v>216565093</v>
      </c>
      <c r="E20" s="1031">
        <f>+'ADI 462 julio 25 '!D34</f>
        <v>226010945.55599999</v>
      </c>
      <c r="F20" s="1032">
        <f t="shared" si="1"/>
        <v>4.3616690137592923E-2</v>
      </c>
      <c r="G20" s="1032">
        <f t="shared" si="0"/>
        <v>0.14878526556877761</v>
      </c>
      <c r="H20" s="1031">
        <f t="shared" si="13"/>
        <v>3609418.2166666668</v>
      </c>
      <c r="I20" s="1024">
        <f>+'Finanza 06-25'!E16</f>
        <v>0</v>
      </c>
      <c r="J20" s="1024">
        <f>+'Finanza 06-25'!F16</f>
        <v>0</v>
      </c>
      <c r="K20" s="1024"/>
      <c r="L20" s="1024"/>
      <c r="M20" s="1024">
        <f t="shared" ref="M20:M21" si="15">+J20-K20+L20</f>
        <v>0</v>
      </c>
      <c r="N20" s="1024">
        <f t="shared" si="4"/>
        <v>0</v>
      </c>
      <c r="O20" s="1024">
        <f t="shared" si="14"/>
        <v>216565093</v>
      </c>
      <c r="P20" s="183"/>
      <c r="Q20" s="184"/>
      <c r="R20" s="183"/>
      <c r="S20" s="183"/>
    </row>
    <row r="21" spans="2:19">
      <c r="B21" s="1044" t="s">
        <v>51</v>
      </c>
      <c r="C21" s="1023">
        <f>SUM('budget (11)'!D53)</f>
        <v>19238385</v>
      </c>
      <c r="D21" s="1031">
        <v>21656509</v>
      </c>
      <c r="E21" s="1031">
        <f>+'ADI 462 julio 25 '!D35</f>
        <v>19825521.539999999</v>
      </c>
      <c r="F21" s="1032">
        <f t="shared" si="1"/>
        <v>-8.4546750355747588E-2</v>
      </c>
      <c r="G21" s="1032">
        <f t="shared" si="0"/>
        <v>2.9615187616395949E-2</v>
      </c>
      <c r="H21" s="1031">
        <f t="shared" si="13"/>
        <v>360941.81666666665</v>
      </c>
      <c r="I21" s="1024">
        <f>+'Finanza 06-25'!E15</f>
        <v>0</v>
      </c>
      <c r="J21" s="1024">
        <f>+'Finanza 06-25'!F15</f>
        <v>0</v>
      </c>
      <c r="K21" s="1024"/>
      <c r="L21" s="1024"/>
      <c r="M21" s="1024">
        <f t="shared" si="15"/>
        <v>0</v>
      </c>
      <c r="N21" s="1024">
        <f t="shared" si="4"/>
        <v>0</v>
      </c>
      <c r="O21" s="1024">
        <f t="shared" si="14"/>
        <v>21656509</v>
      </c>
      <c r="P21" s="183"/>
      <c r="Q21" s="184"/>
      <c r="R21" s="183"/>
      <c r="S21" s="183"/>
    </row>
    <row r="22" spans="2:19" ht="15" thickBot="1">
      <c r="B22" s="254" t="s">
        <v>52</v>
      </c>
      <c r="C22" s="665">
        <f t="shared" ref="C22:O22" si="16">SUM(C18:C21)</f>
        <v>247412232</v>
      </c>
      <c r="D22" s="665">
        <f t="shared" si="16"/>
        <v>289511602</v>
      </c>
      <c r="E22" s="665">
        <f t="shared" ref="E22" si="17">SUM(E18:E21)</f>
        <v>301336467.09600002</v>
      </c>
      <c r="F22" s="842">
        <f t="shared" si="1"/>
        <v>4.0844183840342316E-2</v>
      </c>
      <c r="G22" s="842">
        <f t="shared" si="0"/>
        <v>0.17895024659866604</v>
      </c>
      <c r="H22" s="665">
        <f t="shared" si="16"/>
        <v>4825193.3666666662</v>
      </c>
      <c r="I22" s="655">
        <f>SUM(I18:I21)</f>
        <v>41515641.68</v>
      </c>
      <c r="J22" s="655">
        <f t="shared" si="16"/>
        <v>35767839.979999997</v>
      </c>
      <c r="K22" s="655">
        <f t="shared" si="16"/>
        <v>689393.8</v>
      </c>
      <c r="L22" s="655">
        <f t="shared" si="16"/>
        <v>1368750</v>
      </c>
      <c r="M22" s="655">
        <f t="shared" si="16"/>
        <v>36447196.18</v>
      </c>
      <c r="N22" s="655">
        <f t="shared" si="16"/>
        <v>5068445.5000000019</v>
      </c>
      <c r="O22" s="655">
        <f t="shared" si="16"/>
        <v>247995960.31999999</v>
      </c>
      <c r="P22" s="183"/>
      <c r="Q22" s="184"/>
      <c r="R22" s="183"/>
      <c r="S22" s="183"/>
    </row>
    <row r="23" spans="2:19" ht="16.2" thickBot="1">
      <c r="B23" s="1041" t="s">
        <v>1156</v>
      </c>
      <c r="C23" s="1042">
        <f>C5+C11+C17+C22</f>
        <v>2831861942.9499998</v>
      </c>
      <c r="D23" s="1042">
        <f>D5+D11+D17+D22</f>
        <v>3173098639</v>
      </c>
      <c r="E23" s="1043">
        <f>E5+E11+E17+E22</f>
        <v>3340495399.8006001</v>
      </c>
      <c r="F23" s="1043">
        <f>(+E23-D23)/D23</f>
        <v>5.2754981752901019E-2</v>
      </c>
      <c r="G23" s="1043">
        <f t="shared" si="0"/>
        <v>0.15226288199078539</v>
      </c>
      <c r="H23" s="1043">
        <f>H5+H11+H17+H22</f>
        <v>52884977.31666667</v>
      </c>
      <c r="I23" s="1043">
        <f>I22+I17+I11+I5</f>
        <v>227045023.55000001</v>
      </c>
      <c r="J23" s="1043">
        <f t="shared" ref="J23:O23" si="18">J22+J17+J11+J5</f>
        <v>182536520.49000001</v>
      </c>
      <c r="K23" s="1043">
        <f>K22+K17+K11+K5</f>
        <v>3250972.54</v>
      </c>
      <c r="L23" s="1043">
        <f t="shared" si="18"/>
        <v>15175476.640000001</v>
      </c>
      <c r="M23" s="1043">
        <f>M22+M17+M11+M5</f>
        <v>194461024.58999997</v>
      </c>
      <c r="N23" s="1043">
        <f>N22+N17+N11+N5</f>
        <v>32583998.960000001</v>
      </c>
      <c r="O23" s="1043">
        <f t="shared" si="18"/>
        <v>2946053615.4499998</v>
      </c>
      <c r="P23" s="183"/>
      <c r="Q23" s="184"/>
      <c r="R23" s="183"/>
      <c r="S23" s="183"/>
    </row>
    <row r="24" spans="2:19" ht="15" thickBot="1">
      <c r="E24" s="509"/>
      <c r="H24" s="509"/>
      <c r="I24" s="369"/>
      <c r="J24" s="369"/>
      <c r="K24" s="369"/>
      <c r="L24" s="369"/>
      <c r="M24" s="320"/>
      <c r="N24" s="320"/>
      <c r="O24" s="320"/>
    </row>
    <row r="25" spans="2:19" ht="15" thickBot="1">
      <c r="D25" s="320"/>
      <c r="E25" s="320"/>
      <c r="H25" s="320"/>
      <c r="I25" s="368"/>
      <c r="J25" s="368"/>
      <c r="K25" s="434" t="s">
        <v>653</v>
      </c>
      <c r="L25" s="435">
        <f>+'BCE 06-25'!C45</f>
        <v>159695773.63999999</v>
      </c>
      <c r="M25" s="368">
        <v>160000000</v>
      </c>
      <c r="N25" s="142"/>
      <c r="O25" s="142"/>
      <c r="Q25" s="186" t="s">
        <v>189</v>
      </c>
      <c r="R25" s="190">
        <v>2831861942.3920002</v>
      </c>
    </row>
    <row r="26" spans="2:19" ht="18.600000000000001" thickBot="1">
      <c r="B26" s="333" t="s">
        <v>1447</v>
      </c>
      <c r="C26" s="672">
        <v>3515158425</v>
      </c>
      <c r="D26" s="672">
        <f t="shared" ref="D26" si="19">+D13/0.08</f>
        <v>3851629175</v>
      </c>
      <c r="E26" s="672">
        <f>+E27*60</f>
        <v>3996000000</v>
      </c>
      <c r="H26" s="672"/>
      <c r="I26" s="368"/>
      <c r="J26" s="368"/>
      <c r="K26" s="586" t="s">
        <v>1157</v>
      </c>
      <c r="L26" s="587">
        <f>+'BCE 06-25'!C32</f>
        <v>34200000</v>
      </c>
      <c r="M26" s="368"/>
      <c r="N26" s="142"/>
      <c r="O26" s="142"/>
      <c r="Q26" s="186"/>
      <c r="R26" s="190"/>
    </row>
    <row r="27" spans="2:19" ht="15" thickBot="1">
      <c r="C27" s="370">
        <f>+C26/59</f>
        <v>59578956.355932206</v>
      </c>
      <c r="D27" s="370">
        <f>+D26/59</f>
        <v>65281850.423728816</v>
      </c>
      <c r="E27" s="370">
        <v>66600000</v>
      </c>
      <c r="H27" s="370"/>
      <c r="I27" s="474"/>
      <c r="K27" s="436" t="s">
        <v>654</v>
      </c>
      <c r="L27" s="437">
        <f>-'BCE 06-25'!C16</f>
        <v>-24394664.259999998</v>
      </c>
      <c r="M27" s="108">
        <f>M25-M23</f>
        <v>-34461024.589999974</v>
      </c>
      <c r="N27" s="320"/>
      <c r="O27" s="320"/>
      <c r="Q27" s="188" t="s">
        <v>190</v>
      </c>
      <c r="R27" s="189">
        <f>C23</f>
        <v>2831861942.9499998</v>
      </c>
    </row>
    <row r="28" spans="2:19" ht="15" thickBot="1">
      <c r="C28" s="489"/>
      <c r="D28" s="370"/>
      <c r="E28" s="370"/>
      <c r="H28" s="370"/>
      <c r="I28" s="474"/>
      <c r="K28" s="441" t="s">
        <v>655</v>
      </c>
      <c r="L28" s="442">
        <f>+'BCE 06-25'!C34+'BCE 06-25'!C35+'BCE 06-25'!C36+'BCE 06-25'!C37+'BCE 06-25'!C38+'CXP 06-25'!E10</f>
        <v>655381.83000000007</v>
      </c>
      <c r="M28" s="445">
        <f>+N23</f>
        <v>32583998.960000001</v>
      </c>
      <c r="N28" s="320"/>
      <c r="O28" s="320"/>
      <c r="Q28" s="187" t="s">
        <v>191</v>
      </c>
      <c r="R28" s="191">
        <f>R25-R27</f>
        <v>-0.55799961090087891</v>
      </c>
    </row>
    <row r="29" spans="2:19" ht="18.600000000000001" thickBot="1">
      <c r="B29" s="333" t="s">
        <v>1448</v>
      </c>
      <c r="C29" s="672">
        <f>+C26-C23</f>
        <v>683296482.05000019</v>
      </c>
      <c r="D29" s="672">
        <f t="shared" ref="D29" si="20">+D26-D23</f>
        <v>678530536</v>
      </c>
      <c r="E29" s="672">
        <f>+E26-E23</f>
        <v>655504600.19939995</v>
      </c>
      <c r="H29" s="672"/>
      <c r="I29" s="474"/>
      <c r="K29" s="441" t="s">
        <v>808</v>
      </c>
      <c r="L29" s="442">
        <f>+'BCE 06-25'!C33</f>
        <v>24111008.32</v>
      </c>
      <c r="M29" s="445"/>
      <c r="N29" s="320"/>
      <c r="O29" s="320"/>
      <c r="Q29" s="183"/>
      <c r="R29" s="508"/>
    </row>
    <row r="30" spans="2:19">
      <c r="C30" s="370">
        <f>+C29/59</f>
        <v>11581296.305932207</v>
      </c>
      <c r="D30" s="370">
        <f t="shared" ref="D30" si="21">+D29/59</f>
        <v>11500517.559322033</v>
      </c>
      <c r="E30" s="370">
        <f>+E29/60</f>
        <v>10925076.669989999</v>
      </c>
      <c r="H30" s="370"/>
      <c r="I30" s="474"/>
      <c r="K30" s="441" t="s">
        <v>896</v>
      </c>
      <c r="L30" s="442">
        <v>0</v>
      </c>
      <c r="M30" s="445"/>
      <c r="N30" s="320"/>
      <c r="O30" s="320"/>
      <c r="Q30" s="183"/>
      <c r="R30" s="508"/>
    </row>
    <row r="31" spans="2:19">
      <c r="C31" s="489"/>
      <c r="D31" s="370"/>
      <c r="E31" s="370"/>
      <c r="H31" s="370"/>
      <c r="I31" s="474"/>
      <c r="K31" s="441" t="s">
        <v>888</v>
      </c>
      <c r="L31" s="442">
        <v>0</v>
      </c>
      <c r="M31" s="445"/>
      <c r="N31" s="320"/>
      <c r="O31" s="320"/>
      <c r="Q31" s="183"/>
      <c r="R31" s="508"/>
    </row>
    <row r="32" spans="2:19" ht="15" thickBot="1">
      <c r="C32" s="369"/>
      <c r="D32" s="370"/>
      <c r="E32" s="370"/>
      <c r="H32" s="370"/>
      <c r="K32" s="438" t="s">
        <v>656</v>
      </c>
      <c r="L32" s="439">
        <f>SUM(L25:L31)</f>
        <v>194267499.53</v>
      </c>
      <c r="M32" s="445">
        <f>M27-M28</f>
        <v>-67045023.549999975</v>
      </c>
    </row>
    <row r="33" spans="2:14">
      <c r="C33" s="161"/>
      <c r="D33" s="370"/>
      <c r="E33" s="370"/>
      <c r="H33" s="370"/>
      <c r="K33" s="440" t="s">
        <v>657</v>
      </c>
      <c r="L33" s="445">
        <f>+M23</f>
        <v>194461024.58999997</v>
      </c>
    </row>
    <row r="34" spans="2:14">
      <c r="K34" s="443" t="s">
        <v>658</v>
      </c>
      <c r="L34" s="443">
        <f>+L32-L33</f>
        <v>-193525.05999997258</v>
      </c>
      <c r="M34" s="444">
        <f>+'BCE 06-25'!C46+'BCE 06-25'!C47</f>
        <v>193529.3</v>
      </c>
      <c r="N34" s="444">
        <f>+L34+M34</f>
        <v>4.2400000274064951</v>
      </c>
    </row>
    <row r="35" spans="2:14">
      <c r="B35" s="192"/>
      <c r="C35" s="192"/>
      <c r="D35" s="192"/>
      <c r="E35" s="192"/>
      <c r="F35" s="843"/>
      <c r="G35" s="843"/>
      <c r="H35" s="192"/>
      <c r="I35" s="192"/>
      <c r="J35" s="192"/>
      <c r="K35" s="192"/>
      <c r="L35" s="192"/>
      <c r="M35" s="192"/>
      <c r="N35" s="192"/>
    </row>
    <row r="37" spans="2:14">
      <c r="B37" s="254" t="s">
        <v>47</v>
      </c>
    </row>
    <row r="38" spans="2:14">
      <c r="B38" s="112" t="s">
        <v>48</v>
      </c>
    </row>
    <row r="39" spans="2:14">
      <c r="B39" s="115" t="s">
        <v>49</v>
      </c>
    </row>
    <row r="40" spans="2:14">
      <c r="B40" s="112" t="s">
        <v>50</v>
      </c>
    </row>
    <row r="41" spans="2:14">
      <c r="B41" s="115" t="s">
        <v>51</v>
      </c>
    </row>
    <row r="42" spans="2:14">
      <c r="B42" s="254" t="s">
        <v>52</v>
      </c>
    </row>
    <row r="43" spans="2:14" ht="18.600000000000001" thickBot="1">
      <c r="B43" s="333" t="s">
        <v>229</v>
      </c>
    </row>
    <row r="45" spans="2:14" ht="15" thickBot="1"/>
    <row r="46" spans="2:14">
      <c r="B46" s="335" t="s">
        <v>234</v>
      </c>
      <c r="C46" s="336">
        <v>160000000</v>
      </c>
      <c r="D46" s="336"/>
      <c r="E46" s="336"/>
      <c r="F46" s="844"/>
      <c r="G46" s="844"/>
      <c r="H46" s="336"/>
    </row>
    <row r="47" spans="2:14">
      <c r="B47" s="588" t="s">
        <v>1158</v>
      </c>
      <c r="C47" s="589">
        <v>22200000</v>
      </c>
      <c r="D47" s="589"/>
      <c r="E47" s="589"/>
      <c r="F47" s="845"/>
      <c r="G47" s="845"/>
      <c r="H47" s="589"/>
    </row>
    <row r="48" spans="2:14">
      <c r="B48" s="112" t="s">
        <v>153</v>
      </c>
      <c r="C48" s="403">
        <f>+M23+N23</f>
        <v>227045023.54999998</v>
      </c>
      <c r="D48" s="403"/>
      <c r="E48" s="403"/>
      <c r="F48" s="846"/>
      <c r="G48" s="846"/>
      <c r="H48" s="403">
        <f>C48/C46</f>
        <v>1.4190313971874999</v>
      </c>
    </row>
    <row r="49" spans="2:8" ht="15" thickBot="1">
      <c r="B49" s="339" t="s">
        <v>154</v>
      </c>
      <c r="C49" s="340">
        <f>+C46+C47-C48</f>
        <v>-44845023.549999982</v>
      </c>
      <c r="D49" s="340"/>
      <c r="E49" s="340"/>
      <c r="F49" s="847"/>
      <c r="G49" s="847"/>
      <c r="H49" s="340">
        <f>C49/C46</f>
        <v>-0.28028139718749989</v>
      </c>
    </row>
  </sheetData>
  <mergeCells count="8">
    <mergeCell ref="P1:S2"/>
    <mergeCell ref="I3:I4"/>
    <mergeCell ref="J3:J4"/>
    <mergeCell ref="K3:K4"/>
    <mergeCell ref="L3:L4"/>
    <mergeCell ref="M3:M4"/>
    <mergeCell ref="N3:N4"/>
    <mergeCell ref="O3:O4"/>
  </mergeCells>
  <phoneticPr fontId="3" type="noConversion"/>
  <conditionalFormatting sqref="P6:P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P9">
    <cfRule type="iconSet" priority="1">
      <iconSet iconSet="3Arrows">
        <cfvo type="percent" val="0"/>
        <cfvo type="percent" val="45"/>
        <cfvo type="percent" val="80"/>
      </iconSet>
    </cfRule>
  </conditionalFormatting>
  <conditionalFormatting sqref="P13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P15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P19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P21">
    <cfRule type="iconSet" priority="2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ignoredErrors>
    <ignoredError sqref="E11:N11 O11 H17:O17 E9:G10 I9:N10" formula="1"/>
  </ignoredErrors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E62C6-3507-4A0B-856A-B257D3E9EBD6}">
  <dimension ref="B3:J46"/>
  <sheetViews>
    <sheetView showGridLines="0" topLeftCell="A15" zoomScaleNormal="100" workbookViewId="0">
      <selection activeCell="J9" sqref="J9"/>
    </sheetView>
  </sheetViews>
  <sheetFormatPr baseColWidth="10" defaultColWidth="11.44140625" defaultRowHeight="14.4"/>
  <cols>
    <col min="1" max="1" width="2.44140625" customWidth="1"/>
    <col min="2" max="2" width="29.88671875" bestFit="1" customWidth="1"/>
    <col min="3" max="3" width="20.6640625" style="731" customWidth="1"/>
    <col min="4" max="4" width="13" style="730" bestFit="1" customWidth="1"/>
    <col min="5" max="7" width="13.44140625" style="730" bestFit="1" customWidth="1"/>
    <col min="8" max="9" width="13" style="730" bestFit="1" customWidth="1"/>
    <col min="10" max="10" width="14.5546875" style="731" bestFit="1" customWidth="1"/>
    <col min="11" max="11" width="20.6640625" bestFit="1" customWidth="1"/>
    <col min="12" max="12" width="13.33203125" bestFit="1" customWidth="1"/>
    <col min="13" max="13" width="14.88671875" bestFit="1" customWidth="1"/>
    <col min="14" max="15" width="12.33203125" bestFit="1" customWidth="1"/>
  </cols>
  <sheetData>
    <row r="3" spans="2:10" hidden="1">
      <c r="B3" s="142">
        <v>160000000</v>
      </c>
    </row>
    <row r="4" spans="2:10" ht="15" hidden="1" thickBot="1">
      <c r="B4" s="284" t="s">
        <v>259</v>
      </c>
    </row>
    <row r="5" spans="2:10" ht="15" hidden="1" thickBot="1">
      <c r="B5" s="284" t="s">
        <v>260</v>
      </c>
    </row>
    <row r="6" spans="2:10" ht="15.6" hidden="1" thickTop="1" thickBot="1">
      <c r="B6" s="285" t="s">
        <v>261</v>
      </c>
    </row>
    <row r="7" spans="2:10" ht="15.6" hidden="1" thickTop="1" thickBot="1">
      <c r="B7" s="285" t="s">
        <v>149</v>
      </c>
    </row>
    <row r="8" spans="2:10" ht="15.6" hidden="1" thickTop="1" thickBot="1">
      <c r="B8" s="285" t="s">
        <v>262</v>
      </c>
    </row>
    <row r="9" spans="2:10" hidden="1"/>
    <row r="10" spans="2:10" hidden="1"/>
    <row r="11" spans="2:10" hidden="1"/>
    <row r="12" spans="2:10" hidden="1"/>
    <row r="13" spans="2:10" hidden="1"/>
    <row r="14" spans="2:10" hidden="1"/>
    <row r="15" spans="2:10" ht="15" thickBot="1">
      <c r="C15" s="731" t="s">
        <v>1286</v>
      </c>
      <c r="F15" s="733" t="s">
        <v>1287</v>
      </c>
      <c r="G15" s="733" t="s">
        <v>1288</v>
      </c>
    </row>
    <row r="16" spans="2:10" ht="28.2" customHeight="1" thickBot="1">
      <c r="B16" s="676"/>
      <c r="C16" s="734" t="s">
        <v>1449</v>
      </c>
      <c r="D16" s="735">
        <v>45839</v>
      </c>
      <c r="E16" s="735">
        <v>45870</v>
      </c>
      <c r="F16" s="735">
        <v>45901</v>
      </c>
      <c r="G16" s="735">
        <v>45931</v>
      </c>
      <c r="H16" s="735">
        <v>45962</v>
      </c>
      <c r="I16" s="735">
        <v>45992</v>
      </c>
      <c r="J16" s="807" t="s">
        <v>1290</v>
      </c>
    </row>
    <row r="17" spans="2:10" ht="16.2" thickBot="1">
      <c r="B17" s="736" t="s">
        <v>1291</v>
      </c>
      <c r="C17" s="737">
        <f>+'BCE 06-25'!C33</f>
        <v>24111008.32</v>
      </c>
      <c r="D17" s="737">
        <v>22480000</v>
      </c>
      <c r="E17" s="737">
        <v>22480000</v>
      </c>
      <c r="F17" s="737">
        <v>22480000</v>
      </c>
      <c r="G17" s="737"/>
      <c r="H17" s="737"/>
      <c r="I17" s="737"/>
      <c r="J17" s="808">
        <f>SUM(C17:I17)</f>
        <v>91551008.319999993</v>
      </c>
    </row>
    <row r="18" spans="2:10" ht="15.6">
      <c r="B18" s="681" t="s">
        <v>265</v>
      </c>
      <c r="C18" s="738">
        <v>160000000</v>
      </c>
      <c r="D18" s="739"/>
      <c r="E18" s="739"/>
      <c r="F18" s="739"/>
      <c r="G18" s="739"/>
      <c r="H18" s="739"/>
      <c r="I18" s="739"/>
      <c r="J18" s="809">
        <f>SUM(C18:I18)</f>
        <v>160000000</v>
      </c>
    </row>
    <row r="19" spans="2:10" ht="15.6">
      <c r="B19" s="681" t="s">
        <v>960</v>
      </c>
      <c r="C19" s="738">
        <f>+'BCE 06-25'!C32</f>
        <v>34200000</v>
      </c>
      <c r="D19" s="738">
        <v>15000000</v>
      </c>
      <c r="E19" s="738">
        <v>55000000</v>
      </c>
      <c r="F19" s="738">
        <v>36000000</v>
      </c>
      <c r="G19" s="738">
        <v>9000000</v>
      </c>
      <c r="H19" s="739"/>
      <c r="I19" s="739"/>
      <c r="J19" s="809">
        <f>SUM(C19:I20)</f>
        <v>100000000</v>
      </c>
    </row>
    <row r="20" spans="2:10" ht="15.6">
      <c r="B20" s="681" t="s">
        <v>1450</v>
      </c>
      <c r="C20" s="738"/>
      <c r="D20" s="738"/>
      <c r="E20" s="738">
        <v>-15000000</v>
      </c>
      <c r="F20" s="738">
        <v>-34200000</v>
      </c>
      <c r="G20" s="738"/>
      <c r="H20" s="739"/>
      <c r="I20" s="739"/>
      <c r="J20" s="809"/>
    </row>
    <row r="21" spans="2:10" ht="15.6" hidden="1">
      <c r="B21" s="681"/>
      <c r="C21" s="738"/>
      <c r="D21" s="739">
        <f>+C19+D19</f>
        <v>49200000</v>
      </c>
      <c r="E21" s="739">
        <f>+D21+E19+E20</f>
        <v>89200000</v>
      </c>
      <c r="F21" s="739">
        <f t="shared" ref="F21:G21" si="0">+E21+F19+F20</f>
        <v>91000000</v>
      </c>
      <c r="G21" s="739">
        <f t="shared" si="0"/>
        <v>100000000</v>
      </c>
      <c r="H21" s="739"/>
      <c r="I21" s="739">
        <f>+H19+I19</f>
        <v>0</v>
      </c>
      <c r="J21" s="809"/>
    </row>
    <row r="22" spans="2:10" ht="15.6">
      <c r="B22" s="681" t="s">
        <v>266</v>
      </c>
      <c r="C22" s="738">
        <f>+C18+C19-C23</f>
        <v>-1302355.119999975</v>
      </c>
      <c r="D22" s="739">
        <f t="shared" ref="D22:I22" si="1">C22-D23+D19</f>
        <v>-10542788.767260246</v>
      </c>
      <c r="E22" s="739">
        <f t="shared" si="1"/>
        <v>9062411.4435616657</v>
      </c>
      <c r="F22" s="739">
        <f t="shared" si="1"/>
        <v>13316537.287214633</v>
      </c>
      <c r="G22" s="739">
        <f t="shared" si="1"/>
        <v>-7016753.4391323999</v>
      </c>
      <c r="H22" s="739">
        <f t="shared" si="1"/>
        <v>-23323100.165479433</v>
      </c>
      <c r="I22" s="739">
        <f t="shared" si="1"/>
        <v>-32751613.55849313</v>
      </c>
      <c r="J22" s="809">
        <f>SUM(G22:I22)</f>
        <v>-63091467.163104966</v>
      </c>
    </row>
    <row r="23" spans="2:10" ht="15.6">
      <c r="B23" s="740" t="s">
        <v>267</v>
      </c>
      <c r="C23" s="741">
        <f>SUM(C24:C39)</f>
        <v>195502355.11999997</v>
      </c>
      <c r="D23" s="741">
        <f>SUM(D24:D39)</f>
        <v>24240433.647260271</v>
      </c>
      <c r="E23" s="741">
        <f t="shared" ref="E23:I23" si="2">SUM(E24:E39)</f>
        <v>35394799.789178088</v>
      </c>
      <c r="F23" s="741">
        <f t="shared" si="2"/>
        <v>31745874.156347033</v>
      </c>
      <c r="G23" s="741">
        <f t="shared" si="2"/>
        <v>29333290.726347033</v>
      </c>
      <c r="H23" s="741">
        <f t="shared" si="2"/>
        <v>16306346.726347033</v>
      </c>
      <c r="I23" s="741">
        <f t="shared" si="2"/>
        <v>9428513.393013699</v>
      </c>
      <c r="J23" s="810">
        <f t="shared" ref="J23:J36" si="3">SUM(C23:I23)</f>
        <v>341951613.55849314</v>
      </c>
    </row>
    <row r="24" spans="2:10" ht="15.6">
      <c r="B24" s="694" t="s">
        <v>259</v>
      </c>
      <c r="C24" s="743">
        <f>+'PRESENTACIÓN 06-25'!M5</f>
        <v>94173205.829999998</v>
      </c>
      <c r="D24" s="742">
        <f>+'Compromisos 06-25'!K4</f>
        <v>18016</v>
      </c>
      <c r="E24" s="742">
        <f>+'Compromisos 06-25'!L4</f>
        <v>0</v>
      </c>
      <c r="F24" s="742">
        <f>+'Compromisos 06-25'!M4</f>
        <v>0</v>
      </c>
      <c r="G24" s="742">
        <f>+'Compromisos 06-25'!N4</f>
        <v>0</v>
      </c>
      <c r="H24" s="742">
        <f>+'Compromisos 06-25'!O4</f>
        <v>0</v>
      </c>
      <c r="I24" s="742">
        <f>+'Compromisos 06-25'!P4</f>
        <v>0</v>
      </c>
      <c r="J24" s="811">
        <f t="shared" si="3"/>
        <v>94191221.829999998</v>
      </c>
    </row>
    <row r="25" spans="2:10" ht="15.6">
      <c r="B25" s="697" t="s">
        <v>260</v>
      </c>
      <c r="C25" s="738">
        <f>+'PRESENTACIÓN 06-25'!M19</f>
        <v>22016015.649999999</v>
      </c>
      <c r="D25" s="739">
        <f>+'Compromisos 06-25'!K10</f>
        <v>58199.520000000004</v>
      </c>
      <c r="E25" s="739">
        <f>+'Compromisos 06-25'!L10</f>
        <v>126938.89</v>
      </c>
      <c r="F25" s="739">
        <f>+'Compromisos 06-25'!M10</f>
        <v>0</v>
      </c>
      <c r="G25" s="739">
        <f>+'Compromisos 06-25'!N10</f>
        <v>0</v>
      </c>
      <c r="H25" s="739">
        <f>+'Compromisos 06-25'!O10</f>
        <v>0</v>
      </c>
      <c r="I25" s="739">
        <f>+'Compromisos 06-25'!P10</f>
        <v>0</v>
      </c>
      <c r="J25" s="809">
        <f t="shared" si="3"/>
        <v>22201154.059999999</v>
      </c>
    </row>
    <row r="26" spans="2:10" ht="15.6">
      <c r="B26" s="697" t="s">
        <v>1292</v>
      </c>
      <c r="C26" s="743">
        <f>+'PRESENTACIÓN 06-25'!M18</f>
        <v>14431180.529999999</v>
      </c>
      <c r="D26" s="742">
        <f>+'Compromisos 06-25'!K88</f>
        <v>1477927.4500000002</v>
      </c>
      <c r="E26" s="742">
        <f>+'Compromisos 06-25'!L88</f>
        <v>3076892.8400000003</v>
      </c>
      <c r="F26" s="742">
        <f>+'Compromisos 06-25'!M88</f>
        <v>0</v>
      </c>
      <c r="G26" s="742">
        <f>+'Compromisos 06-25'!N88</f>
        <v>357835</v>
      </c>
      <c r="H26" s="742">
        <f>+'Compromisos 06-25'!O88</f>
        <v>0</v>
      </c>
      <c r="I26" s="742">
        <f>+'Compromisos 06-25'!P88</f>
        <v>0</v>
      </c>
      <c r="J26" s="811">
        <f t="shared" si="3"/>
        <v>19343835.82</v>
      </c>
    </row>
    <row r="27" spans="2:10" ht="15.6">
      <c r="B27" s="697" t="s">
        <v>271</v>
      </c>
      <c r="C27" s="738">
        <f>+'PRESENTACIÓN 06-25'!M6</f>
        <v>23422683.949999999</v>
      </c>
      <c r="D27" s="739">
        <f>+'Compromisos 06-25'!K27</f>
        <v>6028845.8899999987</v>
      </c>
      <c r="E27" s="739">
        <f>+'Compromisos 06-25'!L27</f>
        <v>7392094.2700000005</v>
      </c>
      <c r="F27" s="739">
        <f>+'Compromisos 06-25'!M27</f>
        <v>9156647.5899999999</v>
      </c>
      <c r="G27" s="739">
        <f>+'Compromisos 06-25'!N27</f>
        <v>3683734</v>
      </c>
      <c r="H27" s="739">
        <f>+'Compromisos 06-25'!O27</f>
        <v>3382000</v>
      </c>
      <c r="I27" s="739">
        <f>+'Compromisos 06-25'!P27</f>
        <v>0</v>
      </c>
      <c r="J27" s="809">
        <f t="shared" si="3"/>
        <v>53066005.700000003</v>
      </c>
    </row>
    <row r="28" spans="2:10" ht="15.6">
      <c r="B28" s="697" t="s">
        <v>681</v>
      </c>
      <c r="C28" s="738">
        <f>+'PRESENTACIÓN 06-25'!M7</f>
        <v>0</v>
      </c>
      <c r="D28" s="739">
        <f>+'Compromisos 06-25'!K30</f>
        <v>0</v>
      </c>
      <c r="E28" s="739">
        <f>+'Compromisos 06-25'!L30</f>
        <v>3000000</v>
      </c>
      <c r="F28" s="739">
        <f>+'Compromisos 06-25'!M30</f>
        <v>3000000</v>
      </c>
      <c r="G28" s="739">
        <f>+'Compromisos 06-25'!N30</f>
        <v>5700000</v>
      </c>
      <c r="H28" s="739">
        <f>+'Compromisos 06-25'!O30</f>
        <v>5000000</v>
      </c>
      <c r="I28" s="739">
        <f>+'Compromisos 06-25'!P30</f>
        <v>3000000</v>
      </c>
      <c r="J28" s="809">
        <f t="shared" si="3"/>
        <v>19700000</v>
      </c>
    </row>
    <row r="29" spans="2:10" ht="15.6">
      <c r="B29" s="697" t="s">
        <v>682</v>
      </c>
      <c r="C29" s="738">
        <f>+'PRESENTACIÓN 06-25'!M10</f>
        <v>2.9103830456733704E-11</v>
      </c>
      <c r="D29" s="739">
        <f>+'Compromisos 06-25'!K39</f>
        <v>354785.33999999997</v>
      </c>
      <c r="E29" s="739">
        <f>+'Compromisos 06-25'!L39</f>
        <v>300000</v>
      </c>
      <c r="F29" s="739">
        <f>+'Compromisos 06-25'!M39</f>
        <v>300000</v>
      </c>
      <c r="G29" s="739">
        <f>+'Compromisos 06-25'!N39</f>
        <v>300000</v>
      </c>
      <c r="H29" s="739">
        <f>+'Compromisos 06-25'!O39</f>
        <v>300000</v>
      </c>
      <c r="I29" s="739">
        <f>+'Compromisos 06-25'!P39</f>
        <v>300000</v>
      </c>
      <c r="J29" s="809">
        <f t="shared" si="3"/>
        <v>1854785.3399999999</v>
      </c>
    </row>
    <row r="30" spans="2:10" ht="15.6">
      <c r="B30" s="697" t="s">
        <v>449</v>
      </c>
      <c r="C30" s="743">
        <f>+'PRESENTACIÓN 06-25'!M15</f>
        <v>16709153.620000001</v>
      </c>
      <c r="D30" s="742">
        <f>+'Compromisos 06-25'!K77</f>
        <v>3595791.8572602738</v>
      </c>
      <c r="E30" s="742">
        <f>+'Compromisos 06-25'!L77</f>
        <v>3150780.2591780825</v>
      </c>
      <c r="F30" s="742">
        <f>+'Compromisos 06-25'!M77</f>
        <v>318369.86301369872</v>
      </c>
      <c r="G30" s="742">
        <f>+'Compromisos 06-25'!N77</f>
        <v>318369.86301369872</v>
      </c>
      <c r="H30" s="742">
        <f>+'Compromisos 06-25'!O77</f>
        <v>318369.86301369872</v>
      </c>
      <c r="I30" s="742">
        <f>+'Compromisos 06-25'!P77</f>
        <v>318369.86301369872</v>
      </c>
      <c r="J30" s="811">
        <f t="shared" si="3"/>
        <v>24729205.188493159</v>
      </c>
    </row>
    <row r="31" spans="2:10" s="747" customFormat="1" ht="15.6">
      <c r="B31" s="744" t="s">
        <v>810</v>
      </c>
      <c r="C31" s="746">
        <f>+'PRESENTACIÓN 06-25'!M14</f>
        <v>872698.01</v>
      </c>
      <c r="D31" s="745">
        <f>+'Compromisos 06-25'!K46</f>
        <v>80688</v>
      </c>
      <c r="E31" s="745">
        <f>+'Compromisos 06-25'!L46</f>
        <v>80688</v>
      </c>
      <c r="F31" s="745">
        <f>+'Compromisos 06-25'!M46</f>
        <v>80688</v>
      </c>
      <c r="G31" s="745">
        <f>+'Compromisos 06-25'!N46</f>
        <v>80688</v>
      </c>
      <c r="H31" s="745">
        <f>+'Compromisos 06-25'!O46</f>
        <v>80688</v>
      </c>
      <c r="I31" s="745">
        <f>+'Compromisos 06-25'!P46</f>
        <v>80688</v>
      </c>
      <c r="J31" s="812">
        <f t="shared" si="3"/>
        <v>1356826.01</v>
      </c>
    </row>
    <row r="32" spans="2:10" s="747" customFormat="1" ht="15.6">
      <c r="B32" s="703" t="s">
        <v>767</v>
      </c>
      <c r="C32" s="749">
        <f>+'PRESENTACIÓN 06-25'!M9</f>
        <v>11475468.57</v>
      </c>
      <c r="D32" s="750">
        <f>+'Compromisos 06-25'!K35</f>
        <v>2809264.11</v>
      </c>
      <c r="E32" s="750">
        <f>+'Compromisos 06-25'!L35</f>
        <v>2360000</v>
      </c>
      <c r="F32" s="750">
        <f>+'Compromisos 06-25'!M35</f>
        <v>2384429.84</v>
      </c>
      <c r="G32" s="750">
        <f>+'Compromisos 06-25'!N35</f>
        <v>2360000</v>
      </c>
      <c r="H32" s="750">
        <f>+'Compromisos 06-25'!O35</f>
        <v>2360000</v>
      </c>
      <c r="I32" s="750">
        <f>+'Compromisos 06-25'!P35</f>
        <v>2360000</v>
      </c>
      <c r="J32" s="813">
        <f t="shared" si="3"/>
        <v>26109162.52</v>
      </c>
    </row>
    <row r="33" spans="2:10" s="747" customFormat="1" ht="15.6">
      <c r="B33" s="703" t="s">
        <v>768</v>
      </c>
      <c r="C33" s="748">
        <f>+'PRESENTACIÓN 06-25'!M12</f>
        <v>5471175.9699999997</v>
      </c>
      <c r="D33" s="751">
        <f>+'Compromisos 06-25'!K42</f>
        <v>1770000</v>
      </c>
      <c r="E33" s="751">
        <f>+'Compromisos 06-25'!L42</f>
        <v>1770000</v>
      </c>
      <c r="F33" s="751">
        <f>+'Compromisos 06-25'!M42</f>
        <v>1770000</v>
      </c>
      <c r="G33" s="751">
        <f>+'Compromisos 06-25'!N42</f>
        <v>1770000</v>
      </c>
      <c r="H33" s="751">
        <f>+'Compromisos 06-25'!O42</f>
        <v>1770000</v>
      </c>
      <c r="I33" s="751">
        <f>+'Compromisos 06-25'!P42</f>
        <v>1770000</v>
      </c>
      <c r="J33" s="814">
        <f t="shared" si="3"/>
        <v>16091175.969999999</v>
      </c>
    </row>
    <row r="34" spans="2:10" s="747" customFormat="1" ht="15.6">
      <c r="B34" s="703" t="s">
        <v>1451</v>
      </c>
      <c r="C34" s="749">
        <f>+'BCE 06-25'!I16</f>
        <v>4690542.4400000004</v>
      </c>
      <c r="D34" s="750">
        <f>+'Compromisos 06-25'!K50</f>
        <v>832455.53</v>
      </c>
      <c r="E34" s="750">
        <f>+'Compromisos 06-25'!L50</f>
        <v>832455.53</v>
      </c>
      <c r="F34" s="750">
        <f>+'Compromisos 06-25'!M50</f>
        <v>832455.53</v>
      </c>
      <c r="G34" s="750">
        <f>+'Compromisos 06-25'!N50</f>
        <v>832455.53</v>
      </c>
      <c r="H34" s="750">
        <f>+'Compromisos 06-25'!O50</f>
        <v>832455.53</v>
      </c>
      <c r="I34" s="750">
        <f>+'Compromisos 06-25'!P50</f>
        <v>832455.53</v>
      </c>
      <c r="J34" s="813">
        <f t="shared" si="3"/>
        <v>9685275.620000001</v>
      </c>
    </row>
    <row r="35" spans="2:10" s="747" customFormat="1" ht="18" customHeight="1">
      <c r="B35" s="752" t="s">
        <v>962</v>
      </c>
      <c r="C35" s="748">
        <f>+'BCE 06-25'!I15</f>
        <v>1534000</v>
      </c>
      <c r="D35" s="751">
        <f>+'Compromisos 06-25'!K49+'Compromisos 06-25'!K48</f>
        <v>1102100</v>
      </c>
      <c r="E35" s="751">
        <f>+'Compromisos 06-25'!L49</f>
        <v>767000</v>
      </c>
      <c r="F35" s="751">
        <f>+'Compromisos 06-25'!M49</f>
        <v>767000</v>
      </c>
      <c r="G35" s="751">
        <f>+'Compromisos 06-25'!N49</f>
        <v>767000</v>
      </c>
      <c r="H35" s="751">
        <f>+'Compromisos 06-25'!O49</f>
        <v>767000</v>
      </c>
      <c r="I35" s="751">
        <f>+'Compromisos 06-25'!P49</f>
        <v>767000</v>
      </c>
      <c r="J35" s="814">
        <f t="shared" si="3"/>
        <v>6471100</v>
      </c>
    </row>
    <row r="36" spans="2:10" ht="15.6">
      <c r="B36" s="752" t="s">
        <v>770</v>
      </c>
      <c r="C36" s="743">
        <v>0</v>
      </c>
      <c r="D36" s="742">
        <v>5657784.9500000002</v>
      </c>
      <c r="E36" s="742">
        <v>11802000.000000002</v>
      </c>
      <c r="F36" s="742">
        <v>11802000.000000002</v>
      </c>
      <c r="G36" s="742">
        <v>11802000.000000002</v>
      </c>
      <c r="H36" s="742"/>
      <c r="I36" s="742"/>
      <c r="J36" s="811">
        <f t="shared" si="3"/>
        <v>41063784.950000003</v>
      </c>
    </row>
    <row r="37" spans="2:10" ht="15.6" hidden="1">
      <c r="B37" s="753"/>
      <c r="C37" s="755"/>
      <c r="D37" s="754"/>
      <c r="E37" s="754"/>
      <c r="F37" s="754"/>
      <c r="G37" s="754"/>
      <c r="H37" s="754"/>
      <c r="I37" s="754"/>
      <c r="J37" s="811">
        <f t="shared" ref="J37:J38" si="4">SUM(C37:I37)</f>
        <v>0</v>
      </c>
    </row>
    <row r="38" spans="2:10" ht="15.6" hidden="1">
      <c r="B38" s="753"/>
      <c r="C38" s="755"/>
      <c r="D38" s="754"/>
      <c r="E38" s="754"/>
      <c r="F38" s="754"/>
      <c r="G38" s="754"/>
      <c r="H38" s="754"/>
      <c r="I38" s="754"/>
      <c r="J38" s="811">
        <f t="shared" si="4"/>
        <v>0</v>
      </c>
    </row>
    <row r="39" spans="2:10" ht="16.2" thickBot="1">
      <c r="B39" s="756" t="s">
        <v>1294</v>
      </c>
      <c r="C39" s="758">
        <v>706230.55</v>
      </c>
      <c r="D39" s="757">
        <f>((+C19*0.1595)/12)</f>
        <v>454575</v>
      </c>
      <c r="E39" s="757">
        <f>((+D21*0.1795)/12)</f>
        <v>735950</v>
      </c>
      <c r="F39" s="757">
        <f>((+E21*0.1795)/12)</f>
        <v>1334283.3333333333</v>
      </c>
      <c r="G39" s="757">
        <f>((+F21*0.1795)/12)</f>
        <v>1361208.3333333333</v>
      </c>
      <c r="H39" s="757">
        <f>((+G21*0.1795)/12)</f>
        <v>1495833.3333333333</v>
      </c>
      <c r="I39" s="757">
        <f>((+I21*0.15)/12)</f>
        <v>0</v>
      </c>
      <c r="J39" s="816">
        <f>SUM(C39:I39)</f>
        <v>6088080.5499999998</v>
      </c>
    </row>
    <row r="40" spans="2:10" ht="16.2" thickBot="1">
      <c r="B40" s="759"/>
    </row>
    <row r="41" spans="2:10">
      <c r="B41" s="760" t="s">
        <v>1295</v>
      </c>
      <c r="C41" s="761">
        <v>140500</v>
      </c>
    </row>
    <row r="42" spans="2:10">
      <c r="B42" s="762" t="s">
        <v>1296</v>
      </c>
      <c r="C42" s="763">
        <f>+C41*80</f>
        <v>11240000</v>
      </c>
    </row>
    <row r="43" spans="2:10">
      <c r="B43" s="762" t="s">
        <v>1297</v>
      </c>
      <c r="C43" s="763">
        <f>+C42*0.07</f>
        <v>786800.00000000012</v>
      </c>
      <c r="D43" s="817"/>
    </row>
    <row r="44" spans="2:10">
      <c r="B44" s="762" t="s">
        <v>1298</v>
      </c>
      <c r="C44" s="763">
        <v>60</v>
      </c>
    </row>
    <row r="45" spans="2:10">
      <c r="B45" s="764" t="s">
        <v>1299</v>
      </c>
      <c r="C45" s="765">
        <f>+C43*C44</f>
        <v>47208000.000000007</v>
      </c>
    </row>
    <row r="46" spans="2:10" ht="15" thickBot="1">
      <c r="B46" s="766" t="s">
        <v>1300</v>
      </c>
      <c r="C46" s="767">
        <f>+C45/4</f>
        <v>11802000.000000002</v>
      </c>
    </row>
  </sheetData>
  <pageMargins left="0.7" right="0.7" top="0.75" bottom="0.75" header="0.3" footer="0.3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5DA66-86E6-4925-B6C7-6FBD1DD0D2AA}">
  <dimension ref="A1:G13"/>
  <sheetViews>
    <sheetView workbookViewId="0">
      <selection activeCell="D2" sqref="D2:D3"/>
    </sheetView>
  </sheetViews>
  <sheetFormatPr baseColWidth="10" defaultColWidth="11.44140625" defaultRowHeight="14.4"/>
  <cols>
    <col min="1" max="1" width="44.6640625" bestFit="1" customWidth="1"/>
    <col min="2" max="2" width="11" bestFit="1" customWidth="1"/>
    <col min="3" max="3" width="12.6640625" style="370" bestFit="1" customWidth="1"/>
    <col min="4" max="4" width="14.5546875" style="370" customWidth="1"/>
    <col min="5" max="5" width="32.5546875" customWidth="1"/>
    <col min="6" max="6" width="32.109375" bestFit="1" customWidth="1"/>
    <col min="7" max="7" width="33.6640625" bestFit="1" customWidth="1"/>
  </cols>
  <sheetData>
    <row r="1" spans="1:7">
      <c r="A1" t="s">
        <v>707</v>
      </c>
      <c r="B1" t="s">
        <v>708</v>
      </c>
      <c r="C1" s="370" t="s">
        <v>164</v>
      </c>
      <c r="D1" s="370" t="s">
        <v>709</v>
      </c>
      <c r="E1" t="s">
        <v>817</v>
      </c>
      <c r="F1" t="s">
        <v>710</v>
      </c>
      <c r="G1" t="s">
        <v>852</v>
      </c>
    </row>
    <row r="2" spans="1:7">
      <c r="A2" t="s">
        <v>735</v>
      </c>
      <c r="B2" s="193">
        <v>45469</v>
      </c>
      <c r="C2" s="370">
        <v>38250</v>
      </c>
      <c r="D2" s="370">
        <v>38250</v>
      </c>
      <c r="E2" t="s">
        <v>821</v>
      </c>
      <c r="F2" t="s">
        <v>853</v>
      </c>
      <c r="G2" t="s">
        <v>853</v>
      </c>
    </row>
    <row r="3" spans="1:7">
      <c r="A3" t="s">
        <v>737</v>
      </c>
      <c r="B3" s="193">
        <v>45429</v>
      </c>
      <c r="C3" s="370">
        <v>40000</v>
      </c>
      <c r="D3" s="370">
        <v>40000</v>
      </c>
      <c r="E3" t="s">
        <v>738</v>
      </c>
      <c r="F3" t="s">
        <v>853</v>
      </c>
      <c r="G3" t="s">
        <v>853</v>
      </c>
    </row>
    <row r="4" spans="1:7">
      <c r="A4" t="s">
        <v>369</v>
      </c>
      <c r="B4" s="193">
        <v>45266</v>
      </c>
      <c r="C4" s="370">
        <v>273000</v>
      </c>
      <c r="D4" s="370">
        <v>273000</v>
      </c>
      <c r="E4" t="s">
        <v>911</v>
      </c>
      <c r="F4" t="s">
        <v>853</v>
      </c>
      <c r="G4" t="s">
        <v>853</v>
      </c>
    </row>
    <row r="5" spans="1:7">
      <c r="A5" t="s">
        <v>400</v>
      </c>
      <c r="B5" s="193">
        <v>45747</v>
      </c>
      <c r="C5" s="370">
        <v>10000</v>
      </c>
      <c r="D5" s="370">
        <v>10000</v>
      </c>
      <c r="E5" t="s">
        <v>913</v>
      </c>
      <c r="F5" t="s">
        <v>859</v>
      </c>
      <c r="G5" t="s">
        <v>860</v>
      </c>
    </row>
    <row r="6" spans="1:7">
      <c r="A6" t="s">
        <v>715</v>
      </c>
      <c r="B6" s="193">
        <v>45771</v>
      </c>
      <c r="C6" s="370">
        <v>3200000</v>
      </c>
      <c r="D6" s="370">
        <f>3200000-2575040</f>
        <v>624960</v>
      </c>
      <c r="E6" t="s">
        <v>1023</v>
      </c>
      <c r="F6" t="s">
        <v>1024</v>
      </c>
      <c r="G6" t="s">
        <v>1025</v>
      </c>
    </row>
    <row r="7" spans="1:7">
      <c r="A7" t="s">
        <v>1111</v>
      </c>
      <c r="B7" s="193">
        <v>45785</v>
      </c>
      <c r="C7" s="370">
        <v>606726.64</v>
      </c>
      <c r="D7" s="370">
        <v>606726.64</v>
      </c>
      <c r="E7" t="s">
        <v>1188</v>
      </c>
      <c r="F7" t="s">
        <v>1024</v>
      </c>
      <c r="G7" t="s">
        <v>1025</v>
      </c>
    </row>
    <row r="8" spans="1:7">
      <c r="A8" t="s">
        <v>1084</v>
      </c>
      <c r="B8" s="193">
        <v>45805</v>
      </c>
      <c r="C8" s="370">
        <v>5000000</v>
      </c>
      <c r="D8" s="370">
        <v>5000000</v>
      </c>
      <c r="E8" t="s">
        <v>1189</v>
      </c>
      <c r="F8" t="s">
        <v>1024</v>
      </c>
      <c r="G8" t="s">
        <v>1025</v>
      </c>
    </row>
    <row r="9" spans="1:7">
      <c r="A9" t="s">
        <v>1084</v>
      </c>
      <c r="B9" s="193">
        <v>45826</v>
      </c>
      <c r="C9" s="370">
        <v>5000000</v>
      </c>
      <c r="D9" s="370">
        <v>5000000</v>
      </c>
      <c r="E9" t="s">
        <v>1189</v>
      </c>
      <c r="F9" t="s">
        <v>1024</v>
      </c>
      <c r="G9" t="s">
        <v>1025</v>
      </c>
    </row>
    <row r="10" spans="1:7">
      <c r="A10" t="s">
        <v>1337</v>
      </c>
      <c r="B10" s="193">
        <v>45856</v>
      </c>
      <c r="C10" s="370">
        <v>11203.7</v>
      </c>
      <c r="D10" s="370">
        <v>11203.7</v>
      </c>
      <c r="E10" t="s">
        <v>1452</v>
      </c>
      <c r="F10" t="s">
        <v>1024</v>
      </c>
      <c r="G10" t="s">
        <v>1025</v>
      </c>
    </row>
    <row r="11" spans="1:7">
      <c r="A11" t="s">
        <v>1453</v>
      </c>
      <c r="B11" s="193">
        <v>45809</v>
      </c>
      <c r="C11" s="370">
        <v>29859.9</v>
      </c>
      <c r="D11" s="370">
        <v>29859.9</v>
      </c>
      <c r="E11" t="s">
        <v>1454</v>
      </c>
      <c r="F11" t="s">
        <v>854</v>
      </c>
      <c r="G11" t="s">
        <v>858</v>
      </c>
    </row>
    <row r="12" spans="1:7">
      <c r="A12" t="s">
        <v>1455</v>
      </c>
      <c r="B12" s="193">
        <v>45869</v>
      </c>
      <c r="C12" s="1087">
        <v>45869</v>
      </c>
      <c r="D12" s="370">
        <v>20000</v>
      </c>
      <c r="E12" t="s">
        <v>1456</v>
      </c>
      <c r="F12" t="s">
        <v>854</v>
      </c>
      <c r="G12" t="s">
        <v>858</v>
      </c>
    </row>
    <row r="13" spans="1:7">
      <c r="D13" s="432">
        <f>SUM(D2:D12)</f>
        <v>11654000.24</v>
      </c>
    </row>
  </sheetData>
  <autoFilter ref="A1:G1" xr:uid="{8F833D8D-E3A2-49C0-BA28-FAE8897AAB0B}">
    <sortState xmlns:xlrd2="http://schemas.microsoft.com/office/spreadsheetml/2017/richdata2" ref="A2:G5">
      <sortCondition ref="G1"/>
    </sortState>
  </autoFilter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36111-D8AD-4A26-B997-7FA257C06120}">
  <dimension ref="A1:H18"/>
  <sheetViews>
    <sheetView workbookViewId="0">
      <selection activeCell="G13" sqref="G13"/>
    </sheetView>
  </sheetViews>
  <sheetFormatPr baseColWidth="10" defaultColWidth="11.44140625" defaultRowHeight="14.4"/>
  <cols>
    <col min="1" max="1" width="35.109375" bestFit="1" customWidth="1"/>
    <col min="2" max="2" width="20.33203125" style="370" customWidth="1"/>
    <col min="3" max="3" width="21.44140625" style="370" customWidth="1"/>
    <col min="4" max="4" width="18.33203125" style="370" customWidth="1"/>
    <col min="5" max="5" width="16.5546875" style="370" customWidth="1"/>
    <col min="6" max="7" width="16.6640625" style="549" customWidth="1"/>
    <col min="8" max="8" width="14" bestFit="1" customWidth="1"/>
    <col min="9" max="9" width="14.6640625" bestFit="1" customWidth="1"/>
  </cols>
  <sheetData>
    <row r="1" spans="1:8" s="546" customFormat="1" ht="43.2">
      <c r="A1" s="523" t="s">
        <v>458</v>
      </c>
      <c r="B1" s="548" t="s">
        <v>788</v>
      </c>
      <c r="C1" s="548" t="s">
        <v>848</v>
      </c>
      <c r="D1" s="548" t="s">
        <v>885</v>
      </c>
      <c r="E1" s="548" t="s">
        <v>850</v>
      </c>
      <c r="F1" s="548" t="s">
        <v>851</v>
      </c>
      <c r="G1" s="548" t="s">
        <v>1457</v>
      </c>
    </row>
    <row r="2" spans="1:8">
      <c r="A2" t="s">
        <v>65</v>
      </c>
      <c r="B2" s="370">
        <v>103385169</v>
      </c>
      <c r="C2" s="370">
        <v>0</v>
      </c>
      <c r="D2" s="370">
        <v>103385169</v>
      </c>
      <c r="E2" s="370">
        <v>94191221.829999998</v>
      </c>
      <c r="F2" s="549">
        <v>94191221.829999998</v>
      </c>
      <c r="H2" s="509"/>
    </row>
    <row r="3" spans="1:8">
      <c r="A3" t="s">
        <v>68</v>
      </c>
      <c r="B3" s="370">
        <v>20789999.999999996</v>
      </c>
      <c r="C3" s="370">
        <v>0</v>
      </c>
      <c r="D3" s="370">
        <v>20790000</v>
      </c>
      <c r="E3" s="583">
        <v>22405224.059999999</v>
      </c>
      <c r="F3" s="549">
        <v>21993535.170000002</v>
      </c>
      <c r="G3" s="549">
        <v>278099.52</v>
      </c>
      <c r="H3" s="509"/>
    </row>
    <row r="4" spans="1:8">
      <c r="A4" t="s">
        <v>78</v>
      </c>
      <c r="B4" s="370">
        <v>451758999.99999994</v>
      </c>
      <c r="C4" s="370">
        <v>0</v>
      </c>
      <c r="D4" s="370">
        <v>451758999.99999994</v>
      </c>
      <c r="E4" s="370">
        <v>40297170.299999997</v>
      </c>
      <c r="F4" s="549">
        <v>27833873.27</v>
      </c>
      <c r="G4" s="549">
        <v>14291211.33</v>
      </c>
      <c r="H4" s="509"/>
    </row>
    <row r="5" spans="1:8">
      <c r="A5" t="s">
        <v>90</v>
      </c>
      <c r="B5" s="370">
        <v>1265953920</v>
      </c>
      <c r="C5" s="370">
        <v>0</v>
      </c>
      <c r="D5" s="370">
        <v>1265953920</v>
      </c>
      <c r="F5" s="549">
        <v>0</v>
      </c>
      <c r="H5" s="509"/>
    </row>
    <row r="6" spans="1:8">
      <c r="A6" t="s">
        <v>105</v>
      </c>
      <c r="B6" s="370">
        <v>171771292</v>
      </c>
      <c r="C6" s="370">
        <v>18198088</v>
      </c>
      <c r="D6" s="370">
        <v>189969380</v>
      </c>
      <c r="E6" s="370">
        <v>16669162.52</v>
      </c>
      <c r="F6" s="549">
        <v>14198081.1</v>
      </c>
      <c r="H6" s="509"/>
    </row>
    <row r="7" spans="1:8">
      <c r="A7" t="s">
        <v>108</v>
      </c>
      <c r="B7" s="370">
        <v>34354258</v>
      </c>
      <c r="C7" s="370">
        <v>3639618</v>
      </c>
      <c r="D7" s="370">
        <v>37993876</v>
      </c>
      <c r="E7" s="370">
        <v>239809.34</v>
      </c>
      <c r="F7" s="549">
        <v>239809.34</v>
      </c>
      <c r="H7" s="509"/>
    </row>
    <row r="8" spans="1:8">
      <c r="A8" t="s">
        <v>816</v>
      </c>
      <c r="B8" s="370">
        <v>0</v>
      </c>
      <c r="C8" s="370">
        <v>37993876</v>
      </c>
      <c r="D8" s="370">
        <v>37993876</v>
      </c>
      <c r="F8" s="549">
        <v>0</v>
      </c>
      <c r="H8" s="509"/>
    </row>
    <row r="9" spans="1:8">
      <c r="A9" t="s">
        <v>1458</v>
      </c>
      <c r="B9" s="370">
        <v>0</v>
      </c>
      <c r="C9" s="370">
        <v>0</v>
      </c>
      <c r="D9" s="370">
        <v>0</v>
      </c>
      <c r="E9" s="370">
        <f>16325968.79*1.18</f>
        <v>19264643.172199998</v>
      </c>
      <c r="F9" s="549">
        <v>0</v>
      </c>
      <c r="H9" s="509"/>
    </row>
    <row r="10" spans="1:8">
      <c r="A10" t="s">
        <v>112</v>
      </c>
      <c r="B10" s="370">
        <v>137417034</v>
      </c>
      <c r="C10" s="370">
        <v>14558470</v>
      </c>
      <c r="D10" s="370">
        <v>151975504</v>
      </c>
      <c r="E10" s="370">
        <v>9011175.9700000007</v>
      </c>
      <c r="F10" s="370">
        <v>7241175.9699999997</v>
      </c>
      <c r="G10" s="370"/>
      <c r="H10" s="509"/>
    </row>
    <row r="11" spans="1:8">
      <c r="A11" t="s">
        <v>115</v>
      </c>
      <c r="B11" s="370">
        <v>281704919</v>
      </c>
      <c r="C11" s="370">
        <v>26425415</v>
      </c>
      <c r="D11" s="370">
        <v>308130334</v>
      </c>
      <c r="E11" s="370">
        <v>26696578.68</v>
      </c>
      <c r="F11" s="370">
        <f>20174359.82-6059720.14</f>
        <v>14114639.68</v>
      </c>
      <c r="G11" s="370"/>
      <c r="H11" s="509"/>
    </row>
    <row r="12" spans="1:8">
      <c r="A12" t="s">
        <v>119</v>
      </c>
      <c r="B12" s="370">
        <v>67334346</v>
      </c>
      <c r="C12" s="370">
        <v>8463436</v>
      </c>
      <c r="D12" s="370">
        <v>75797782</v>
      </c>
      <c r="E12" s="370">
        <v>1102758.3600000001</v>
      </c>
      <c r="F12" s="370">
        <v>1066524.1599999999</v>
      </c>
      <c r="G12" s="370"/>
      <c r="H12" s="509"/>
    </row>
    <row r="13" spans="1:8">
      <c r="A13" t="s">
        <v>122</v>
      </c>
      <c r="B13" s="370">
        <v>51531387.949999996</v>
      </c>
      <c r="C13" s="370">
        <v>5459426.0500000045</v>
      </c>
      <c r="D13" s="370">
        <v>56990814</v>
      </c>
      <c r="E13" s="567">
        <f>23794846.45-2000000</f>
        <v>21794846.449999999</v>
      </c>
      <c r="F13" s="567">
        <f>21769832.21-2000000</f>
        <v>19769832.210000001</v>
      </c>
      <c r="H13" s="509" t="s">
        <v>1459</v>
      </c>
    </row>
    <row r="14" spans="1:8">
      <c r="A14" t="s">
        <v>126</v>
      </c>
      <c r="B14" s="370">
        <v>19238385</v>
      </c>
      <c r="C14" s="370">
        <v>2418121</v>
      </c>
      <c r="D14" s="370">
        <v>21656506</v>
      </c>
      <c r="F14" s="549">
        <v>0</v>
      </c>
      <c r="H14" s="509"/>
    </row>
    <row r="15" spans="1:8">
      <c r="A15" t="s">
        <v>193</v>
      </c>
      <c r="B15" s="370">
        <v>15000000</v>
      </c>
      <c r="C15" s="370">
        <v>15500000</v>
      </c>
      <c r="D15" s="370">
        <v>30500000</v>
      </c>
      <c r="E15" s="567">
        <f>19340302.65+2000000</f>
        <v>21340302.649999999</v>
      </c>
      <c r="F15" s="567">
        <f>15060204.33+2000000</f>
        <v>17060204.329999998</v>
      </c>
      <c r="H15" s="509"/>
    </row>
    <row r="16" spans="1:8">
      <c r="A16" t="s">
        <v>133</v>
      </c>
      <c r="B16" s="370">
        <v>19238385</v>
      </c>
      <c r="C16" s="370">
        <v>2418124</v>
      </c>
      <c r="D16" s="370">
        <v>21656509</v>
      </c>
      <c r="F16" s="549">
        <v>0</v>
      </c>
      <c r="H16" s="509"/>
    </row>
    <row r="17" spans="1:8">
      <c r="A17" t="s">
        <v>136</v>
      </c>
      <c r="B17" s="370">
        <v>192383847</v>
      </c>
      <c r="C17" s="370">
        <v>24181246</v>
      </c>
      <c r="D17" s="370">
        <v>216565093</v>
      </c>
      <c r="E17" s="370">
        <v>1169797.55</v>
      </c>
      <c r="F17" s="549">
        <v>0</v>
      </c>
      <c r="H17" s="509"/>
    </row>
    <row r="18" spans="1:8">
      <c r="B18" s="432">
        <f t="shared" ref="B18:F18" si="0">SUM(B2:B17)</f>
        <v>2831861942.9499998</v>
      </c>
      <c r="C18" s="432">
        <f t="shared" si="0"/>
        <v>159255820.05000001</v>
      </c>
      <c r="D18" s="432">
        <f t="shared" si="0"/>
        <v>2991117763</v>
      </c>
      <c r="E18" s="432">
        <f>SUM(E2:E17)</f>
        <v>274182690.8822</v>
      </c>
      <c r="F18" s="550">
        <f t="shared" si="0"/>
        <v>217708897.06</v>
      </c>
      <c r="G18" s="550">
        <f>SUM(G2:G17)</f>
        <v>14569310.85</v>
      </c>
      <c r="H18" s="550"/>
    </row>
  </sheetData>
  <autoFilter ref="A1:G1" xr:uid="{CAC36111-D8AD-4A26-B997-7FA257C06120}"/>
  <pageMargins left="0.7" right="0.7" top="0.75" bottom="0.75" header="0.3" footer="0.3"/>
  <legacy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997A2-FC21-4113-A4F3-4D4D94D5AC45}">
  <dimension ref="A1:F69"/>
  <sheetViews>
    <sheetView showGridLines="0" topLeftCell="A29" zoomScaleNormal="100" workbookViewId="0">
      <selection activeCell="A55" sqref="A55:XFD55"/>
    </sheetView>
  </sheetViews>
  <sheetFormatPr baseColWidth="10" defaultColWidth="8" defaultRowHeight="11.4"/>
  <cols>
    <col min="1" max="1" width="53.33203125" style="408" customWidth="1"/>
    <col min="2" max="2" width="12.6640625" style="408" customWidth="1"/>
    <col min="3" max="3" width="11.44140625" style="408" customWidth="1"/>
    <col min="4" max="4" width="22.33203125" style="408" bestFit="1" customWidth="1"/>
    <col min="5" max="5" width="14.109375" style="408" customWidth="1"/>
    <col min="6" max="6" width="72.33203125" style="408" customWidth="1"/>
    <col min="7" max="16384" width="8" style="408"/>
  </cols>
  <sheetData>
    <row r="1" spans="1:6" s="405" customFormat="1" ht="16.649999999999999" customHeight="1">
      <c r="A1" s="404" t="s">
        <v>771</v>
      </c>
      <c r="B1" s="404"/>
      <c r="C1" s="404"/>
      <c r="D1" s="404"/>
      <c r="E1" s="404"/>
      <c r="F1" s="404"/>
    </row>
    <row r="2" spans="1:6" s="407" customFormat="1" ht="14.4" customHeight="1">
      <c r="A2" s="406" t="s">
        <v>236</v>
      </c>
      <c r="B2" s="406"/>
      <c r="C2" s="406"/>
      <c r="D2" s="406"/>
      <c r="E2" s="406"/>
      <c r="F2" s="406"/>
    </row>
    <row r="3" spans="1:6" s="407" customFormat="1" ht="14.4" customHeight="1">
      <c r="A3" s="406" t="s">
        <v>1302</v>
      </c>
      <c r="B3" s="406"/>
      <c r="C3" s="406"/>
      <c r="D3" s="406"/>
      <c r="E3" s="406"/>
      <c r="F3" s="406"/>
    </row>
    <row r="4" spans="1:6" s="407" customFormat="1" ht="14.4" customHeight="1">
      <c r="A4" s="406" t="s">
        <v>724</v>
      </c>
      <c r="B4" s="406"/>
      <c r="C4" s="406"/>
      <c r="D4" s="406"/>
      <c r="E4" s="406"/>
      <c r="F4" s="406"/>
    </row>
    <row r="5" spans="1:6" ht="13.35" customHeight="1"/>
    <row r="6" spans="1:6" s="412" customFormat="1" ht="12.15" customHeight="1">
      <c r="A6" s="410" t="s">
        <v>690</v>
      </c>
      <c r="B6" s="410" t="s">
        <v>689</v>
      </c>
      <c r="C6" s="410" t="s">
        <v>823</v>
      </c>
      <c r="D6" s="410" t="s">
        <v>773</v>
      </c>
      <c r="E6" s="411" t="s">
        <v>164</v>
      </c>
      <c r="F6" s="410" t="s">
        <v>862</v>
      </c>
    </row>
    <row r="7" spans="1:6" ht="10.95" customHeight="1">
      <c r="A7" s="421" t="s">
        <v>989</v>
      </c>
      <c r="B7" s="429">
        <v>45848</v>
      </c>
      <c r="C7" s="429">
        <v>45848</v>
      </c>
      <c r="D7" s="421" t="s">
        <v>1460</v>
      </c>
      <c r="E7" s="422">
        <v>60994.21</v>
      </c>
      <c r="F7" s="421" t="s">
        <v>1192</v>
      </c>
    </row>
    <row r="8" spans="1:6" ht="10.95" customHeight="1">
      <c r="A8" s="421" t="s">
        <v>1018</v>
      </c>
      <c r="B8" s="429">
        <v>45860</v>
      </c>
      <c r="C8" s="429">
        <v>45860</v>
      </c>
      <c r="D8" s="421" t="s">
        <v>1461</v>
      </c>
      <c r="E8" s="422">
        <v>60567.25</v>
      </c>
      <c r="F8" s="421" t="s">
        <v>1192</v>
      </c>
    </row>
    <row r="9" spans="1:6" ht="10.95" customHeight="1">
      <c r="A9" s="414" t="s">
        <v>1462</v>
      </c>
      <c r="B9" s="430">
        <v>45863</v>
      </c>
      <c r="C9" s="430">
        <v>45863</v>
      </c>
      <c r="D9" s="414" t="s">
        <v>1463</v>
      </c>
      <c r="E9" s="415">
        <v>60567.25</v>
      </c>
      <c r="F9" s="414" t="s">
        <v>1192</v>
      </c>
    </row>
    <row r="10" spans="1:6" ht="10.95" customHeight="1">
      <c r="A10" s="414" t="s">
        <v>1184</v>
      </c>
      <c r="B10" s="430">
        <v>45863</v>
      </c>
      <c r="C10" s="430">
        <v>45863</v>
      </c>
      <c r="D10" s="414" t="s">
        <v>1464</v>
      </c>
      <c r="E10" s="415">
        <v>60567.25</v>
      </c>
      <c r="F10" s="414" t="s">
        <v>1192</v>
      </c>
    </row>
    <row r="11" spans="1:6" ht="10.95" customHeight="1">
      <c r="A11" s="414" t="s">
        <v>998</v>
      </c>
      <c r="B11" s="430">
        <v>45867</v>
      </c>
      <c r="C11" s="430">
        <v>45867</v>
      </c>
      <c r="D11" s="414" t="s">
        <v>1465</v>
      </c>
      <c r="E11" s="415">
        <v>60994.21</v>
      </c>
      <c r="F11" s="414" t="s">
        <v>1192</v>
      </c>
    </row>
    <row r="12" spans="1:6" ht="10.95" customHeight="1">
      <c r="A12" s="414" t="s">
        <v>1021</v>
      </c>
      <c r="B12" s="430">
        <v>45867</v>
      </c>
      <c r="C12" s="430">
        <v>45867</v>
      </c>
      <c r="D12" s="414" t="s">
        <v>1466</v>
      </c>
      <c r="E12" s="415">
        <v>60994.21</v>
      </c>
      <c r="F12" s="414" t="s">
        <v>1192</v>
      </c>
    </row>
    <row r="13" spans="1:6" ht="10.95" customHeight="1">
      <c r="A13" s="416" t="s">
        <v>164</v>
      </c>
      <c r="B13" s="416"/>
      <c r="C13" s="416"/>
      <c r="D13" s="416"/>
      <c r="E13" s="417">
        <f>SUM(E7:E12)</f>
        <v>364684.38</v>
      </c>
      <c r="F13" s="416"/>
    </row>
    <row r="14" spans="1:6" ht="13.35" customHeight="1"/>
    <row r="15" spans="1:6" s="1046" customFormat="1" ht="10.95" customHeight="1">
      <c r="A15" s="416" t="s">
        <v>715</v>
      </c>
      <c r="B15" s="476">
        <v>45869</v>
      </c>
      <c r="C15" s="476">
        <v>45869</v>
      </c>
      <c r="D15" s="416" t="s">
        <v>1467</v>
      </c>
      <c r="E15" s="417">
        <v>2609022.3964000004</v>
      </c>
      <c r="F15" s="416"/>
    </row>
    <row r="17" spans="1:6" s="412" customFormat="1" ht="12.15" customHeight="1">
      <c r="A17" s="409" t="s">
        <v>1027</v>
      </c>
      <c r="B17" s="409"/>
      <c r="C17" s="409"/>
      <c r="D17" s="409"/>
      <c r="E17" s="409"/>
      <c r="F17" s="409"/>
    </row>
    <row r="18" spans="1:6" ht="10.95" customHeight="1">
      <c r="A18" s="421" t="s">
        <v>317</v>
      </c>
      <c r="B18" s="429">
        <v>45825</v>
      </c>
      <c r="C18" s="429">
        <v>45869</v>
      </c>
      <c r="D18" s="421" t="s">
        <v>1468</v>
      </c>
      <c r="E18" s="422">
        <v>405023.2</v>
      </c>
      <c r="F18" s="421" t="s">
        <v>1030</v>
      </c>
    </row>
    <row r="19" spans="1:6" ht="10.95" customHeight="1">
      <c r="A19" s="414" t="s">
        <v>317</v>
      </c>
      <c r="B19" s="430">
        <v>45845</v>
      </c>
      <c r="C19" s="430">
        <v>45856</v>
      </c>
      <c r="D19" s="414" t="s">
        <v>1469</v>
      </c>
      <c r="E19" s="415">
        <v>487071.07</v>
      </c>
      <c r="F19" s="414" t="s">
        <v>1030</v>
      </c>
    </row>
    <row r="20" spans="1:6" ht="10.95" customHeight="1">
      <c r="A20" s="421" t="s">
        <v>715</v>
      </c>
      <c r="B20" s="429">
        <v>45866</v>
      </c>
      <c r="C20" s="429">
        <v>45877</v>
      </c>
      <c r="D20" s="421" t="s">
        <v>1470</v>
      </c>
      <c r="E20" s="422">
        <f>2582671.14-2575040</f>
        <v>7631.1400000001304</v>
      </c>
      <c r="F20" s="421" t="s">
        <v>1030</v>
      </c>
    </row>
    <row r="21" spans="1:6" ht="10.95" customHeight="1">
      <c r="A21" s="421" t="s">
        <v>715</v>
      </c>
      <c r="B21" s="429">
        <v>45832</v>
      </c>
      <c r="C21" s="429">
        <v>45838</v>
      </c>
      <c r="D21" s="421" t="s">
        <v>1305</v>
      </c>
      <c r="E21" s="422">
        <v>401816.36</v>
      </c>
      <c r="F21" s="421" t="s">
        <v>1030</v>
      </c>
    </row>
    <row r="22" spans="1:6" ht="10.95" customHeight="1">
      <c r="A22" s="416" t="s">
        <v>1034</v>
      </c>
      <c r="B22" s="416"/>
      <c r="C22" s="416"/>
      <c r="D22" s="416"/>
      <c r="E22" s="417">
        <f>SUM(E18:E21)</f>
        <v>1301541.77</v>
      </c>
      <c r="F22" s="416"/>
    </row>
    <row r="23" spans="1:6" ht="13.35" customHeight="1"/>
    <row r="24" spans="1:6" s="412" customFormat="1" ht="12.15" customHeight="1">
      <c r="A24" s="409" t="s">
        <v>952</v>
      </c>
      <c r="B24" s="409"/>
      <c r="C24" s="409"/>
      <c r="D24" s="409"/>
      <c r="E24" s="409"/>
      <c r="F24" s="409"/>
    </row>
    <row r="25" spans="1:6" ht="10.95" customHeight="1">
      <c r="A25" s="421" t="s">
        <v>715</v>
      </c>
      <c r="B25" s="429">
        <v>45866</v>
      </c>
      <c r="C25" s="429">
        <v>45877</v>
      </c>
      <c r="D25" s="421" t="s">
        <v>1470</v>
      </c>
      <c r="E25" s="422">
        <v>304755.19</v>
      </c>
      <c r="F25" s="421" t="s">
        <v>1037</v>
      </c>
    </row>
    <row r="26" spans="1:6" ht="10.95" customHeight="1">
      <c r="A26" s="421" t="s">
        <v>715</v>
      </c>
      <c r="B26" s="429">
        <v>45832</v>
      </c>
      <c r="C26" s="429">
        <v>45838</v>
      </c>
      <c r="D26" s="421" t="s">
        <v>1305</v>
      </c>
      <c r="E26" s="422">
        <v>57857.34</v>
      </c>
      <c r="F26" s="421" t="s">
        <v>1037</v>
      </c>
    </row>
    <row r="27" spans="1:6" ht="10.95" customHeight="1">
      <c r="A27" s="416" t="s">
        <v>1471</v>
      </c>
      <c r="B27" s="416"/>
      <c r="C27" s="416"/>
      <c r="D27" s="416"/>
      <c r="E27" s="417">
        <f>SUM(E25:E26)</f>
        <v>362612.53</v>
      </c>
      <c r="F27" s="416"/>
    </row>
    <row r="28" spans="1:6" ht="13.35" customHeight="1"/>
    <row r="29" spans="1:6" s="412" customFormat="1" ht="12.15" customHeight="1">
      <c r="A29" s="409" t="s">
        <v>859</v>
      </c>
      <c r="B29" s="409"/>
      <c r="C29" s="409"/>
      <c r="D29" s="409"/>
      <c r="E29" s="409"/>
      <c r="F29" s="409"/>
    </row>
    <row r="30" spans="1:6" ht="10.95" customHeight="1">
      <c r="A30" s="421" t="s">
        <v>715</v>
      </c>
      <c r="B30" s="429">
        <v>45832</v>
      </c>
      <c r="C30" s="429">
        <v>45838</v>
      </c>
      <c r="D30" s="421" t="s">
        <v>1305</v>
      </c>
      <c r="E30" s="422">
        <v>88500</v>
      </c>
      <c r="F30" s="421" t="s">
        <v>860</v>
      </c>
    </row>
    <row r="31" spans="1:6" ht="10.95" customHeight="1">
      <c r="A31" s="416" t="s">
        <v>859</v>
      </c>
      <c r="B31" s="416"/>
      <c r="C31" s="416"/>
      <c r="D31" s="416"/>
      <c r="E31" s="417">
        <f>E30</f>
        <v>88500</v>
      </c>
      <c r="F31" s="416"/>
    </row>
    <row r="33" spans="1:6" s="412" customFormat="1" ht="12.15" customHeight="1">
      <c r="A33" s="409" t="s">
        <v>1306</v>
      </c>
      <c r="B33" s="409"/>
      <c r="C33" s="409"/>
      <c r="D33" s="409"/>
      <c r="E33" s="409"/>
      <c r="F33" s="409"/>
    </row>
    <row r="34" spans="1:6" ht="10.95" customHeight="1">
      <c r="A34" s="421" t="s">
        <v>1045</v>
      </c>
      <c r="B34" s="429">
        <v>45838</v>
      </c>
      <c r="C34" s="429">
        <v>45838</v>
      </c>
      <c r="D34" s="421" t="s">
        <v>1307</v>
      </c>
      <c r="E34" s="422">
        <v>92323.199999999997</v>
      </c>
      <c r="F34" s="421" t="s">
        <v>1308</v>
      </c>
    </row>
    <row r="35" spans="1:6" ht="10.95" customHeight="1">
      <c r="A35" s="414" t="s">
        <v>1045</v>
      </c>
      <c r="B35" s="430">
        <v>45869</v>
      </c>
      <c r="C35" s="430">
        <v>45900</v>
      </c>
      <c r="D35" s="414" t="s">
        <v>1472</v>
      </c>
      <c r="E35" s="415">
        <v>92700.800000000003</v>
      </c>
      <c r="F35" s="414" t="s">
        <v>1308</v>
      </c>
    </row>
    <row r="36" spans="1:6" ht="10.95" customHeight="1">
      <c r="A36" s="421" t="s">
        <v>715</v>
      </c>
      <c r="B36" s="429">
        <v>45832</v>
      </c>
      <c r="C36" s="429">
        <v>45838</v>
      </c>
      <c r="D36" s="421" t="s">
        <v>1309</v>
      </c>
      <c r="E36" s="422">
        <v>54785.34</v>
      </c>
      <c r="F36" s="421" t="s">
        <v>1473</v>
      </c>
    </row>
    <row r="37" spans="1:6" ht="10.95" customHeight="1">
      <c r="A37" s="416" t="s">
        <v>1311</v>
      </c>
      <c r="B37" s="416"/>
      <c r="C37" s="416"/>
      <c r="D37" s="416"/>
      <c r="E37" s="417">
        <f>SUM(E34:E36)</f>
        <v>239809.34</v>
      </c>
      <c r="F37" s="416"/>
    </row>
    <row r="38" spans="1:6" ht="13.35" customHeight="1"/>
    <row r="39" spans="1:6" s="412" customFormat="1" ht="12.15" customHeight="1">
      <c r="A39" s="409" t="s">
        <v>1312</v>
      </c>
      <c r="B39" s="409"/>
      <c r="C39" s="409"/>
      <c r="D39" s="409"/>
      <c r="E39" s="409"/>
      <c r="F39" s="409"/>
    </row>
    <row r="40" spans="1:6" ht="10.95" customHeight="1">
      <c r="A40" s="421" t="s">
        <v>389</v>
      </c>
      <c r="B40" s="429">
        <v>45814</v>
      </c>
      <c r="C40" s="429">
        <v>45814</v>
      </c>
      <c r="D40" s="421" t="s">
        <v>1313</v>
      </c>
      <c r="E40" s="422">
        <v>300000</v>
      </c>
      <c r="F40" s="421" t="s">
        <v>1314</v>
      </c>
    </row>
    <row r="41" spans="1:6" ht="10.95" customHeight="1">
      <c r="A41" s="414" t="s">
        <v>914</v>
      </c>
      <c r="B41" s="430">
        <v>45863</v>
      </c>
      <c r="C41" s="430">
        <v>45877</v>
      </c>
      <c r="D41" s="414" t="s">
        <v>1474</v>
      </c>
      <c r="E41" s="415">
        <v>586949.81000000006</v>
      </c>
      <c r="F41" s="414" t="s">
        <v>1475</v>
      </c>
    </row>
    <row r="42" spans="1:6" ht="10.95" customHeight="1">
      <c r="A42" s="416" t="s">
        <v>1315</v>
      </c>
      <c r="B42" s="416"/>
      <c r="C42" s="416"/>
      <c r="D42" s="416"/>
      <c r="E42" s="417">
        <f>SUM(E40:E41)</f>
        <v>886949.81</v>
      </c>
      <c r="F42" s="416"/>
    </row>
    <row r="43" spans="1:6" ht="13.35" customHeight="1"/>
    <row r="44" spans="1:6" s="412" customFormat="1" ht="12.15" customHeight="1">
      <c r="A44" s="409" t="s">
        <v>864</v>
      </c>
      <c r="B44" s="409"/>
      <c r="C44" s="409"/>
      <c r="D44" s="409"/>
      <c r="E44" s="409"/>
      <c r="F44" s="409"/>
    </row>
    <row r="45" spans="1:6" ht="10.95" customHeight="1">
      <c r="A45" s="421" t="s">
        <v>856</v>
      </c>
      <c r="B45" s="429">
        <v>45727</v>
      </c>
      <c r="C45" s="429">
        <v>45731</v>
      </c>
      <c r="D45" s="421" t="s">
        <v>1318</v>
      </c>
      <c r="E45" s="422">
        <v>826</v>
      </c>
      <c r="F45" s="421" t="s">
        <v>868</v>
      </c>
    </row>
    <row r="46" spans="1:6" ht="10.95" customHeight="1">
      <c r="A46" s="414" t="s">
        <v>1207</v>
      </c>
      <c r="B46" s="430">
        <v>45805</v>
      </c>
      <c r="C46" s="430">
        <v>45835</v>
      </c>
      <c r="D46" s="414" t="s">
        <v>1209</v>
      </c>
      <c r="E46" s="415">
        <v>44132</v>
      </c>
      <c r="F46" s="414" t="s">
        <v>868</v>
      </c>
    </row>
    <row r="47" spans="1:6" ht="10.95" customHeight="1">
      <c r="A47" s="414" t="s">
        <v>1043</v>
      </c>
      <c r="B47" s="430">
        <v>45807</v>
      </c>
      <c r="C47" s="430">
        <v>45823</v>
      </c>
      <c r="D47" s="414" t="s">
        <v>1212</v>
      </c>
      <c r="E47" s="415">
        <v>12836.98</v>
      </c>
      <c r="F47" s="414" t="s">
        <v>876</v>
      </c>
    </row>
    <row r="48" spans="1:6" ht="10.95" customHeight="1">
      <c r="A48" s="414" t="s">
        <v>935</v>
      </c>
      <c r="B48" s="430">
        <v>45821</v>
      </c>
      <c r="C48" s="430">
        <v>45838</v>
      </c>
      <c r="D48" s="414" t="s">
        <v>1322</v>
      </c>
      <c r="E48" s="415">
        <v>337480</v>
      </c>
      <c r="F48" s="414" t="s">
        <v>868</v>
      </c>
    </row>
    <row r="49" spans="1:6" ht="10.95" customHeight="1">
      <c r="A49" s="414" t="s">
        <v>1043</v>
      </c>
      <c r="B49" s="430">
        <v>45823</v>
      </c>
      <c r="C49" s="430">
        <v>45838</v>
      </c>
      <c r="D49" s="414" t="s">
        <v>1323</v>
      </c>
      <c r="E49" s="415">
        <v>14494.39</v>
      </c>
      <c r="F49" s="414" t="s">
        <v>876</v>
      </c>
    </row>
    <row r="50" spans="1:6" ht="10.95" customHeight="1">
      <c r="A50" s="414" t="s">
        <v>1043</v>
      </c>
      <c r="B50" s="430">
        <v>45824</v>
      </c>
      <c r="C50" s="430">
        <v>45854</v>
      </c>
      <c r="D50" s="414" t="s">
        <v>1324</v>
      </c>
      <c r="E50" s="415">
        <v>12867.27</v>
      </c>
      <c r="F50" s="414" t="s">
        <v>1041</v>
      </c>
    </row>
    <row r="51" spans="1:6" ht="10.95" customHeight="1">
      <c r="A51" s="414" t="s">
        <v>746</v>
      </c>
      <c r="B51" s="430">
        <v>45824</v>
      </c>
      <c r="C51" s="430">
        <v>45832</v>
      </c>
      <c r="D51" s="414" t="s">
        <v>1325</v>
      </c>
      <c r="E51" s="415">
        <v>972</v>
      </c>
      <c r="F51" s="414" t="s">
        <v>868</v>
      </c>
    </row>
    <row r="52" spans="1:6" ht="10.95" customHeight="1">
      <c r="A52" s="414" t="s">
        <v>1043</v>
      </c>
      <c r="B52" s="430">
        <v>45832</v>
      </c>
      <c r="C52" s="430">
        <v>45862</v>
      </c>
      <c r="D52" s="414" t="s">
        <v>1326</v>
      </c>
      <c r="E52" s="415">
        <v>14528.58</v>
      </c>
      <c r="F52" s="414" t="s">
        <v>1041</v>
      </c>
    </row>
    <row r="53" spans="1:6" ht="10.95" customHeight="1">
      <c r="A53" s="414" t="s">
        <v>1207</v>
      </c>
      <c r="B53" s="430">
        <v>45834</v>
      </c>
      <c r="C53" s="430">
        <v>45864</v>
      </c>
      <c r="D53" s="414" t="s">
        <v>1327</v>
      </c>
      <c r="E53" s="415">
        <v>44132</v>
      </c>
      <c r="F53" s="414" t="s">
        <v>868</v>
      </c>
    </row>
    <row r="54" spans="1:6" ht="10.95" customHeight="1">
      <c r="A54" s="414" t="s">
        <v>420</v>
      </c>
      <c r="B54" s="430">
        <v>45839</v>
      </c>
      <c r="C54" s="430">
        <v>45853</v>
      </c>
      <c r="D54" s="414" t="s">
        <v>1476</v>
      </c>
      <c r="E54" s="415">
        <v>176225.88</v>
      </c>
      <c r="F54" s="414" t="s">
        <v>892</v>
      </c>
    </row>
    <row r="55" spans="1:6" ht="10.95" customHeight="1">
      <c r="A55" s="414" t="s">
        <v>1254</v>
      </c>
      <c r="B55" s="430">
        <v>45841</v>
      </c>
      <c r="C55" s="430">
        <v>45849</v>
      </c>
      <c r="D55" s="414" t="s">
        <v>1477</v>
      </c>
      <c r="E55" s="415">
        <v>156303.5</v>
      </c>
      <c r="F55" s="414" t="s">
        <v>868</v>
      </c>
    </row>
    <row r="56" spans="1:6" ht="10.95" customHeight="1">
      <c r="A56" s="414" t="s">
        <v>1043</v>
      </c>
      <c r="B56" s="430">
        <v>45855</v>
      </c>
      <c r="C56" s="430">
        <v>45877</v>
      </c>
      <c r="D56" s="414" t="s">
        <v>1478</v>
      </c>
      <c r="E56" s="415">
        <v>14804.6</v>
      </c>
      <c r="F56" s="414" t="s">
        <v>876</v>
      </c>
    </row>
    <row r="57" spans="1:6" ht="10.95" customHeight="1">
      <c r="A57" s="414" t="s">
        <v>1367</v>
      </c>
      <c r="B57" s="430">
        <v>45856</v>
      </c>
      <c r="C57" s="430">
        <v>45856</v>
      </c>
      <c r="D57" s="414" t="s">
        <v>1479</v>
      </c>
      <c r="E57" s="415">
        <v>427632</v>
      </c>
      <c r="F57" s="414" t="s">
        <v>868</v>
      </c>
    </row>
    <row r="58" spans="1:6" ht="10.95" customHeight="1">
      <c r="A58" s="414" t="s">
        <v>1367</v>
      </c>
      <c r="B58" s="430">
        <v>45856</v>
      </c>
      <c r="C58" s="430">
        <v>45856</v>
      </c>
      <c r="D58" s="414" t="s">
        <v>1480</v>
      </c>
      <c r="E58" s="415">
        <v>707362.8</v>
      </c>
      <c r="F58" s="414" t="s">
        <v>868</v>
      </c>
    </row>
    <row r="59" spans="1:6" ht="10.95" customHeight="1">
      <c r="A59" s="414" t="s">
        <v>1367</v>
      </c>
      <c r="B59" s="430">
        <v>45859</v>
      </c>
      <c r="C59" s="430">
        <v>45859</v>
      </c>
      <c r="D59" s="414" t="s">
        <v>1481</v>
      </c>
      <c r="E59" s="415">
        <v>118000</v>
      </c>
      <c r="F59" s="414" t="s">
        <v>868</v>
      </c>
    </row>
    <row r="60" spans="1:6" ht="10.95" customHeight="1">
      <c r="A60" s="414" t="s">
        <v>1207</v>
      </c>
      <c r="B60" s="430">
        <v>45869</v>
      </c>
      <c r="C60" s="430">
        <v>45898</v>
      </c>
      <c r="D60" s="414" t="s">
        <v>1482</v>
      </c>
      <c r="E60" s="415">
        <v>44132</v>
      </c>
      <c r="F60" s="414" t="s">
        <v>868</v>
      </c>
    </row>
    <row r="61" spans="1:6" ht="10.95" customHeight="1">
      <c r="A61" s="421" t="s">
        <v>715</v>
      </c>
      <c r="B61" s="429">
        <v>45832</v>
      </c>
      <c r="C61" s="429">
        <v>45838</v>
      </c>
      <c r="D61" s="421" t="s">
        <v>1309</v>
      </c>
      <c r="E61" s="422">
        <v>258175.66</v>
      </c>
      <c r="F61" s="421" t="s">
        <v>1041</v>
      </c>
    </row>
    <row r="62" spans="1:6" ht="10.95" customHeight="1">
      <c r="A62" s="416" t="s">
        <v>895</v>
      </c>
      <c r="B62" s="416"/>
      <c r="C62" s="416"/>
      <c r="D62" s="416"/>
      <c r="E62" s="417">
        <f>SUM(E45:E61)</f>
        <v>2384905.66</v>
      </c>
      <c r="F62" s="416"/>
    </row>
    <row r="65" spans="1:5" ht="10.95" customHeight="1">
      <c r="A65" s="419" t="s">
        <v>164</v>
      </c>
      <c r="B65" s="419"/>
      <c r="C65" s="419"/>
      <c r="D65" s="419"/>
      <c r="E65" s="420">
        <f>SUM(E13,E15,E22,E27,E31,E37,E42,E62)</f>
        <v>8238025.8864000011</v>
      </c>
    </row>
    <row r="66" spans="1:5" ht="13.35" customHeight="1">
      <c r="E66" s="400">
        <v>8238025.8899999997</v>
      </c>
    </row>
    <row r="67" spans="1:5">
      <c r="E67" s="400">
        <f>+E65-E66</f>
        <v>-3.5999985411763191E-3</v>
      </c>
    </row>
    <row r="68" spans="1:5">
      <c r="E68" s="400">
        <f>+E13</f>
        <v>364684.38</v>
      </c>
    </row>
    <row r="69" spans="1:5">
      <c r="E69" s="400">
        <f>+E65-E13</f>
        <v>7873341.5064000012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FFA4A-C55E-4F11-BE55-088C38AADCE3}">
  <dimension ref="A1:F48"/>
  <sheetViews>
    <sheetView showGridLines="0" topLeftCell="A18" zoomScaleNormal="100" workbookViewId="0">
      <selection activeCell="F32" sqref="F32"/>
    </sheetView>
  </sheetViews>
  <sheetFormatPr baseColWidth="10" defaultColWidth="8" defaultRowHeight="11.4"/>
  <cols>
    <col min="1" max="1" width="17" style="1069" customWidth="1"/>
    <col min="2" max="2" width="49.5546875" style="1069" customWidth="1"/>
    <col min="3" max="3" width="21.33203125" style="1069" bestFit="1" customWidth="1"/>
    <col min="4" max="4" width="9.109375" style="1069" bestFit="1" customWidth="1"/>
    <col min="5" max="5" width="12.33203125" style="1069" bestFit="1" customWidth="1"/>
    <col min="6" max="6" width="49.33203125" style="1069" customWidth="1"/>
    <col min="7" max="16384" width="8" style="1069"/>
  </cols>
  <sheetData>
    <row r="1" spans="1:6" s="1077" customFormat="1" ht="16.649999999999999" customHeight="1">
      <c r="A1" s="1950" t="s">
        <v>1483</v>
      </c>
      <c r="B1" s="1950"/>
      <c r="C1" s="1950"/>
      <c r="D1" s="1950"/>
      <c r="E1" s="1950"/>
      <c r="F1" s="1950"/>
    </row>
    <row r="2" spans="1:6" s="1076" customFormat="1" ht="14.4" customHeight="1">
      <c r="A2" s="1951" t="s">
        <v>236</v>
      </c>
      <c r="B2" s="1951"/>
      <c r="C2" s="1951"/>
      <c r="D2" s="1951"/>
      <c r="E2" s="1951"/>
      <c r="F2" s="1951"/>
    </row>
    <row r="3" spans="1:6" s="1076" customFormat="1" ht="14.4" customHeight="1">
      <c r="A3" s="1951" t="s">
        <v>1484</v>
      </c>
      <c r="B3" s="1951"/>
      <c r="C3" s="1951"/>
      <c r="D3" s="1951"/>
      <c r="E3" s="1951"/>
      <c r="F3" s="1951"/>
    </row>
    <row r="4" spans="1:6" ht="13.35" customHeight="1"/>
    <row r="5" spans="1:6" s="1073" customFormat="1" ht="12.15" customHeight="1">
      <c r="A5" s="1952" t="s">
        <v>1485</v>
      </c>
      <c r="B5" s="1952" t="s">
        <v>817</v>
      </c>
      <c r="C5" s="1952" t="s">
        <v>691</v>
      </c>
      <c r="D5" s="1952" t="s">
        <v>1486</v>
      </c>
      <c r="E5" s="1953" t="s">
        <v>666</v>
      </c>
      <c r="F5" s="1952" t="s">
        <v>862</v>
      </c>
    </row>
    <row r="6" spans="1:6" s="1073" customFormat="1" ht="12.15" customHeight="1">
      <c r="A6" s="1954" t="s">
        <v>1487</v>
      </c>
      <c r="B6" s="1954"/>
      <c r="C6" s="1954"/>
      <c r="D6" s="1954"/>
      <c r="E6" s="1954"/>
      <c r="F6" s="1954"/>
    </row>
    <row r="7" spans="1:6" ht="10.95" customHeight="1">
      <c r="A7" s="1075">
        <v>45799</v>
      </c>
      <c r="B7" s="1074" t="s">
        <v>1488</v>
      </c>
      <c r="C7" s="1074" t="s">
        <v>1197</v>
      </c>
      <c r="D7" s="1074" t="s">
        <v>30</v>
      </c>
      <c r="E7" s="1127">
        <v>18016</v>
      </c>
      <c r="F7" s="1074" t="s">
        <v>1388</v>
      </c>
    </row>
    <row r="8" spans="1:6" ht="10.95" customHeight="1">
      <c r="A8" s="1955" t="s">
        <v>1489</v>
      </c>
      <c r="B8" s="1955"/>
      <c r="C8" s="1955"/>
      <c r="D8" s="1955"/>
      <c r="E8" s="1956">
        <f>E7</f>
        <v>18016</v>
      </c>
      <c r="F8" s="1955"/>
    </row>
    <row r="9" spans="1:6" ht="13.35" customHeight="1"/>
    <row r="10" spans="1:6" s="1073" customFormat="1" ht="12.15" customHeight="1">
      <c r="A10" s="1954" t="s">
        <v>1490</v>
      </c>
      <c r="B10" s="1954"/>
      <c r="C10" s="1954"/>
      <c r="D10" s="1954"/>
      <c r="E10" s="1954"/>
      <c r="F10" s="1954"/>
    </row>
    <row r="11" spans="1:6" ht="10.95" customHeight="1">
      <c r="A11" s="1072">
        <v>45429</v>
      </c>
      <c r="B11" s="1070" t="s">
        <v>1491</v>
      </c>
      <c r="C11" s="1070" t="s">
        <v>738</v>
      </c>
      <c r="D11" s="1070" t="s">
        <v>30</v>
      </c>
      <c r="E11" s="1071">
        <v>40000</v>
      </c>
      <c r="F11" s="1070" t="s">
        <v>1389</v>
      </c>
    </row>
    <row r="12" spans="1:6" ht="10.95" customHeight="1">
      <c r="A12" s="1072">
        <v>45469</v>
      </c>
      <c r="B12" s="1070" t="s">
        <v>1492</v>
      </c>
      <c r="C12" s="1070" t="s">
        <v>821</v>
      </c>
      <c r="D12" s="1070" t="s">
        <v>30</v>
      </c>
      <c r="E12" s="1071">
        <v>38250</v>
      </c>
      <c r="F12" s="1070" t="s">
        <v>1389</v>
      </c>
    </row>
    <row r="13" spans="1:6" ht="10.95" customHeight="1">
      <c r="A13" s="1072">
        <v>45778</v>
      </c>
      <c r="B13" s="1070" t="s">
        <v>1493</v>
      </c>
      <c r="C13" s="1070" t="s">
        <v>1494</v>
      </c>
      <c r="D13" s="1070" t="s">
        <v>30</v>
      </c>
      <c r="E13" s="1071">
        <v>53100</v>
      </c>
      <c r="F13" s="1070" t="s">
        <v>1389</v>
      </c>
    </row>
    <row r="14" spans="1:6" ht="10.95" customHeight="1">
      <c r="A14" s="1072">
        <v>45791</v>
      </c>
      <c r="B14" s="1070" t="s">
        <v>1493</v>
      </c>
      <c r="C14" s="1070" t="s">
        <v>1201</v>
      </c>
      <c r="D14" s="1070" t="s">
        <v>30</v>
      </c>
      <c r="E14" s="1071">
        <v>25335</v>
      </c>
      <c r="F14" s="1070" t="s">
        <v>1389</v>
      </c>
    </row>
    <row r="15" spans="1:6" ht="10.95" customHeight="1">
      <c r="A15" s="1072">
        <v>45799</v>
      </c>
      <c r="B15" s="1070" t="s">
        <v>1493</v>
      </c>
      <c r="C15" s="1070" t="s">
        <v>1201</v>
      </c>
      <c r="D15" s="1070" t="s">
        <v>30</v>
      </c>
      <c r="E15" s="1071">
        <v>25335</v>
      </c>
      <c r="F15" s="1070" t="s">
        <v>1389</v>
      </c>
    </row>
    <row r="16" spans="1:6" ht="10.95" customHeight="1">
      <c r="A16" s="1955" t="s">
        <v>1495</v>
      </c>
      <c r="B16" s="1955"/>
      <c r="C16" s="1955"/>
      <c r="D16" s="1955"/>
      <c r="E16" s="1956">
        <f>SUM(E11:E15)</f>
        <v>182020</v>
      </c>
      <c r="F16" s="1955"/>
    </row>
    <row r="18" spans="1:6" s="1073" customFormat="1" ht="12.15" customHeight="1">
      <c r="A18" s="1954" t="s">
        <v>1024</v>
      </c>
      <c r="B18" s="1954"/>
      <c r="C18" s="1954"/>
      <c r="D18" s="1954"/>
      <c r="E18" s="1954"/>
      <c r="F18" s="1954"/>
    </row>
    <row r="19" spans="1:6" ht="10.95" customHeight="1">
      <c r="A19" s="1072">
        <v>45812</v>
      </c>
      <c r="B19" s="1070" t="s">
        <v>1496</v>
      </c>
      <c r="C19" s="1070" t="s">
        <v>1203</v>
      </c>
      <c r="D19" s="1070" t="s">
        <v>30</v>
      </c>
      <c r="E19" s="1071">
        <v>50122.86</v>
      </c>
      <c r="F19" s="1070" t="s">
        <v>1025</v>
      </c>
    </row>
    <row r="20" spans="1:6" ht="10.95" customHeight="1">
      <c r="A20" s="1072">
        <v>45856</v>
      </c>
      <c r="B20" s="1070" t="s">
        <v>1497</v>
      </c>
      <c r="C20" s="1070" t="s">
        <v>1498</v>
      </c>
      <c r="D20" s="1070" t="s">
        <v>30</v>
      </c>
      <c r="E20" s="1071">
        <v>11203.7</v>
      </c>
      <c r="F20" s="1070" t="s">
        <v>1025</v>
      </c>
    </row>
    <row r="21" spans="1:6" ht="10.95" customHeight="1">
      <c r="A21" s="1955" t="s">
        <v>1499</v>
      </c>
      <c r="B21" s="1955"/>
      <c r="C21" s="1955"/>
      <c r="D21" s="1955"/>
      <c r="E21" s="1956">
        <f>SUM(E19:E20)</f>
        <v>61326.559999999998</v>
      </c>
      <c r="F21" s="1955"/>
    </row>
    <row r="22" spans="1:6" ht="13.35" customHeight="1"/>
    <row r="23" spans="1:6" s="1073" customFormat="1" ht="12.15" customHeight="1">
      <c r="A23" s="1954" t="s">
        <v>854</v>
      </c>
      <c r="B23" s="1954"/>
      <c r="C23" s="1954"/>
      <c r="D23" s="1954"/>
      <c r="E23" s="1954"/>
      <c r="F23" s="1954"/>
    </row>
    <row r="24" spans="1:6" ht="10.95" customHeight="1">
      <c r="A24" s="1075">
        <v>45653</v>
      </c>
      <c r="B24" s="1074" t="s">
        <v>1500</v>
      </c>
      <c r="C24" s="1074" t="s">
        <v>1317</v>
      </c>
      <c r="D24" s="1074" t="s">
        <v>30</v>
      </c>
      <c r="E24" s="1127">
        <v>16250</v>
      </c>
      <c r="F24" s="1074" t="s">
        <v>858</v>
      </c>
    </row>
    <row r="25" spans="1:6" ht="10.95" customHeight="1">
      <c r="A25" s="1072">
        <v>45785</v>
      </c>
      <c r="B25" s="1070" t="s">
        <v>1501</v>
      </c>
      <c r="C25" s="1070" t="s">
        <v>1206</v>
      </c>
      <c r="D25" s="1070" t="s">
        <v>30</v>
      </c>
      <c r="E25" s="1071">
        <v>47329.17</v>
      </c>
      <c r="F25" s="1070" t="s">
        <v>858</v>
      </c>
    </row>
    <row r="26" spans="1:6" ht="10.95" customHeight="1">
      <c r="A26" s="1072">
        <v>45800</v>
      </c>
      <c r="B26" s="1070" t="s">
        <v>1501</v>
      </c>
      <c r="C26" s="1070" t="s">
        <v>1206</v>
      </c>
      <c r="D26" s="1070" t="s">
        <v>30</v>
      </c>
      <c r="E26" s="1071">
        <v>31552.79</v>
      </c>
      <c r="F26" s="1070" t="s">
        <v>858</v>
      </c>
    </row>
    <row r="27" spans="1:6" ht="10.95" customHeight="1">
      <c r="A27" s="1072">
        <v>45809</v>
      </c>
      <c r="B27" s="1070" t="s">
        <v>1502</v>
      </c>
      <c r="C27" s="1070" t="s">
        <v>1503</v>
      </c>
      <c r="D27" s="1070" t="s">
        <v>30</v>
      </c>
      <c r="E27" s="1071">
        <v>29859.9</v>
      </c>
      <c r="F27" s="1070" t="s">
        <v>858</v>
      </c>
    </row>
    <row r="28" spans="1:6" ht="10.95" customHeight="1">
      <c r="A28" s="1072">
        <v>45812</v>
      </c>
      <c r="B28" s="1070" t="s">
        <v>1501</v>
      </c>
      <c r="C28" s="1070" t="s">
        <v>1504</v>
      </c>
      <c r="D28" s="1070" t="s">
        <v>30</v>
      </c>
      <c r="E28" s="1071">
        <v>48000</v>
      </c>
      <c r="F28" s="1070" t="s">
        <v>858</v>
      </c>
    </row>
    <row r="29" spans="1:6" ht="10.95" customHeight="1">
      <c r="A29" s="1072">
        <v>45812</v>
      </c>
      <c r="B29" s="1070" t="s">
        <v>1505</v>
      </c>
      <c r="C29" s="1070" t="s">
        <v>1211</v>
      </c>
      <c r="D29" s="1070" t="s">
        <v>30</v>
      </c>
      <c r="E29" s="1071">
        <v>12761.28</v>
      </c>
      <c r="F29" s="1070" t="s">
        <v>942</v>
      </c>
    </row>
    <row r="30" spans="1:6" ht="10.95" customHeight="1">
      <c r="A30" s="1072">
        <v>45812</v>
      </c>
      <c r="B30" s="1070" t="s">
        <v>1506</v>
      </c>
      <c r="C30" s="1070" t="s">
        <v>1205</v>
      </c>
      <c r="D30" s="1070" t="s">
        <v>30</v>
      </c>
      <c r="E30" s="1071">
        <v>21240</v>
      </c>
      <c r="F30" s="1070" t="s">
        <v>858</v>
      </c>
    </row>
    <row r="31" spans="1:6" ht="10.95" customHeight="1">
      <c r="A31" s="1072">
        <v>45821</v>
      </c>
      <c r="B31" s="1070" t="s">
        <v>1501</v>
      </c>
      <c r="C31" s="1070" t="s">
        <v>1328</v>
      </c>
      <c r="D31" s="1070" t="s">
        <v>30</v>
      </c>
      <c r="E31" s="1071">
        <v>93546.76</v>
      </c>
      <c r="F31" s="1070" t="s">
        <v>858</v>
      </c>
    </row>
    <row r="32" spans="1:6" ht="10.95" customHeight="1">
      <c r="A32" s="1072">
        <v>45826</v>
      </c>
      <c r="B32" s="1070" t="s">
        <v>1507</v>
      </c>
      <c r="C32" s="1070" t="s">
        <v>1319</v>
      </c>
      <c r="D32" s="1070" t="s">
        <v>30</v>
      </c>
      <c r="E32" s="1071">
        <v>135978.59</v>
      </c>
      <c r="F32" s="1070" t="s">
        <v>855</v>
      </c>
    </row>
    <row r="33" spans="1:6" ht="10.95" customHeight="1">
      <c r="A33" s="1072">
        <v>45834</v>
      </c>
      <c r="B33" s="1070" t="s">
        <v>1501</v>
      </c>
      <c r="C33" s="1070" t="s">
        <v>1328</v>
      </c>
      <c r="D33" s="1070" t="s">
        <v>30</v>
      </c>
      <c r="E33" s="1071">
        <v>62363.360000000001</v>
      </c>
      <c r="F33" s="1070" t="s">
        <v>858</v>
      </c>
    </row>
    <row r="34" spans="1:6" ht="10.95" customHeight="1">
      <c r="A34" s="1072">
        <v>45846</v>
      </c>
      <c r="B34" s="1070" t="s">
        <v>1501</v>
      </c>
      <c r="C34" s="1070" t="s">
        <v>1504</v>
      </c>
      <c r="D34" s="1070" t="s">
        <v>30</v>
      </c>
      <c r="E34" s="1071">
        <v>32000</v>
      </c>
      <c r="F34" s="1070" t="s">
        <v>858</v>
      </c>
    </row>
    <row r="35" spans="1:6" ht="10.95" customHeight="1">
      <c r="A35" s="1072">
        <v>45853</v>
      </c>
      <c r="B35" s="1070" t="s">
        <v>1508</v>
      </c>
      <c r="C35" s="1070" t="s">
        <v>1509</v>
      </c>
      <c r="D35" s="1070" t="s">
        <v>30</v>
      </c>
      <c r="E35" s="1113"/>
      <c r="F35" s="1070" t="s">
        <v>858</v>
      </c>
    </row>
    <row r="36" spans="1:6" ht="10.95" customHeight="1">
      <c r="A36" s="1072">
        <v>45853</v>
      </c>
      <c r="B36" s="1088" t="s">
        <v>1510</v>
      </c>
      <c r="C36" s="1070" t="s">
        <v>1511</v>
      </c>
      <c r="D36" s="1070" t="s">
        <v>30</v>
      </c>
      <c r="E36" s="1113"/>
      <c r="F36" s="1070" t="s">
        <v>858</v>
      </c>
    </row>
    <row r="37" spans="1:6" ht="10.95" customHeight="1">
      <c r="A37" s="1072">
        <v>45860</v>
      </c>
      <c r="B37" s="1070" t="s">
        <v>1507</v>
      </c>
      <c r="C37" s="1088" t="s">
        <v>1512</v>
      </c>
      <c r="D37" s="1070" t="s">
        <v>30</v>
      </c>
      <c r="E37" s="1071">
        <v>171165.39</v>
      </c>
      <c r="F37" s="1070" t="s">
        <v>855</v>
      </c>
    </row>
    <row r="38" spans="1:6" ht="10.95" customHeight="1">
      <c r="A38" s="1072">
        <v>45869</v>
      </c>
      <c r="B38" s="1088" t="s">
        <v>1513</v>
      </c>
      <c r="C38" s="1088" t="s">
        <v>1514</v>
      </c>
      <c r="D38" s="1070" t="s">
        <v>30</v>
      </c>
      <c r="E38" s="1071">
        <v>20000</v>
      </c>
      <c r="F38" s="1070" t="s">
        <v>858</v>
      </c>
    </row>
    <row r="39" spans="1:6" ht="10.95" customHeight="1">
      <c r="A39" s="1955" t="s">
        <v>1515</v>
      </c>
      <c r="B39" s="1955"/>
      <c r="C39" s="1955"/>
      <c r="D39" s="1955"/>
      <c r="E39" s="1956">
        <f>SUM(E24:E38)</f>
        <v>722047.24</v>
      </c>
      <c r="F39" s="1955"/>
    </row>
    <row r="40" spans="1:6" ht="13.35" customHeight="1"/>
    <row r="41" spans="1:6" s="1073" customFormat="1" ht="12.15" customHeight="1">
      <c r="A41" s="1954" t="s">
        <v>859</v>
      </c>
      <c r="B41" s="1954"/>
      <c r="C41" s="1954"/>
      <c r="D41" s="1954"/>
      <c r="E41" s="1954"/>
      <c r="F41" s="1954"/>
    </row>
    <row r="42" spans="1:6" ht="10.95" customHeight="1">
      <c r="A42" s="1072">
        <v>45747</v>
      </c>
      <c r="B42" s="1070" t="s">
        <v>1516</v>
      </c>
      <c r="C42" s="1070" t="s">
        <v>1517</v>
      </c>
      <c r="D42" s="1070" t="s">
        <v>30</v>
      </c>
      <c r="E42" s="1071">
        <v>5000</v>
      </c>
      <c r="F42" s="1070" t="s">
        <v>860</v>
      </c>
    </row>
    <row r="43" spans="1:6" ht="10.95" customHeight="1">
      <c r="A43" s="1072">
        <v>45747</v>
      </c>
      <c r="B43" s="1070" t="s">
        <v>1516</v>
      </c>
      <c r="C43" s="1070" t="s">
        <v>1518</v>
      </c>
      <c r="D43" s="1070" t="s">
        <v>30</v>
      </c>
      <c r="E43" s="1071">
        <v>5000</v>
      </c>
      <c r="F43" s="1070" t="s">
        <v>860</v>
      </c>
    </row>
    <row r="44" spans="1:6" ht="10.95" customHeight="1">
      <c r="A44" s="1072">
        <v>45783</v>
      </c>
      <c r="B44" s="1070" t="s">
        <v>1519</v>
      </c>
      <c r="C44" s="1070" t="s">
        <v>1329</v>
      </c>
      <c r="D44" s="1070" t="s">
        <v>30</v>
      </c>
      <c r="E44" s="1071">
        <v>77442</v>
      </c>
      <c r="F44" s="1070" t="s">
        <v>860</v>
      </c>
    </row>
    <row r="45" spans="1:6" ht="10.95" customHeight="1">
      <c r="A45" s="1072">
        <v>45826</v>
      </c>
      <c r="B45" s="1070" t="s">
        <v>1520</v>
      </c>
      <c r="C45" s="1070" t="s">
        <v>1330</v>
      </c>
      <c r="D45" s="1070" t="s">
        <v>30</v>
      </c>
      <c r="E45" s="1071">
        <v>352775.8</v>
      </c>
      <c r="F45" s="1070" t="s">
        <v>860</v>
      </c>
    </row>
    <row r="46" spans="1:6" ht="10.95" customHeight="1">
      <c r="A46" s="1955" t="s">
        <v>1521</v>
      </c>
      <c r="B46" s="1955"/>
      <c r="C46" s="1955"/>
      <c r="D46" s="1955"/>
      <c r="E46" s="1956">
        <f>SUM(E42:E45)</f>
        <v>440217.8</v>
      </c>
      <c r="F46" s="1955"/>
    </row>
    <row r="47" spans="1:6" ht="13.35" customHeight="1"/>
    <row r="48" spans="1:6" ht="10.95" customHeight="1">
      <c r="A48" s="1957" t="s">
        <v>164</v>
      </c>
      <c r="B48" s="1957"/>
      <c r="C48" s="1957"/>
      <c r="D48" s="1957"/>
      <c r="E48" s="1958">
        <f>+E8+E16+E21+E39+E46</f>
        <v>1423627.6</v>
      </c>
      <c r="F48" s="1957"/>
    </row>
  </sheetData>
  <phoneticPr fontId="3" type="noConversion"/>
  <pageMargins left="0.7" right="0.7" top="0.75" bottom="0.75" header="0.3" footer="0.3"/>
  <pageSetup paperSize="9" fitToWidth="0" fitToHeight="0"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ED9E8-6D7E-4303-ADBF-5393AB2536E6}">
  <dimension ref="A1:C54"/>
  <sheetViews>
    <sheetView showGridLines="0" topLeftCell="A39" zoomScaleNormal="100" workbookViewId="0">
      <selection activeCell="A55" sqref="A55"/>
    </sheetView>
  </sheetViews>
  <sheetFormatPr baseColWidth="10" defaultColWidth="8" defaultRowHeight="11.4"/>
  <cols>
    <col min="1" max="1" width="74.109375" style="408" bestFit="1" customWidth="1"/>
    <col min="2" max="2" width="12.6640625" style="408" customWidth="1"/>
    <col min="3" max="3" width="13.6640625" style="408" customWidth="1"/>
    <col min="4" max="16384" width="8" style="408"/>
  </cols>
  <sheetData>
    <row r="1" spans="1:3" s="405" customFormat="1" ht="16.649999999999999" customHeight="1">
      <c r="A1" s="404" t="s">
        <v>1522</v>
      </c>
      <c r="B1" s="404"/>
      <c r="C1" s="404"/>
    </row>
    <row r="2" spans="1:3" s="407" customFormat="1" ht="14.4" customHeight="1">
      <c r="A2" s="406" t="s">
        <v>236</v>
      </c>
      <c r="B2" s="406"/>
      <c r="C2" s="406"/>
    </row>
    <row r="3" spans="1:3" s="407" customFormat="1" ht="14.4" customHeight="1">
      <c r="A3" s="406" t="s">
        <v>1523</v>
      </c>
      <c r="B3" s="406"/>
      <c r="C3" s="406"/>
    </row>
    <row r="4" spans="1:3" ht="13.35" customHeight="1"/>
    <row r="5" spans="1:3" s="412" customFormat="1" ht="12.15" customHeight="1">
      <c r="A5" s="410" t="s">
        <v>1485</v>
      </c>
      <c r="B5" s="411" t="s">
        <v>665</v>
      </c>
      <c r="C5" s="411" t="s">
        <v>666</v>
      </c>
    </row>
    <row r="6" spans="1:3" ht="10.95" customHeight="1">
      <c r="A6" s="421" t="s">
        <v>637</v>
      </c>
      <c r="B6" s="422">
        <v>0</v>
      </c>
      <c r="C6" s="422">
        <v>37.76</v>
      </c>
    </row>
    <row r="7" spans="1:3" ht="10.95" customHeight="1">
      <c r="A7" s="414" t="s">
        <v>660</v>
      </c>
      <c r="B7" s="415">
        <v>0</v>
      </c>
      <c r="C7" s="415">
        <v>11418.63</v>
      </c>
    </row>
    <row r="8" spans="1:3" ht="10.95" customHeight="1">
      <c r="A8" s="414" t="s">
        <v>720</v>
      </c>
      <c r="B8" s="415">
        <v>0</v>
      </c>
      <c r="C8" s="415">
        <v>44088.32</v>
      </c>
    </row>
    <row r="9" spans="1:3" ht="10.95" customHeight="1">
      <c r="A9" s="414" t="s">
        <v>759</v>
      </c>
      <c r="B9" s="415">
        <v>0</v>
      </c>
      <c r="C9" s="415">
        <v>37170.31</v>
      </c>
    </row>
    <row r="10" spans="1:3" ht="10.95" customHeight="1">
      <c r="A10" s="414" t="s">
        <v>1524</v>
      </c>
      <c r="B10" s="415">
        <v>0</v>
      </c>
      <c r="C10" s="415">
        <v>30917.73</v>
      </c>
    </row>
    <row r="11" spans="1:3" ht="10.95" customHeight="1">
      <c r="A11" s="414" t="s">
        <v>798</v>
      </c>
      <c r="B11" s="415">
        <v>0</v>
      </c>
      <c r="C11" s="415">
        <v>19815.38</v>
      </c>
    </row>
    <row r="12" spans="1:3" ht="10.95" customHeight="1">
      <c r="A12" s="414" t="s">
        <v>812</v>
      </c>
      <c r="B12" s="415">
        <v>0</v>
      </c>
      <c r="C12" s="415">
        <v>14123.24</v>
      </c>
    </row>
    <row r="13" spans="1:3" ht="10.95" customHeight="1">
      <c r="A13" s="414" t="s">
        <v>843</v>
      </c>
      <c r="B13" s="415">
        <v>0</v>
      </c>
      <c r="C13" s="415">
        <v>12060.79</v>
      </c>
    </row>
    <row r="14" spans="1:3" ht="10.95" customHeight="1">
      <c r="A14" s="414" t="s">
        <v>882</v>
      </c>
      <c r="B14" s="415">
        <v>0</v>
      </c>
      <c r="C14" s="415">
        <v>5956.62</v>
      </c>
    </row>
    <row r="15" spans="1:3" ht="10.95" customHeight="1">
      <c r="A15" s="414" t="s">
        <v>909</v>
      </c>
      <c r="B15" s="415">
        <v>0</v>
      </c>
      <c r="C15" s="415">
        <v>1903.68</v>
      </c>
    </row>
    <row r="16" spans="1:3" ht="10.95" customHeight="1">
      <c r="A16" s="414" t="s">
        <v>964</v>
      </c>
      <c r="B16" s="415">
        <v>0</v>
      </c>
      <c r="C16" s="415">
        <v>13709.55</v>
      </c>
    </row>
    <row r="17" spans="1:3" ht="10.95" customHeight="1">
      <c r="A17" s="414" t="s">
        <v>1525</v>
      </c>
      <c r="B17" s="415">
        <v>0</v>
      </c>
      <c r="C17" s="415">
        <v>14582.39</v>
      </c>
    </row>
    <row r="18" spans="1:3" ht="10.95" customHeight="1">
      <c r="A18" s="414" t="s">
        <v>1387</v>
      </c>
      <c r="B18" s="415">
        <v>0</v>
      </c>
      <c r="C18" s="415">
        <v>23991.279999999999</v>
      </c>
    </row>
    <row r="19" spans="1:3" ht="10.95" customHeight="1">
      <c r="A19" s="414" t="s">
        <v>1526</v>
      </c>
      <c r="B19" s="415">
        <v>0</v>
      </c>
      <c r="C19" s="415">
        <v>92565.03</v>
      </c>
    </row>
    <row r="20" spans="1:3" ht="13.35" customHeight="1"/>
    <row r="21" spans="1:3" ht="10.95" customHeight="1">
      <c r="A21" s="419" t="s">
        <v>164</v>
      </c>
      <c r="B21" s="420">
        <f>SUM(B6:B19)</f>
        <v>0</v>
      </c>
      <c r="C21" s="420">
        <f>SUM(C6:C19)</f>
        <v>322340.70999999996</v>
      </c>
    </row>
    <row r="25" spans="1:3" ht="17.399999999999999">
      <c r="A25" s="404" t="s">
        <v>1527</v>
      </c>
      <c r="B25" s="404"/>
      <c r="C25" s="404"/>
    </row>
    <row r="26" spans="1:3" ht="15">
      <c r="A26" s="406" t="s">
        <v>236</v>
      </c>
      <c r="B26" s="406"/>
      <c r="C26" s="406"/>
    </row>
    <row r="27" spans="1:3" ht="15">
      <c r="A27" s="406" t="s">
        <v>1523</v>
      </c>
      <c r="B27" s="406"/>
      <c r="C27" s="406"/>
    </row>
    <row r="29" spans="1:3" ht="13.2">
      <c r="A29" s="410" t="s">
        <v>1485</v>
      </c>
      <c r="B29" s="411" t="s">
        <v>665</v>
      </c>
      <c r="C29" s="411" t="s">
        <v>666</v>
      </c>
    </row>
    <row r="30" spans="1:3">
      <c r="A30" s="421" t="s">
        <v>1528</v>
      </c>
      <c r="B30" s="422">
        <v>840</v>
      </c>
      <c r="C30" s="422">
        <v>0</v>
      </c>
    </row>
    <row r="31" spans="1:3">
      <c r="A31" s="414" t="s">
        <v>637</v>
      </c>
      <c r="B31" s="415">
        <v>708.05</v>
      </c>
      <c r="C31" s="415">
        <v>0</v>
      </c>
    </row>
    <row r="32" spans="1:3">
      <c r="A32" s="414" t="s">
        <v>1529</v>
      </c>
      <c r="B32" s="415">
        <v>11048.67</v>
      </c>
      <c r="C32" s="415">
        <v>0</v>
      </c>
    </row>
    <row r="33" spans="1:3">
      <c r="A33" s="414" t="s">
        <v>660</v>
      </c>
      <c r="B33" s="415">
        <v>9940.23</v>
      </c>
      <c r="C33" s="415">
        <v>0</v>
      </c>
    </row>
    <row r="34" spans="1:3">
      <c r="A34" s="414" t="s">
        <v>720</v>
      </c>
      <c r="B34" s="415">
        <v>11449.8</v>
      </c>
      <c r="C34" s="415">
        <v>0</v>
      </c>
    </row>
    <row r="35" spans="1:3">
      <c r="A35" s="414" t="s">
        <v>759</v>
      </c>
      <c r="B35" s="415">
        <v>9595</v>
      </c>
      <c r="C35" s="415">
        <v>0</v>
      </c>
    </row>
    <row r="36" spans="1:3">
      <c r="A36" s="414" t="s">
        <v>1524</v>
      </c>
      <c r="B36" s="415">
        <v>6940.94</v>
      </c>
      <c r="C36" s="415">
        <v>0</v>
      </c>
    </row>
    <row r="37" spans="1:3">
      <c r="A37" s="414" t="s">
        <v>1530</v>
      </c>
      <c r="B37" s="415">
        <v>7230</v>
      </c>
      <c r="C37" s="415">
        <v>0</v>
      </c>
    </row>
    <row r="38" spans="1:3">
      <c r="A38" s="414" t="s">
        <v>798</v>
      </c>
      <c r="B38" s="415">
        <v>871.75</v>
      </c>
      <c r="C38" s="415">
        <v>0</v>
      </c>
    </row>
    <row r="39" spans="1:3">
      <c r="A39" s="414" t="s">
        <v>1531</v>
      </c>
      <c r="B39" s="415">
        <v>3027.79</v>
      </c>
      <c r="C39" s="415">
        <v>0</v>
      </c>
    </row>
    <row r="40" spans="1:3">
      <c r="A40" s="414" t="s">
        <v>812</v>
      </c>
      <c r="B40" s="415">
        <v>3627.5</v>
      </c>
      <c r="C40" s="415">
        <v>0</v>
      </c>
    </row>
    <row r="41" spans="1:3">
      <c r="A41" s="414" t="s">
        <v>843</v>
      </c>
      <c r="B41" s="415">
        <v>2352.16</v>
      </c>
      <c r="C41" s="415">
        <v>0</v>
      </c>
    </row>
    <row r="42" spans="1:3">
      <c r="A42" s="414" t="s">
        <v>882</v>
      </c>
      <c r="B42" s="415">
        <v>995</v>
      </c>
      <c r="C42" s="415">
        <v>0</v>
      </c>
    </row>
    <row r="43" spans="1:3">
      <c r="A43" s="414" t="s">
        <v>1532</v>
      </c>
      <c r="B43" s="415">
        <v>0</v>
      </c>
      <c r="C43" s="415">
        <v>75</v>
      </c>
    </row>
    <row r="44" spans="1:3">
      <c r="A44" s="414" t="s">
        <v>1533</v>
      </c>
      <c r="B44" s="415">
        <v>3160.56</v>
      </c>
      <c r="C44" s="415">
        <v>0</v>
      </c>
    </row>
    <row r="45" spans="1:3">
      <c r="A45" s="414" t="s">
        <v>909</v>
      </c>
      <c r="B45" s="415">
        <v>720</v>
      </c>
      <c r="C45" s="415">
        <v>0</v>
      </c>
    </row>
    <row r="46" spans="1:3">
      <c r="A46" s="414" t="s">
        <v>964</v>
      </c>
      <c r="B46" s="415">
        <v>4600.5200000000004</v>
      </c>
      <c r="C46" s="415">
        <v>0</v>
      </c>
    </row>
    <row r="47" spans="1:3">
      <c r="A47" s="414" t="s">
        <v>1525</v>
      </c>
      <c r="B47" s="415">
        <v>3733.11</v>
      </c>
      <c r="C47" s="415">
        <v>0</v>
      </c>
    </row>
    <row r="48" spans="1:3">
      <c r="A48" s="414" t="s">
        <v>1387</v>
      </c>
      <c r="B48" s="415">
        <v>26551.439999999999</v>
      </c>
      <c r="C48" s="415">
        <v>0</v>
      </c>
    </row>
    <row r="49" spans="1:3">
      <c r="A49" s="414" t="s">
        <v>1526</v>
      </c>
      <c r="B49" s="415">
        <v>33650.879999999997</v>
      </c>
      <c r="C49" s="415">
        <v>0</v>
      </c>
    </row>
    <row r="51" spans="1:3" ht="12">
      <c r="A51" s="419" t="s">
        <v>164</v>
      </c>
      <c r="B51" s="420">
        <f>SUM(B30:B49)</f>
        <v>141043.4</v>
      </c>
      <c r="C51" s="420">
        <f>SUM(C30:C49)</f>
        <v>75</v>
      </c>
    </row>
    <row r="54" spans="1:3">
      <c r="A54" s="408" t="s">
        <v>1534</v>
      </c>
      <c r="C54" s="425">
        <f>+C21-B51</f>
        <v>181297.30999999997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53168-8DAA-46EE-A550-146DEB4059B9}">
  <dimension ref="A1:P150"/>
  <sheetViews>
    <sheetView zoomScale="70" zoomScaleNormal="70" workbookViewId="0">
      <pane xSplit="2" ySplit="1" topLeftCell="C27" activePane="bottomRight" state="frozen"/>
      <selection pane="topRight" activeCell="C1" sqref="C1"/>
      <selection pane="bottomLeft" activeCell="A2" sqref="A2"/>
      <selection pane="bottomRight" activeCell="M57" sqref="M57"/>
    </sheetView>
  </sheetViews>
  <sheetFormatPr baseColWidth="10" defaultColWidth="8.88671875" defaultRowHeight="14.4"/>
  <cols>
    <col min="1" max="1" width="22.6640625" customWidth="1"/>
    <col min="2" max="2" width="32" customWidth="1"/>
    <col min="3" max="3" width="9.5546875" customWidth="1"/>
    <col min="4" max="4" width="29.5546875" customWidth="1"/>
    <col min="5" max="5" width="18.5546875" style="1094" customWidth="1"/>
    <col min="6" max="7" width="19.6640625" style="1094" hidden="1" customWidth="1"/>
    <col min="8" max="8" width="16.33203125" style="1094" bestFit="1" customWidth="1"/>
    <col min="9" max="9" width="14.88671875" style="1094" bestFit="1" customWidth="1"/>
    <col min="10" max="10" width="31.33203125" style="1094" bestFit="1" customWidth="1"/>
    <col min="11" max="11" width="23.5546875" style="1094" bestFit="1" customWidth="1"/>
    <col min="12" max="16" width="16.33203125" style="1094" bestFit="1" customWidth="1"/>
  </cols>
  <sheetData>
    <row r="1" spans="1:16" ht="19.8">
      <c r="A1" s="1096" t="s">
        <v>1053</v>
      </c>
      <c r="B1" s="1096" t="s">
        <v>1054</v>
      </c>
      <c r="C1" s="1096" t="s">
        <v>1055</v>
      </c>
      <c r="D1" s="1096" t="s">
        <v>1056</v>
      </c>
      <c r="E1" s="1096" t="s">
        <v>1535</v>
      </c>
      <c r="F1" s="1096" t="s">
        <v>15</v>
      </c>
      <c r="G1" s="1096" t="s">
        <v>1536</v>
      </c>
      <c r="H1" s="1096" t="s">
        <v>1537</v>
      </c>
      <c r="I1" s="1103" t="s">
        <v>1538</v>
      </c>
      <c r="J1" s="1096" t="s">
        <v>1539</v>
      </c>
      <c r="K1" s="1096" t="s">
        <v>1540</v>
      </c>
      <c r="L1" s="1097">
        <v>45870</v>
      </c>
      <c r="M1" s="1097">
        <v>45901</v>
      </c>
      <c r="N1" s="1097">
        <v>45931</v>
      </c>
      <c r="O1" s="1097">
        <v>45962</v>
      </c>
      <c r="P1" s="1097">
        <v>45992</v>
      </c>
    </row>
    <row r="2" spans="1:16">
      <c r="A2" t="s">
        <v>259</v>
      </c>
      <c r="B2" t="s">
        <v>1541</v>
      </c>
      <c r="C2" t="s">
        <v>1542</v>
      </c>
      <c r="E2" s="824">
        <v>18880</v>
      </c>
      <c r="F2" s="824">
        <v>18880</v>
      </c>
      <c r="G2" s="824">
        <v>0</v>
      </c>
      <c r="H2" s="824">
        <v>18880</v>
      </c>
      <c r="I2" s="824">
        <f>+'Reembolsos MMHB 07-25'!E7</f>
        <v>18016</v>
      </c>
      <c r="J2" s="824">
        <f>+E2-H2</f>
        <v>0</v>
      </c>
      <c r="K2" s="824">
        <f>+I2+J2</f>
        <v>18016</v>
      </c>
      <c r="L2" s="824">
        <f>+K2</f>
        <v>18016</v>
      </c>
      <c r="M2" s="824"/>
      <c r="N2" s="824"/>
      <c r="O2" s="824"/>
      <c r="P2" s="824"/>
    </row>
    <row r="3" spans="1:16" s="464" customFormat="1">
      <c r="A3" s="464" t="s">
        <v>259</v>
      </c>
      <c r="E3" s="1105">
        <f>SUM(E2:E2)</f>
        <v>18880</v>
      </c>
      <c r="F3" s="1105">
        <f>SUM(F2:F2)</f>
        <v>18880</v>
      </c>
      <c r="G3" s="1105">
        <f>SUM(G2:G2)</f>
        <v>0</v>
      </c>
      <c r="H3" s="1105">
        <f>SUM(H2:H2)</f>
        <v>18880</v>
      </c>
      <c r="I3" s="1105">
        <f t="shared" ref="I3:K3" si="0">SUM(I2:I2)</f>
        <v>18016</v>
      </c>
      <c r="J3" s="1105">
        <f t="shared" si="0"/>
        <v>0</v>
      </c>
      <c r="K3" s="1105">
        <f t="shared" si="0"/>
        <v>18016</v>
      </c>
      <c r="L3" s="1105">
        <f t="shared" ref="L3" si="1">SUM(L2:L2)</f>
        <v>18016</v>
      </c>
      <c r="M3" s="1105">
        <f t="shared" ref="M3" si="2">SUM(M2:M2)</f>
        <v>0</v>
      </c>
      <c r="N3" s="1105">
        <f t="shared" ref="N3" si="3">SUM(N2:N2)</f>
        <v>0</v>
      </c>
      <c r="O3" s="1105">
        <f t="shared" ref="O3" si="4">SUM(O2:O2)</f>
        <v>0</v>
      </c>
      <c r="P3" s="1105">
        <f t="shared" ref="P3" si="5">SUM(P2:P2)</f>
        <v>0</v>
      </c>
    </row>
    <row r="4" spans="1:16">
      <c r="E4" s="730"/>
      <c r="F4" s="730"/>
      <c r="G4" s="730"/>
      <c r="H4" s="730"/>
      <c r="I4" s="730"/>
      <c r="J4" s="730"/>
      <c r="K4" s="730"/>
      <c r="L4" s="730"/>
      <c r="M4" s="730"/>
      <c r="N4" s="730"/>
      <c r="O4" s="730"/>
      <c r="P4" s="730"/>
    </row>
    <row r="5" spans="1:16">
      <c r="A5" t="s">
        <v>298</v>
      </c>
      <c r="B5" t="s">
        <v>369</v>
      </c>
      <c r="C5" t="s">
        <v>367</v>
      </c>
      <c r="D5" t="s">
        <v>368</v>
      </c>
      <c r="E5" s="824">
        <v>278099.52</v>
      </c>
      <c r="F5" s="824">
        <v>278099.52</v>
      </c>
      <c r="G5" s="824">
        <v>0</v>
      </c>
      <c r="H5" s="824">
        <v>273000</v>
      </c>
      <c r="I5" s="824"/>
      <c r="J5" s="824">
        <f>+E5-H5</f>
        <v>5099.5200000000186</v>
      </c>
      <c r="K5" s="824">
        <f>+I5+J5</f>
        <v>5099.5200000000186</v>
      </c>
      <c r="L5" s="824"/>
      <c r="M5" s="824">
        <f>+K5</f>
        <v>5099.5200000000186</v>
      </c>
      <c r="N5" s="824"/>
      <c r="O5" s="824"/>
      <c r="P5" s="824"/>
    </row>
    <row r="6" spans="1:16">
      <c r="A6" t="s">
        <v>298</v>
      </c>
      <c r="B6" t="s">
        <v>728</v>
      </c>
      <c r="C6" t="s">
        <v>1543</v>
      </c>
      <c r="D6" t="s">
        <v>1544</v>
      </c>
      <c r="E6" s="824">
        <v>106200</v>
      </c>
      <c r="F6" s="824">
        <v>106200</v>
      </c>
      <c r="G6" s="824">
        <v>0</v>
      </c>
      <c r="H6" s="824">
        <v>106200</v>
      </c>
      <c r="I6" s="824">
        <f>+'Reembolsos MMHB 07-25'!E13</f>
        <v>53100</v>
      </c>
      <c r="J6" s="824">
        <f t="shared" ref="J6:J9" si="6">+E6-H6</f>
        <v>0</v>
      </c>
      <c r="K6" s="824">
        <f t="shared" ref="K6:K11" si="7">+I6+J6</f>
        <v>53100</v>
      </c>
      <c r="L6" s="824">
        <f>+K6</f>
        <v>53100</v>
      </c>
      <c r="M6" s="824"/>
      <c r="N6" s="824"/>
      <c r="O6" s="824"/>
      <c r="P6" s="824"/>
    </row>
    <row r="7" spans="1:16">
      <c r="A7" t="s">
        <v>298</v>
      </c>
      <c r="B7" t="s">
        <v>728</v>
      </c>
      <c r="C7" t="s">
        <v>1219</v>
      </c>
      <c r="D7" t="s">
        <v>1220</v>
      </c>
      <c r="E7" s="824">
        <v>53100</v>
      </c>
      <c r="F7" s="824">
        <v>53100</v>
      </c>
      <c r="G7" s="824">
        <v>0</v>
      </c>
      <c r="H7" s="824">
        <v>53100</v>
      </c>
      <c r="I7" s="824">
        <f>+'Reembolsos MMHB 07-25'!E14+'Reembolsos MMHB 07-25'!E15</f>
        <v>50670</v>
      </c>
      <c r="J7" s="824">
        <f t="shared" si="6"/>
        <v>0</v>
      </c>
      <c r="K7" s="824">
        <f t="shared" si="7"/>
        <v>50670</v>
      </c>
      <c r="L7" s="824">
        <f>+K7</f>
        <v>50670</v>
      </c>
      <c r="M7" s="824"/>
      <c r="N7" s="824"/>
      <c r="O7" s="824"/>
      <c r="P7" s="824"/>
    </row>
    <row r="8" spans="1:16">
      <c r="A8" t="s">
        <v>298</v>
      </c>
      <c r="B8" t="s">
        <v>737</v>
      </c>
      <c r="C8" t="s">
        <v>738</v>
      </c>
      <c r="D8" t="s">
        <v>1065</v>
      </c>
      <c r="E8" s="824">
        <v>104888.89</v>
      </c>
      <c r="F8" s="824">
        <v>0</v>
      </c>
      <c r="G8" s="824">
        <v>104888.89</v>
      </c>
      <c r="H8" s="824">
        <v>40000</v>
      </c>
      <c r="I8" s="824">
        <f>+'Reembolsos MMHB 07-25'!E11</f>
        <v>40000</v>
      </c>
      <c r="J8" s="824">
        <f t="shared" si="6"/>
        <v>64888.89</v>
      </c>
      <c r="K8" s="824">
        <f t="shared" si="7"/>
        <v>104888.89</v>
      </c>
      <c r="L8" s="824"/>
      <c r="M8" s="824">
        <f>+K8</f>
        <v>104888.89</v>
      </c>
      <c r="N8" s="824"/>
      <c r="O8" s="824"/>
      <c r="P8" s="824"/>
    </row>
    <row r="9" spans="1:16">
      <c r="A9" t="s">
        <v>298</v>
      </c>
      <c r="B9" t="s">
        <v>735</v>
      </c>
      <c r="C9" t="s">
        <v>821</v>
      </c>
      <c r="D9" t="s">
        <v>1069</v>
      </c>
      <c r="E9" s="824">
        <v>100300</v>
      </c>
      <c r="F9" s="824">
        <v>0</v>
      </c>
      <c r="G9" s="824">
        <v>100300</v>
      </c>
      <c r="H9" s="824">
        <v>38250</v>
      </c>
      <c r="I9" s="824">
        <f>+'Reembolsos MMHB 07-25'!E12</f>
        <v>38250</v>
      </c>
      <c r="J9" s="824">
        <f t="shared" si="6"/>
        <v>62050</v>
      </c>
      <c r="K9" s="824">
        <f t="shared" si="7"/>
        <v>100300</v>
      </c>
      <c r="L9" s="824"/>
      <c r="M9" s="824">
        <f>+K9</f>
        <v>100300</v>
      </c>
      <c r="N9" s="824"/>
      <c r="O9" s="824"/>
      <c r="P9" s="824"/>
    </row>
    <row r="10" spans="1:16">
      <c r="A10" t="s">
        <v>298</v>
      </c>
      <c r="B10" t="s">
        <v>330</v>
      </c>
      <c r="C10" t="s">
        <v>1545</v>
      </c>
      <c r="D10" t="s">
        <v>1546</v>
      </c>
      <c r="E10" s="824">
        <v>206500</v>
      </c>
      <c r="F10" s="824">
        <v>0</v>
      </c>
      <c r="G10" s="824">
        <v>206500</v>
      </c>
      <c r="H10" s="824"/>
      <c r="I10" s="824"/>
      <c r="J10" s="824">
        <f>+E10-H10</f>
        <v>206500</v>
      </c>
      <c r="K10" s="824">
        <f t="shared" si="7"/>
        <v>206500</v>
      </c>
      <c r="L10" s="824"/>
      <c r="M10" s="824">
        <f>+K10</f>
        <v>206500</v>
      </c>
      <c r="N10" s="824"/>
      <c r="O10" s="824"/>
      <c r="P10" s="824"/>
    </row>
    <row r="11" spans="1:16">
      <c r="D11" t="s">
        <v>1547</v>
      </c>
      <c r="E11" s="824">
        <f>+(2500/0.73)*62.5</f>
        <v>214041.09589041097</v>
      </c>
      <c r="F11" s="824"/>
      <c r="G11" s="824"/>
      <c r="H11" s="824"/>
      <c r="I11" s="824"/>
      <c r="J11" s="824">
        <f>+E11-H11</f>
        <v>214041.09589041097</v>
      </c>
      <c r="K11" s="824">
        <f t="shared" si="7"/>
        <v>214041.09589041097</v>
      </c>
      <c r="L11" s="824"/>
      <c r="M11" s="824">
        <f>+K11</f>
        <v>214041.09589041097</v>
      </c>
      <c r="N11" s="824"/>
      <c r="O11" s="824"/>
      <c r="P11" s="824"/>
    </row>
    <row r="12" spans="1:16">
      <c r="D12" t="s">
        <v>1548</v>
      </c>
      <c r="E12" s="370">
        <f>+(16700/0.73)*62.4075</f>
        <v>1427678.4246575343</v>
      </c>
      <c r="F12" s="824"/>
      <c r="G12" s="824"/>
      <c r="H12" s="824"/>
      <c r="I12" s="824"/>
      <c r="J12" s="824">
        <f>+E12-H12</f>
        <v>1427678.4246575343</v>
      </c>
      <c r="K12" s="824">
        <f t="shared" ref="K12" si="8">+I12+J12</f>
        <v>1427678.4246575343</v>
      </c>
      <c r="L12" s="824"/>
      <c r="M12" s="1107">
        <f>+K12*0.5</f>
        <v>713839.21232876717</v>
      </c>
      <c r="N12" s="1107">
        <f>+K12*0.5</f>
        <v>713839.21232876717</v>
      </c>
      <c r="O12" s="824"/>
      <c r="P12" s="824"/>
    </row>
    <row r="13" spans="1:16" s="464" customFormat="1">
      <c r="A13" s="464" t="s">
        <v>298</v>
      </c>
      <c r="E13" s="1105">
        <f>SUM(E5:E12)</f>
        <v>2490807.9305479452</v>
      </c>
      <c r="F13" s="1105">
        <f t="shared" ref="F13:P13" si="9">SUM(F5:F12)</f>
        <v>437399.52</v>
      </c>
      <c r="G13" s="1105">
        <f t="shared" si="9"/>
        <v>411688.89</v>
      </c>
      <c r="H13" s="1105">
        <f t="shared" si="9"/>
        <v>510550</v>
      </c>
      <c r="I13" s="1105">
        <f t="shared" si="9"/>
        <v>182020</v>
      </c>
      <c r="J13" s="1105">
        <f t="shared" si="9"/>
        <v>1980257.9305479452</v>
      </c>
      <c r="K13" s="1105">
        <f t="shared" si="9"/>
        <v>2162277.9305479452</v>
      </c>
      <c r="L13" s="1105">
        <f t="shared" si="9"/>
        <v>103770</v>
      </c>
      <c r="M13" s="1105">
        <f>SUM(M5:M12)</f>
        <v>1344668.7182191783</v>
      </c>
      <c r="N13" s="1105">
        <f t="shared" si="9"/>
        <v>713839.21232876717</v>
      </c>
      <c r="O13" s="1105">
        <f t="shared" si="9"/>
        <v>0</v>
      </c>
      <c r="P13" s="1105">
        <f t="shared" si="9"/>
        <v>0</v>
      </c>
    </row>
    <row r="14" spans="1:16">
      <c r="E14" s="730"/>
      <c r="F14" s="730"/>
      <c r="G14" s="730"/>
      <c r="H14" s="730"/>
      <c r="I14" s="730"/>
      <c r="J14" s="730"/>
      <c r="K14" s="730"/>
      <c r="L14" s="730"/>
      <c r="M14" s="730"/>
      <c r="N14" s="730"/>
      <c r="O14" s="730"/>
      <c r="P14" s="730"/>
    </row>
    <row r="15" spans="1:16">
      <c r="A15" t="s">
        <v>271</v>
      </c>
      <c r="B15" t="s">
        <v>1031</v>
      </c>
      <c r="C15" t="s">
        <v>1075</v>
      </c>
      <c r="D15" t="s">
        <v>1076</v>
      </c>
      <c r="E15" s="824">
        <v>87446.2</v>
      </c>
      <c r="F15" s="824">
        <v>87446.2</v>
      </c>
      <c r="G15" s="824">
        <v>0</v>
      </c>
      <c r="H15" s="824"/>
      <c r="I15" s="824"/>
      <c r="J15" s="824">
        <f>+E15-H15</f>
        <v>87446.2</v>
      </c>
      <c r="K15" s="824">
        <f>+I15+J15</f>
        <v>87446.2</v>
      </c>
      <c r="L15" s="824">
        <f>+K15</f>
        <v>87446.2</v>
      </c>
      <c r="M15" s="824"/>
      <c r="N15" s="824"/>
      <c r="O15" s="824"/>
      <c r="P15" s="824"/>
    </row>
    <row r="16" spans="1:16">
      <c r="A16" t="s">
        <v>271</v>
      </c>
      <c r="B16" t="s">
        <v>715</v>
      </c>
      <c r="C16" t="s">
        <v>1080</v>
      </c>
      <c r="D16" t="s">
        <v>1081</v>
      </c>
      <c r="E16" s="824">
        <v>3317006.47</v>
      </c>
      <c r="F16" s="824">
        <v>2582671.14</v>
      </c>
      <c r="G16" s="824">
        <v>734335.33000000007</v>
      </c>
      <c r="H16" s="824">
        <v>3200000</v>
      </c>
      <c r="I16" s="824"/>
      <c r="J16" s="824">
        <f t="shared" ref="J16:J26" si="10">+E16-H16</f>
        <v>117006.4700000002</v>
      </c>
      <c r="K16" s="824">
        <f t="shared" ref="K16:K24" si="11">+I16+J16</f>
        <v>117006.4700000002</v>
      </c>
      <c r="L16" s="824">
        <f>+K16</f>
        <v>117006.4700000002</v>
      </c>
      <c r="M16" s="824"/>
      <c r="N16" s="824"/>
      <c r="O16" s="824"/>
      <c r="P16" s="824"/>
    </row>
    <row r="17" spans="1:16">
      <c r="A17" t="s">
        <v>271</v>
      </c>
      <c r="B17" t="s">
        <v>317</v>
      </c>
      <c r="C17" t="s">
        <v>1549</v>
      </c>
      <c r="D17" t="s">
        <v>1550</v>
      </c>
      <c r="E17" s="824">
        <v>469430.56</v>
      </c>
      <c r="F17" s="824">
        <v>469430.56</v>
      </c>
      <c r="G17" s="824">
        <v>0</v>
      </c>
      <c r="H17" s="824"/>
      <c r="I17" s="824"/>
      <c r="J17" s="824">
        <f t="shared" si="10"/>
        <v>469430.56</v>
      </c>
      <c r="K17" s="824">
        <f t="shared" si="11"/>
        <v>469430.56</v>
      </c>
      <c r="L17" s="824">
        <f>+K17</f>
        <v>469430.56</v>
      </c>
      <c r="M17" s="824"/>
      <c r="N17" s="824"/>
      <c r="O17" s="824"/>
      <c r="P17" s="824"/>
    </row>
    <row r="18" spans="1:16">
      <c r="A18" t="s">
        <v>271</v>
      </c>
      <c r="B18" t="s">
        <v>317</v>
      </c>
      <c r="C18" t="s">
        <v>1333</v>
      </c>
      <c r="D18" t="s">
        <v>1551</v>
      </c>
      <c r="E18" s="824">
        <v>405023.2</v>
      </c>
      <c r="F18" s="824">
        <v>405023.2</v>
      </c>
      <c r="G18" s="824">
        <v>0</v>
      </c>
      <c r="H18" s="824"/>
      <c r="I18" s="824"/>
      <c r="J18" s="824">
        <f t="shared" si="10"/>
        <v>405023.2</v>
      </c>
      <c r="K18" s="824">
        <f t="shared" si="11"/>
        <v>405023.2</v>
      </c>
      <c r="L18" s="824">
        <f>+K18</f>
        <v>405023.2</v>
      </c>
      <c r="M18" s="824"/>
      <c r="N18" s="824"/>
      <c r="O18" s="824"/>
      <c r="P18" s="824"/>
    </row>
    <row r="19" spans="1:16">
      <c r="A19" t="s">
        <v>271</v>
      </c>
      <c r="B19" t="s">
        <v>317</v>
      </c>
      <c r="C19" t="s">
        <v>1552</v>
      </c>
      <c r="D19" t="s">
        <v>1553</v>
      </c>
      <c r="E19" s="824">
        <v>487071.07</v>
      </c>
      <c r="F19" s="824">
        <v>487071.07</v>
      </c>
      <c r="G19" s="824">
        <v>0</v>
      </c>
      <c r="H19" s="824"/>
      <c r="I19" s="824"/>
      <c r="J19" s="824">
        <f t="shared" si="10"/>
        <v>487071.07</v>
      </c>
      <c r="K19" s="824">
        <f t="shared" si="11"/>
        <v>487071.07</v>
      </c>
      <c r="L19" s="824"/>
      <c r="M19" s="824">
        <f>+K19</f>
        <v>487071.07</v>
      </c>
      <c r="N19" s="824"/>
      <c r="O19" s="824"/>
      <c r="P19" s="824"/>
    </row>
    <row r="20" spans="1:16">
      <c r="A20" t="s">
        <v>271</v>
      </c>
      <c r="B20" t="s">
        <v>1084</v>
      </c>
      <c r="C20" t="s">
        <v>1085</v>
      </c>
      <c r="D20" t="s">
        <v>1086</v>
      </c>
      <c r="E20" s="824">
        <v>24485014.93</v>
      </c>
      <c r="F20" s="824">
        <v>14291211.33</v>
      </c>
      <c r="G20" s="824">
        <v>10193803.600000001</v>
      </c>
      <c r="H20" s="824">
        <v>10000000</v>
      </c>
      <c r="I20" s="824"/>
      <c r="J20" s="824">
        <f t="shared" si="10"/>
        <v>14485014.93</v>
      </c>
      <c r="K20" s="824">
        <f t="shared" si="11"/>
        <v>14485014.93</v>
      </c>
      <c r="L20" s="824">
        <v>5000000</v>
      </c>
      <c r="M20" s="824">
        <v>5000000</v>
      </c>
      <c r="N20" s="824">
        <f>+K20-L20-M20</f>
        <v>4485014.93</v>
      </c>
      <c r="O20" s="824"/>
      <c r="P20" s="824"/>
    </row>
    <row r="21" spans="1:16">
      <c r="A21" t="s">
        <v>271</v>
      </c>
      <c r="B21" t="s">
        <v>1337</v>
      </c>
      <c r="C21" t="s">
        <v>1554</v>
      </c>
      <c r="D21" t="s">
        <v>1555</v>
      </c>
      <c r="E21" s="824">
        <v>11741</v>
      </c>
      <c r="F21" s="824">
        <v>11741</v>
      </c>
      <c r="G21" s="824">
        <v>0</v>
      </c>
      <c r="H21" s="824">
        <v>11741</v>
      </c>
      <c r="I21" s="824">
        <f>+'Reembolsos MMHB 07-25'!E20</f>
        <v>11203.7</v>
      </c>
      <c r="J21" s="824">
        <f t="shared" si="10"/>
        <v>0</v>
      </c>
      <c r="K21" s="824">
        <f t="shared" si="11"/>
        <v>11203.7</v>
      </c>
      <c r="L21" s="824">
        <f>+K21</f>
        <v>11203.7</v>
      </c>
      <c r="M21" s="824"/>
      <c r="N21" s="824"/>
      <c r="O21" s="824"/>
      <c r="P21" s="824"/>
    </row>
    <row r="22" spans="1:16">
      <c r="A22" t="s">
        <v>271</v>
      </c>
      <c r="B22" t="s">
        <v>715</v>
      </c>
      <c r="C22" t="s">
        <v>1097</v>
      </c>
      <c r="D22" t="s">
        <v>1098</v>
      </c>
      <c r="E22" s="824">
        <v>573449.02</v>
      </c>
      <c r="F22" s="824">
        <v>401816.36</v>
      </c>
      <c r="G22" s="824">
        <v>171632.66</v>
      </c>
      <c r="H22" s="824"/>
      <c r="I22" s="824"/>
      <c r="J22" s="824">
        <f t="shared" si="10"/>
        <v>573449.02</v>
      </c>
      <c r="K22" s="824">
        <f t="shared" si="11"/>
        <v>573449.02</v>
      </c>
      <c r="L22" s="824">
        <v>401816.36</v>
      </c>
      <c r="M22" s="824">
        <f>+K22-L22</f>
        <v>171632.66000000003</v>
      </c>
      <c r="N22" s="824"/>
      <c r="O22" s="824"/>
      <c r="P22" s="824"/>
    </row>
    <row r="23" spans="1:16">
      <c r="A23" t="s">
        <v>271</v>
      </c>
      <c r="B23" t="s">
        <v>1111</v>
      </c>
      <c r="C23" t="s">
        <v>1112</v>
      </c>
      <c r="D23" t="s">
        <v>1113</v>
      </c>
      <c r="E23" s="824">
        <v>882353.88</v>
      </c>
      <c r="F23" s="824">
        <v>882353.88</v>
      </c>
      <c r="G23" s="824">
        <v>0</v>
      </c>
      <c r="H23" s="824">
        <v>606726.64</v>
      </c>
      <c r="I23" s="824"/>
      <c r="J23" s="824">
        <f t="shared" si="10"/>
        <v>275627.24</v>
      </c>
      <c r="K23" s="824">
        <f t="shared" si="11"/>
        <v>275627.24</v>
      </c>
      <c r="L23" s="730"/>
      <c r="M23" s="824">
        <f>+K23</f>
        <v>275627.24</v>
      </c>
      <c r="N23" s="824"/>
      <c r="O23" s="824"/>
      <c r="P23" s="824"/>
    </row>
    <row r="24" spans="1:16">
      <c r="A24" t="s">
        <v>271</v>
      </c>
      <c r="B24" t="s">
        <v>1221</v>
      </c>
      <c r="C24" t="s">
        <v>1222</v>
      </c>
      <c r="D24" t="s">
        <v>1223</v>
      </c>
      <c r="E24" s="824">
        <v>50122.86</v>
      </c>
      <c r="F24" s="824">
        <v>50122.86</v>
      </c>
      <c r="G24" s="824">
        <v>0</v>
      </c>
      <c r="H24" s="824">
        <v>50122.86</v>
      </c>
      <c r="I24" s="824">
        <f>+'Reembolsos MMHB 07-25'!E19</f>
        <v>50122.86</v>
      </c>
      <c r="J24" s="824">
        <f t="shared" si="10"/>
        <v>0</v>
      </c>
      <c r="K24" s="824">
        <f t="shared" si="11"/>
        <v>50122.86</v>
      </c>
      <c r="L24" s="824">
        <f>+K24</f>
        <v>50122.86</v>
      </c>
      <c r="M24" s="824"/>
      <c r="N24" s="824"/>
      <c r="O24" s="824"/>
      <c r="P24" s="824"/>
    </row>
    <row r="25" spans="1:16">
      <c r="D25" t="s">
        <v>1226</v>
      </c>
      <c r="E25" s="824">
        <v>5283734</v>
      </c>
      <c r="F25" s="824"/>
      <c r="G25" s="824"/>
      <c r="H25" s="824"/>
      <c r="I25" s="824"/>
      <c r="J25" s="824">
        <f t="shared" si="10"/>
        <v>5283734</v>
      </c>
      <c r="K25" s="824">
        <f>SUM(L25:P25)</f>
        <v>5283734</v>
      </c>
      <c r="L25" s="824"/>
      <c r="M25" s="1107">
        <v>1500000</v>
      </c>
      <c r="N25" s="1107">
        <v>2000000</v>
      </c>
      <c r="O25" s="1107">
        <v>1183734</v>
      </c>
      <c r="P25" s="1107">
        <v>600000</v>
      </c>
    </row>
    <row r="26" spans="1:16">
      <c r="D26" t="s">
        <v>1227</v>
      </c>
      <c r="E26" s="824">
        <v>7782000</v>
      </c>
      <c r="F26" s="824"/>
      <c r="G26" s="824"/>
      <c r="H26" s="824"/>
      <c r="I26" s="824"/>
      <c r="J26" s="824">
        <f t="shared" si="10"/>
        <v>7782000</v>
      </c>
      <c r="K26" s="824">
        <f>SUM(L26:P26)</f>
        <v>7782000</v>
      </c>
      <c r="L26" s="824"/>
      <c r="M26" s="824"/>
      <c r="N26" s="1107">
        <v>2500000</v>
      </c>
      <c r="O26" s="1107">
        <v>2500000</v>
      </c>
      <c r="P26" s="1107">
        <v>2782000</v>
      </c>
    </row>
    <row r="27" spans="1:16" s="464" customFormat="1">
      <c r="A27" s="464" t="s">
        <v>271</v>
      </c>
      <c r="E27" s="1105">
        <f>SUM(E15:E26)</f>
        <v>43834393.189999998</v>
      </c>
      <c r="F27" s="1105">
        <f t="shared" ref="F27:P27" si="12">SUM(F15:F26)</f>
        <v>19668887.599999998</v>
      </c>
      <c r="G27" s="1105">
        <f t="shared" si="12"/>
        <v>11099771.590000002</v>
      </c>
      <c r="H27" s="1105">
        <f t="shared" si="12"/>
        <v>13868590.5</v>
      </c>
      <c r="I27" s="1105">
        <f t="shared" si="12"/>
        <v>61326.559999999998</v>
      </c>
      <c r="J27" s="1105">
        <f t="shared" si="12"/>
        <v>29965802.689999998</v>
      </c>
      <c r="K27" s="1105">
        <f t="shared" si="12"/>
        <v>30027129.249999996</v>
      </c>
      <c r="L27" s="1105">
        <f t="shared" si="12"/>
        <v>6542049.3500000006</v>
      </c>
      <c r="M27" s="1105">
        <f t="shared" si="12"/>
        <v>7434330.9700000007</v>
      </c>
      <c r="N27" s="1105">
        <f t="shared" si="12"/>
        <v>8985014.9299999997</v>
      </c>
      <c r="O27" s="1105">
        <f t="shared" si="12"/>
        <v>3683734</v>
      </c>
      <c r="P27" s="1105">
        <f t="shared" si="12"/>
        <v>3382000</v>
      </c>
    </row>
    <row r="28" spans="1:16">
      <c r="E28" s="730"/>
      <c r="F28" s="730"/>
      <c r="G28" s="730"/>
      <c r="H28" s="730"/>
      <c r="I28" s="730"/>
      <c r="J28" s="730"/>
      <c r="K28" s="730"/>
      <c r="L28" s="730"/>
      <c r="M28" s="730"/>
      <c r="N28" s="730"/>
      <c r="O28" s="730"/>
      <c r="P28" s="730"/>
    </row>
    <row r="29" spans="1:16">
      <c r="D29" t="s">
        <v>1556</v>
      </c>
      <c r="E29" s="824">
        <f>+J29</f>
        <v>2534821.4840000002</v>
      </c>
      <c r="F29" s="824"/>
      <c r="G29" s="824"/>
      <c r="H29" s="824"/>
      <c r="I29" s="824"/>
      <c r="J29" s="824">
        <f>+K29</f>
        <v>2534821.4840000002</v>
      </c>
      <c r="K29" s="824">
        <f>SUM(L29:P29)</f>
        <v>2534821.4840000002</v>
      </c>
      <c r="L29" s="1107">
        <f>429630.76*1.18</f>
        <v>506964.29680000001</v>
      </c>
      <c r="M29" s="1107">
        <v>506964.29680000001</v>
      </c>
      <c r="N29" s="1107">
        <v>506964.29680000001</v>
      </c>
      <c r="O29" s="1107">
        <v>506964.29680000001</v>
      </c>
      <c r="P29" s="1107">
        <v>506964.29680000001</v>
      </c>
    </row>
    <row r="30" spans="1:16" s="464" customFormat="1">
      <c r="A30" s="464" t="s">
        <v>1556</v>
      </c>
      <c r="E30" s="1105">
        <f>SUM(E29)</f>
        <v>2534821.4840000002</v>
      </c>
      <c r="F30" s="1105">
        <f t="shared" ref="F30:P30" si="13">SUM(F29)</f>
        <v>0</v>
      </c>
      <c r="G30" s="1105">
        <f t="shared" si="13"/>
        <v>0</v>
      </c>
      <c r="H30" s="1105">
        <f t="shared" si="13"/>
        <v>0</v>
      </c>
      <c r="I30" s="1105">
        <f t="shared" si="13"/>
        <v>0</v>
      </c>
      <c r="J30" s="1105">
        <f t="shared" si="13"/>
        <v>2534821.4840000002</v>
      </c>
      <c r="K30" s="1105">
        <f t="shared" si="13"/>
        <v>2534821.4840000002</v>
      </c>
      <c r="L30" s="1105">
        <f t="shared" si="13"/>
        <v>506964.29680000001</v>
      </c>
      <c r="M30" s="1105">
        <f t="shared" si="13"/>
        <v>506964.29680000001</v>
      </c>
      <c r="N30" s="1105">
        <f t="shared" si="13"/>
        <v>506964.29680000001</v>
      </c>
      <c r="O30" s="1105">
        <f t="shared" si="13"/>
        <v>506964.29680000001</v>
      </c>
      <c r="P30" s="1105">
        <f t="shared" si="13"/>
        <v>506964.29680000001</v>
      </c>
    </row>
    <row r="31" spans="1:16">
      <c r="E31" s="730"/>
      <c r="F31" s="730"/>
      <c r="G31" s="730"/>
      <c r="H31" s="730"/>
      <c r="I31" s="730"/>
      <c r="J31" s="730"/>
      <c r="K31" s="730"/>
      <c r="L31" s="730"/>
      <c r="M31" s="730"/>
      <c r="N31" s="730"/>
      <c r="O31" s="730"/>
      <c r="P31" s="730"/>
    </row>
    <row r="32" spans="1:16">
      <c r="D32" t="s">
        <v>1229</v>
      </c>
      <c r="E32" s="824">
        <v>19700000</v>
      </c>
      <c r="F32" s="824"/>
      <c r="G32" s="824"/>
      <c r="H32" s="824"/>
      <c r="I32" s="824"/>
      <c r="J32" s="824">
        <f t="shared" ref="J32" si="14">+E32-H32</f>
        <v>19700000</v>
      </c>
      <c r="K32" s="824">
        <f t="shared" ref="K32" si="15">+I32+J32</f>
        <v>19700000</v>
      </c>
      <c r="L32" s="824"/>
      <c r="M32" s="1107">
        <v>3000000</v>
      </c>
      <c r="N32" s="1107">
        <v>5700000</v>
      </c>
      <c r="O32" s="1107">
        <v>5000000</v>
      </c>
      <c r="P32" s="1107">
        <v>6000000</v>
      </c>
    </row>
    <row r="33" spans="1:16" s="464" customFormat="1">
      <c r="A33" s="464" t="s">
        <v>1400</v>
      </c>
      <c r="E33" s="1105">
        <f>SUM(E32)</f>
        <v>19700000</v>
      </c>
      <c r="F33" s="1105">
        <f t="shared" ref="F33:P33" si="16">SUM(F32)</f>
        <v>0</v>
      </c>
      <c r="G33" s="1105">
        <f t="shared" si="16"/>
        <v>0</v>
      </c>
      <c r="H33" s="1105">
        <f t="shared" si="16"/>
        <v>0</v>
      </c>
      <c r="I33" s="1105">
        <f t="shared" si="16"/>
        <v>0</v>
      </c>
      <c r="J33" s="1105">
        <f t="shared" si="16"/>
        <v>19700000</v>
      </c>
      <c r="K33" s="1105">
        <f t="shared" si="16"/>
        <v>19700000</v>
      </c>
      <c r="L33" s="1105">
        <f t="shared" si="16"/>
        <v>0</v>
      </c>
      <c r="M33" s="1105">
        <f t="shared" si="16"/>
        <v>3000000</v>
      </c>
      <c r="N33" s="1105">
        <f t="shared" si="16"/>
        <v>5700000</v>
      </c>
      <c r="O33" s="1105">
        <f t="shared" si="16"/>
        <v>5000000</v>
      </c>
      <c r="P33" s="1105">
        <f t="shared" si="16"/>
        <v>6000000</v>
      </c>
    </row>
    <row r="34" spans="1:16">
      <c r="E34" s="730"/>
      <c r="F34" s="730"/>
      <c r="G34" s="730"/>
      <c r="H34" s="730"/>
      <c r="I34" s="730"/>
      <c r="J34" s="730"/>
      <c r="K34" s="730"/>
      <c r="L34" s="730"/>
      <c r="M34" s="730"/>
      <c r="N34" s="730"/>
      <c r="O34" s="730"/>
      <c r="P34" s="730"/>
    </row>
    <row r="35" spans="1:16">
      <c r="A35" t="s">
        <v>379</v>
      </c>
      <c r="B35" t="s">
        <v>715</v>
      </c>
      <c r="C35" t="s">
        <v>1557</v>
      </c>
      <c r="D35" t="s">
        <v>1558</v>
      </c>
      <c r="E35" s="824">
        <f>+J35</f>
        <v>11800000</v>
      </c>
      <c r="F35" s="824">
        <v>2360000</v>
      </c>
      <c r="G35" s="824">
        <v>0</v>
      </c>
      <c r="H35" s="824"/>
      <c r="I35" s="824"/>
      <c r="J35" s="824">
        <f>+K35</f>
        <v>11800000</v>
      </c>
      <c r="K35" s="824">
        <f>SUM(L35:P35)</f>
        <v>11800000</v>
      </c>
      <c r="L35" s="824">
        <v>2360000</v>
      </c>
      <c r="M35" s="1107">
        <v>2360000</v>
      </c>
      <c r="N35" s="1107">
        <v>2360000</v>
      </c>
      <c r="O35" s="1107">
        <v>2360000</v>
      </c>
      <c r="P35" s="1107">
        <v>2360000</v>
      </c>
    </row>
    <row r="36" spans="1:16">
      <c r="A36" t="s">
        <v>379</v>
      </c>
      <c r="B36" t="s">
        <v>715</v>
      </c>
      <c r="C36" t="s">
        <v>1080</v>
      </c>
      <c r="D36" t="s">
        <v>1081</v>
      </c>
      <c r="E36" s="824">
        <v>391406.77</v>
      </c>
      <c r="F36" s="824">
        <v>304755.19</v>
      </c>
      <c r="G36" s="824">
        <v>86651.58</v>
      </c>
      <c r="H36" s="824"/>
      <c r="I36" s="824"/>
      <c r="J36" s="824">
        <f t="shared" ref="J36:J37" si="17">+E36-H36</f>
        <v>391406.77</v>
      </c>
      <c r="K36" s="824">
        <f t="shared" ref="K36:K37" si="18">+I36+J36</f>
        <v>391406.77</v>
      </c>
      <c r="L36" s="824">
        <v>304755.19</v>
      </c>
      <c r="M36" s="824">
        <f>+K36-L36</f>
        <v>86651.580000000016</v>
      </c>
      <c r="N36" s="824"/>
      <c r="O36" s="824"/>
      <c r="P36" s="824"/>
    </row>
    <row r="37" spans="1:16">
      <c r="A37" t="s">
        <v>379</v>
      </c>
      <c r="B37" t="s">
        <v>715</v>
      </c>
      <c r="C37" t="s">
        <v>1097</v>
      </c>
      <c r="D37" t="s">
        <v>1098</v>
      </c>
      <c r="E37" s="824">
        <v>82287.179999999993</v>
      </c>
      <c r="F37" s="824">
        <v>57857.34</v>
      </c>
      <c r="G37" s="824">
        <v>24429.84</v>
      </c>
      <c r="H37" s="824"/>
      <c r="I37" s="824"/>
      <c r="J37" s="824">
        <f t="shared" si="17"/>
        <v>82287.179999999993</v>
      </c>
      <c r="K37" s="824">
        <f t="shared" si="18"/>
        <v>82287.179999999993</v>
      </c>
      <c r="L37" s="824">
        <v>57857.34</v>
      </c>
      <c r="M37" s="824">
        <f>+K37-L37</f>
        <v>24429.839999999997</v>
      </c>
      <c r="N37" s="824"/>
      <c r="O37" s="824"/>
      <c r="P37" s="824"/>
    </row>
    <row r="38" spans="1:16" s="464" customFormat="1">
      <c r="A38" s="464" t="s">
        <v>379</v>
      </c>
      <c r="E38" s="1105">
        <f t="shared" ref="E38:K38" si="19">SUM(E35:E37)</f>
        <v>12273693.949999999</v>
      </c>
      <c r="F38" s="1105">
        <f t="shared" si="19"/>
        <v>2722612.53</v>
      </c>
      <c r="G38" s="1105">
        <f t="shared" si="19"/>
        <v>111081.42</v>
      </c>
      <c r="H38" s="1105">
        <f t="shared" si="19"/>
        <v>0</v>
      </c>
      <c r="I38" s="1105">
        <f t="shared" si="19"/>
        <v>0</v>
      </c>
      <c r="J38" s="1105">
        <f t="shared" si="19"/>
        <v>12273693.949999999</v>
      </c>
      <c r="K38" s="1105">
        <f t="shared" si="19"/>
        <v>12273693.949999999</v>
      </c>
      <c r="L38" s="1105">
        <f t="shared" ref="L38:P38" si="20">SUM(L35:L37)</f>
        <v>2722612.53</v>
      </c>
      <c r="M38" s="1105">
        <f t="shared" si="20"/>
        <v>2471081.42</v>
      </c>
      <c r="N38" s="1105">
        <f t="shared" si="20"/>
        <v>2360000</v>
      </c>
      <c r="O38" s="1105">
        <f t="shared" si="20"/>
        <v>2360000</v>
      </c>
      <c r="P38" s="1105">
        <f t="shared" si="20"/>
        <v>2360000</v>
      </c>
    </row>
    <row r="39" spans="1:16">
      <c r="E39" s="730"/>
      <c r="F39" s="730"/>
      <c r="G39" s="730"/>
      <c r="H39" s="730"/>
      <c r="I39" s="730"/>
      <c r="J39" s="730"/>
      <c r="K39" s="730"/>
      <c r="L39" s="730"/>
      <c r="M39" s="730"/>
      <c r="N39" s="730"/>
      <c r="O39" s="730"/>
      <c r="P39" s="730"/>
    </row>
    <row r="40" spans="1:16">
      <c r="A40" t="s">
        <v>1559</v>
      </c>
      <c r="B40" t="s">
        <v>715</v>
      </c>
      <c r="C40" t="s">
        <v>1342</v>
      </c>
      <c r="D40" t="s">
        <v>1343</v>
      </c>
      <c r="E40" s="824">
        <v>54785.34</v>
      </c>
      <c r="F40" s="824">
        <v>54785.34</v>
      </c>
      <c r="G40" s="824">
        <v>0</v>
      </c>
      <c r="H40" s="824"/>
      <c r="I40" s="824"/>
      <c r="J40" s="824">
        <f>+E40-H40</f>
        <v>54785.34</v>
      </c>
      <c r="K40" s="824">
        <f>+I40+J40</f>
        <v>54785.34</v>
      </c>
      <c r="L40" s="824">
        <f>+K40</f>
        <v>54785.34</v>
      </c>
      <c r="M40" s="824"/>
      <c r="N40" s="824"/>
      <c r="O40" s="824"/>
      <c r="P40" s="824"/>
    </row>
    <row r="41" spans="1:16">
      <c r="A41" t="s">
        <v>1559</v>
      </c>
      <c r="B41" t="s">
        <v>1045</v>
      </c>
      <c r="C41" t="s">
        <v>1344</v>
      </c>
      <c r="D41" t="s">
        <v>1345</v>
      </c>
      <c r="E41" s="824">
        <v>92323.199999999997</v>
      </c>
      <c r="F41" s="824">
        <v>92323.199999999997</v>
      </c>
      <c r="G41" s="824">
        <v>0</v>
      </c>
      <c r="H41" s="824"/>
      <c r="I41" s="824"/>
      <c r="J41" s="824">
        <f t="shared" ref="J41:J42" si="21">+E41-H41</f>
        <v>92323.199999999997</v>
      </c>
      <c r="K41" s="824">
        <f t="shared" ref="K41:K42" si="22">+I41+J41</f>
        <v>92323.199999999997</v>
      </c>
      <c r="L41" s="824">
        <f>+K41</f>
        <v>92323.199999999997</v>
      </c>
      <c r="M41" s="824"/>
      <c r="N41" s="824"/>
      <c r="O41" s="824"/>
      <c r="P41" s="824"/>
    </row>
    <row r="42" spans="1:16">
      <c r="A42" t="s">
        <v>1559</v>
      </c>
      <c r="B42" t="s">
        <v>1045</v>
      </c>
      <c r="C42" t="s">
        <v>1560</v>
      </c>
      <c r="D42" t="s">
        <v>1561</v>
      </c>
      <c r="E42" s="824">
        <v>92700.800000000003</v>
      </c>
      <c r="F42" s="824">
        <v>92700.800000000003</v>
      </c>
      <c r="G42" s="824">
        <v>0</v>
      </c>
      <c r="H42" s="824"/>
      <c r="I42" s="824"/>
      <c r="J42" s="824">
        <f t="shared" si="21"/>
        <v>92700.800000000003</v>
      </c>
      <c r="K42" s="824">
        <f t="shared" si="22"/>
        <v>92700.800000000003</v>
      </c>
      <c r="L42" s="824"/>
      <c r="M42" s="824">
        <f>+K42</f>
        <v>92700.800000000003</v>
      </c>
      <c r="N42" s="824"/>
      <c r="O42" s="824"/>
      <c r="P42" s="824"/>
    </row>
    <row r="43" spans="1:16">
      <c r="D43" t="s">
        <v>1562</v>
      </c>
      <c r="E43" s="824">
        <f>+J43</f>
        <v>1500000</v>
      </c>
      <c r="F43" s="824"/>
      <c r="G43" s="824"/>
      <c r="H43" s="824"/>
      <c r="I43" s="824"/>
      <c r="J43" s="824">
        <f>+K43</f>
        <v>1500000</v>
      </c>
      <c r="K43" s="824">
        <f>SUM(L43:P43)</f>
        <v>1500000</v>
      </c>
      <c r="L43" s="1107">
        <v>300000</v>
      </c>
      <c r="M43" s="1107">
        <v>300000</v>
      </c>
      <c r="N43" s="1107">
        <v>300000</v>
      </c>
      <c r="O43" s="1107">
        <v>300000</v>
      </c>
      <c r="P43" s="1107">
        <v>300000</v>
      </c>
    </row>
    <row r="44" spans="1:16" s="464" customFormat="1">
      <c r="A44" s="464" t="s">
        <v>1559</v>
      </c>
      <c r="E44" s="1105">
        <f>SUM(E40:E43)</f>
        <v>1739809.3399999999</v>
      </c>
      <c r="F44" s="1105">
        <f t="shared" ref="F44:P44" si="23">SUM(F40:F43)</f>
        <v>239809.33999999997</v>
      </c>
      <c r="G44" s="1105">
        <f t="shared" si="23"/>
        <v>0</v>
      </c>
      <c r="H44" s="1105">
        <f t="shared" si="23"/>
        <v>0</v>
      </c>
      <c r="I44" s="1105">
        <f t="shared" si="23"/>
        <v>0</v>
      </c>
      <c r="J44" s="1105">
        <f t="shared" si="23"/>
        <v>1739809.3399999999</v>
      </c>
      <c r="K44" s="1105">
        <f t="shared" si="23"/>
        <v>1739809.3399999999</v>
      </c>
      <c r="L44" s="1105">
        <f t="shared" si="23"/>
        <v>447108.54</v>
      </c>
      <c r="M44" s="1105">
        <f t="shared" si="23"/>
        <v>392700.8</v>
      </c>
      <c r="N44" s="1105">
        <f t="shared" si="23"/>
        <v>300000</v>
      </c>
      <c r="O44" s="1105">
        <f t="shared" si="23"/>
        <v>300000</v>
      </c>
      <c r="P44" s="1105">
        <f t="shared" si="23"/>
        <v>300000</v>
      </c>
    </row>
    <row r="45" spans="1:16">
      <c r="E45" s="730"/>
      <c r="F45" s="730"/>
      <c r="G45" s="730"/>
      <c r="H45" s="730"/>
      <c r="I45" s="730"/>
      <c r="J45" s="730"/>
      <c r="K45" s="730"/>
      <c r="L45" s="730"/>
      <c r="M45" s="730"/>
      <c r="N45" s="730"/>
      <c r="O45" s="730"/>
      <c r="P45" s="730"/>
    </row>
    <row r="46" spans="1:16">
      <c r="A46" t="s">
        <v>384</v>
      </c>
      <c r="B46" t="s">
        <v>295</v>
      </c>
      <c r="C46" t="s">
        <v>1563</v>
      </c>
      <c r="D46" t="s">
        <v>1564</v>
      </c>
      <c r="E46" s="824">
        <f>+J46</f>
        <v>8850000</v>
      </c>
      <c r="F46" s="824">
        <v>1770000</v>
      </c>
      <c r="G46" s="824">
        <v>0</v>
      </c>
      <c r="H46" s="824"/>
      <c r="I46" s="824"/>
      <c r="J46" s="824">
        <f>+K46</f>
        <v>8850000</v>
      </c>
      <c r="K46" s="824">
        <f>SUM(L46:P46)</f>
        <v>8850000</v>
      </c>
      <c r="L46" s="824">
        <v>1770000</v>
      </c>
      <c r="M46" s="1107">
        <v>1770000</v>
      </c>
      <c r="N46" s="1107">
        <v>1770000</v>
      </c>
      <c r="O46" s="1107">
        <v>1770000</v>
      </c>
      <c r="P46" s="1107">
        <v>1770000</v>
      </c>
    </row>
    <row r="47" spans="1:16" s="464" customFormat="1">
      <c r="A47" s="464" t="s">
        <v>384</v>
      </c>
      <c r="E47" s="1105">
        <f t="shared" ref="E47:K47" si="24">SUM(E46:E46)</f>
        <v>8850000</v>
      </c>
      <c r="F47" s="1105">
        <f t="shared" si="24"/>
        <v>1770000</v>
      </c>
      <c r="G47" s="1105">
        <f t="shared" si="24"/>
        <v>0</v>
      </c>
      <c r="H47" s="1105">
        <f t="shared" si="24"/>
        <v>0</v>
      </c>
      <c r="I47" s="1105">
        <f t="shared" si="24"/>
        <v>0</v>
      </c>
      <c r="J47" s="1105">
        <f t="shared" si="24"/>
        <v>8850000</v>
      </c>
      <c r="K47" s="1105">
        <f t="shared" si="24"/>
        <v>8850000</v>
      </c>
      <c r="L47" s="1105">
        <f t="shared" ref="L47:P47" si="25">SUM(L46:L46)</f>
        <v>1770000</v>
      </c>
      <c r="M47" s="1105">
        <f t="shared" si="25"/>
        <v>1770000</v>
      </c>
      <c r="N47" s="1105">
        <f t="shared" si="25"/>
        <v>1770000</v>
      </c>
      <c r="O47" s="1105">
        <f t="shared" si="25"/>
        <v>1770000</v>
      </c>
      <c r="P47" s="1105">
        <f t="shared" si="25"/>
        <v>1770000</v>
      </c>
    </row>
    <row r="49" spans="1:16">
      <c r="A49" t="s">
        <v>387</v>
      </c>
      <c r="B49" t="s">
        <v>914</v>
      </c>
      <c r="C49" t="s">
        <v>1565</v>
      </c>
      <c r="D49" t="s">
        <v>1566</v>
      </c>
      <c r="E49" s="824">
        <v>586949.81000000006</v>
      </c>
      <c r="F49" s="824">
        <v>586949.81000000006</v>
      </c>
      <c r="G49" s="824">
        <v>0</v>
      </c>
      <c r="H49" s="824"/>
      <c r="I49" s="824"/>
      <c r="J49" s="824">
        <f>+E49-H49</f>
        <v>586949.81000000006</v>
      </c>
      <c r="K49" s="824">
        <f>+I49+J49</f>
        <v>586949.81000000006</v>
      </c>
      <c r="L49" s="824">
        <f>+K49</f>
        <v>586949.81000000006</v>
      </c>
      <c r="M49" s="824"/>
      <c r="N49" s="824"/>
      <c r="O49" s="824"/>
      <c r="P49" s="824"/>
    </row>
    <row r="50" spans="1:16">
      <c r="A50" t="s">
        <v>387</v>
      </c>
      <c r="B50" t="s">
        <v>389</v>
      </c>
      <c r="C50" t="s">
        <v>1347</v>
      </c>
      <c r="D50" t="s">
        <v>1348</v>
      </c>
      <c r="E50" s="824">
        <v>767000</v>
      </c>
      <c r="F50" s="824">
        <v>767000</v>
      </c>
      <c r="G50" s="824">
        <v>0</v>
      </c>
      <c r="H50" s="824">
        <v>467000</v>
      </c>
      <c r="I50" s="824"/>
      <c r="J50" s="824">
        <f t="shared" ref="J50:J54" si="26">+E50-H50</f>
        <v>300000</v>
      </c>
      <c r="K50" s="824">
        <f t="shared" ref="K50:K55" si="27">+I50+J50</f>
        <v>300000</v>
      </c>
      <c r="L50" s="824">
        <f t="shared" ref="L50:L55" si="28">+K50</f>
        <v>300000</v>
      </c>
      <c r="M50" s="824"/>
      <c r="N50" s="824"/>
      <c r="O50" s="824"/>
      <c r="P50" s="824"/>
    </row>
    <row r="51" spans="1:16">
      <c r="A51" t="s">
        <v>387</v>
      </c>
      <c r="B51" t="s">
        <v>778</v>
      </c>
      <c r="C51" t="s">
        <v>1567</v>
      </c>
      <c r="D51" t="s">
        <v>1568</v>
      </c>
      <c r="E51" s="824">
        <f>+J51</f>
        <v>4741719.5</v>
      </c>
      <c r="F51" s="824">
        <v>941719.5</v>
      </c>
      <c r="G51" s="824">
        <v>0</v>
      </c>
      <c r="H51" s="824"/>
      <c r="I51" s="824"/>
      <c r="J51" s="824">
        <f>+K51</f>
        <v>4741719.5</v>
      </c>
      <c r="K51" s="824">
        <f>SUM(L51:P51)</f>
        <v>4741719.5</v>
      </c>
      <c r="L51" s="824">
        <v>941719.5</v>
      </c>
      <c r="M51" s="1107">
        <v>950000</v>
      </c>
      <c r="N51" s="1107">
        <v>950000</v>
      </c>
      <c r="O51" s="1107">
        <v>950000</v>
      </c>
      <c r="P51" s="1107">
        <v>950000</v>
      </c>
    </row>
    <row r="52" spans="1:16">
      <c r="A52" t="s">
        <v>387</v>
      </c>
      <c r="B52" t="s">
        <v>1569</v>
      </c>
      <c r="C52" t="s">
        <v>1570</v>
      </c>
      <c r="D52" t="s">
        <v>1566</v>
      </c>
      <c r="E52" s="824">
        <v>6059720.1399999997</v>
      </c>
      <c r="F52" s="824">
        <v>6059720.1399999997</v>
      </c>
      <c r="G52" s="824">
        <v>0</v>
      </c>
      <c r="H52" s="824"/>
      <c r="I52" s="824"/>
      <c r="J52" s="824">
        <f t="shared" si="26"/>
        <v>6059720.1399999997</v>
      </c>
      <c r="K52" s="824">
        <f t="shared" si="27"/>
        <v>6059720.1399999997</v>
      </c>
      <c r="L52" s="824">
        <f t="shared" si="28"/>
        <v>6059720.1399999997</v>
      </c>
      <c r="M52" s="824"/>
      <c r="N52" s="824"/>
      <c r="O52" s="824"/>
      <c r="P52" s="824"/>
    </row>
    <row r="53" spans="1:16">
      <c r="A53" t="s">
        <v>387</v>
      </c>
      <c r="B53" t="s">
        <v>389</v>
      </c>
      <c r="C53" t="s">
        <v>1571</v>
      </c>
      <c r="D53" t="s">
        <v>1572</v>
      </c>
      <c r="E53" s="824">
        <v>1006538.05</v>
      </c>
      <c r="F53" s="824">
        <v>1006538.05</v>
      </c>
      <c r="G53" s="824">
        <v>0</v>
      </c>
      <c r="H53" s="824"/>
      <c r="I53" s="824"/>
      <c r="J53" s="824">
        <f t="shared" si="26"/>
        <v>1006538.05</v>
      </c>
      <c r="K53" s="824">
        <f t="shared" si="27"/>
        <v>1006538.05</v>
      </c>
      <c r="L53" s="824">
        <f t="shared" si="28"/>
        <v>1006538.05</v>
      </c>
      <c r="M53" s="824"/>
      <c r="N53" s="824"/>
      <c r="O53" s="824"/>
      <c r="P53" s="824"/>
    </row>
    <row r="54" spans="1:16">
      <c r="A54" t="s">
        <v>387</v>
      </c>
      <c r="B54" t="s">
        <v>914</v>
      </c>
      <c r="C54" t="s">
        <v>1573</v>
      </c>
      <c r="D54" t="s">
        <v>1572</v>
      </c>
      <c r="E54" s="824">
        <v>3806961.31</v>
      </c>
      <c r="F54" s="824">
        <v>3806961.31</v>
      </c>
      <c r="G54" s="824">
        <v>0</v>
      </c>
      <c r="H54" s="824"/>
      <c r="I54" s="824"/>
      <c r="J54" s="824">
        <f t="shared" si="26"/>
        <v>3806961.31</v>
      </c>
      <c r="K54" s="824">
        <f t="shared" si="27"/>
        <v>3806961.31</v>
      </c>
      <c r="L54" s="824">
        <f t="shared" si="28"/>
        <v>3806961.31</v>
      </c>
      <c r="M54" s="824"/>
      <c r="N54" s="824"/>
      <c r="O54" s="824"/>
      <c r="P54" s="824"/>
    </row>
    <row r="55" spans="1:16">
      <c r="A55" t="s">
        <v>387</v>
      </c>
      <c r="B55" t="s">
        <v>1569</v>
      </c>
      <c r="D55" t="s">
        <v>1572</v>
      </c>
      <c r="E55" s="824">
        <f>24086.16*62.3151</f>
        <v>1500931.4690159999</v>
      </c>
      <c r="F55" s="824"/>
      <c r="G55" s="824"/>
      <c r="H55" s="824"/>
      <c r="I55" s="824"/>
      <c r="J55" s="824">
        <f>+E55</f>
        <v>1500931.4690159999</v>
      </c>
      <c r="K55" s="824">
        <f t="shared" si="27"/>
        <v>1500931.4690159999</v>
      </c>
      <c r="L55" s="1107">
        <f t="shared" si="28"/>
        <v>1500931.4690159999</v>
      </c>
      <c r="M55" s="824"/>
      <c r="N55" s="824"/>
      <c r="O55" s="824"/>
      <c r="P55" s="824"/>
    </row>
    <row r="56" spans="1:16">
      <c r="A56" t="s">
        <v>387</v>
      </c>
      <c r="B56" t="s">
        <v>389</v>
      </c>
      <c r="C56" t="s">
        <v>1574</v>
      </c>
      <c r="D56" t="s">
        <v>1575</v>
      </c>
      <c r="E56" s="824">
        <f>+J56</f>
        <v>3835000</v>
      </c>
      <c r="F56" s="824">
        <v>767000</v>
      </c>
      <c r="G56" s="824">
        <v>0</v>
      </c>
      <c r="H56" s="824"/>
      <c r="I56" s="824"/>
      <c r="J56" s="824">
        <f>+K56</f>
        <v>3835000</v>
      </c>
      <c r="K56" s="824">
        <f>SUM(L56:P56)</f>
        <v>3835000</v>
      </c>
      <c r="L56" s="824">
        <v>767000</v>
      </c>
      <c r="M56" s="1108">
        <v>767000</v>
      </c>
      <c r="N56" s="1107">
        <v>767000</v>
      </c>
      <c r="O56" s="1107">
        <v>767000</v>
      </c>
      <c r="P56" s="1107">
        <v>767000</v>
      </c>
    </row>
    <row r="57" spans="1:16">
      <c r="D57" t="s">
        <v>1576</v>
      </c>
      <c r="E57" s="824">
        <f>+J57</f>
        <v>48781600.000000007</v>
      </c>
      <c r="F57" s="824"/>
      <c r="G57" s="824"/>
      <c r="H57" s="824"/>
      <c r="I57" s="824"/>
      <c r="J57" s="824">
        <f>+K57</f>
        <v>48781600.000000007</v>
      </c>
      <c r="K57" s="824">
        <f>SUM(L57:P57)</f>
        <v>48781600.000000007</v>
      </c>
      <c r="L57" s="824"/>
      <c r="M57" s="1107">
        <v>12195400.000000002</v>
      </c>
      <c r="N57" s="1107">
        <v>12195400.000000002</v>
      </c>
      <c r="O57" s="1107">
        <v>12195400.000000002</v>
      </c>
      <c r="P57" s="1107">
        <v>12195400.000000002</v>
      </c>
    </row>
    <row r="58" spans="1:16" s="464" customFormat="1">
      <c r="A58" s="464" t="s">
        <v>387</v>
      </c>
      <c r="E58" s="1105">
        <f>SUM(E49:E57)</f>
        <v>71086420.279016003</v>
      </c>
      <c r="F58" s="1105">
        <f t="shared" ref="F58:P58" si="29">SUM(F49:F57)</f>
        <v>13935888.810000001</v>
      </c>
      <c r="G58" s="1105">
        <f t="shared" si="29"/>
        <v>0</v>
      </c>
      <c r="H58" s="1105">
        <f t="shared" si="29"/>
        <v>467000</v>
      </c>
      <c r="I58" s="1105">
        <f t="shared" si="29"/>
        <v>0</v>
      </c>
      <c r="J58" s="1105">
        <f t="shared" si="29"/>
        <v>70619420.279016003</v>
      </c>
      <c r="K58" s="1105">
        <f t="shared" si="29"/>
        <v>70619420.279016003</v>
      </c>
      <c r="L58" s="1105">
        <f t="shared" si="29"/>
        <v>14969820.279016001</v>
      </c>
      <c r="M58" s="1105">
        <f t="shared" si="29"/>
        <v>13912400.000000002</v>
      </c>
      <c r="N58" s="1105">
        <f t="shared" si="29"/>
        <v>13912400.000000002</v>
      </c>
      <c r="O58" s="1105">
        <f t="shared" si="29"/>
        <v>13912400.000000002</v>
      </c>
      <c r="P58" s="1105">
        <f t="shared" si="29"/>
        <v>13912400.000000002</v>
      </c>
    </row>
    <row r="59" spans="1:16" s="433" customFormat="1">
      <c r="E59" s="1106"/>
      <c r="F59" s="1106"/>
      <c r="G59" s="1106"/>
      <c r="H59" s="1106"/>
      <c r="I59" s="1106"/>
      <c r="J59" s="1106"/>
      <c r="K59" s="1106"/>
      <c r="L59" s="1106"/>
      <c r="M59" s="1106"/>
      <c r="N59" s="1106"/>
      <c r="O59" s="1106"/>
      <c r="P59" s="1106"/>
    </row>
    <row r="60" spans="1:16">
      <c r="E60" s="730">
        <f>+J60</f>
        <v>1250000</v>
      </c>
      <c r="F60" s="730">
        <v>1</v>
      </c>
      <c r="G60" s="730">
        <v>1</v>
      </c>
      <c r="H60" s="730"/>
      <c r="I60" s="730"/>
      <c r="J60" s="824">
        <f>+K60</f>
        <v>1250000</v>
      </c>
      <c r="K60" s="730">
        <f>SUM(L60:P60)</f>
        <v>1250000</v>
      </c>
      <c r="L60" s="1107">
        <v>250000</v>
      </c>
      <c r="M60" s="1107">
        <v>250000</v>
      </c>
      <c r="N60" s="1107">
        <v>250000</v>
      </c>
      <c r="O60" s="1107">
        <v>250000</v>
      </c>
      <c r="P60" s="1107">
        <v>250000</v>
      </c>
    </row>
    <row r="61" spans="1:16" s="464" customFormat="1">
      <c r="A61" s="464" t="s">
        <v>291</v>
      </c>
      <c r="E61" s="1105">
        <f>SUM(E60)</f>
        <v>1250000</v>
      </c>
      <c r="F61" s="1105">
        <f t="shared" ref="F61:K61" si="30">SUM(F60)</f>
        <v>1</v>
      </c>
      <c r="G61" s="1105">
        <f t="shared" si="30"/>
        <v>1</v>
      </c>
      <c r="H61" s="1105">
        <f t="shared" si="30"/>
        <v>0</v>
      </c>
      <c r="I61" s="1105">
        <f t="shared" si="30"/>
        <v>0</v>
      </c>
      <c r="J61" s="1105">
        <f t="shared" si="30"/>
        <v>1250000</v>
      </c>
      <c r="K61" s="1105">
        <f t="shared" si="30"/>
        <v>1250000</v>
      </c>
      <c r="L61" s="1105">
        <f t="shared" ref="L61" si="31">SUM(L60)</f>
        <v>250000</v>
      </c>
      <c r="M61" s="1105">
        <f t="shared" ref="M61" si="32">SUM(M60)</f>
        <v>250000</v>
      </c>
      <c r="N61" s="1105">
        <f t="shared" ref="N61" si="33">SUM(N60)</f>
        <v>250000</v>
      </c>
      <c r="O61" s="1105">
        <f t="shared" ref="O61" si="34">SUM(O60)</f>
        <v>250000</v>
      </c>
      <c r="P61" s="1105">
        <f t="shared" ref="P61" si="35">SUM(P60)</f>
        <v>250000</v>
      </c>
    </row>
    <row r="62" spans="1:16">
      <c r="E62" s="730"/>
      <c r="F62" s="730"/>
      <c r="G62" s="730"/>
      <c r="H62" s="730"/>
      <c r="I62" s="730"/>
      <c r="J62" s="730"/>
      <c r="K62" s="730"/>
      <c r="L62" s="730"/>
      <c r="M62" s="730"/>
      <c r="N62" s="730"/>
      <c r="O62" s="730"/>
      <c r="P62" s="730"/>
    </row>
    <row r="63" spans="1:16">
      <c r="A63" t="s">
        <v>416</v>
      </c>
      <c r="B63" t="s">
        <v>389</v>
      </c>
      <c r="C63" t="s">
        <v>1577</v>
      </c>
      <c r="D63" t="s">
        <v>1578</v>
      </c>
      <c r="E63" s="824">
        <v>144698.68</v>
      </c>
      <c r="F63" s="824">
        <v>144698.68</v>
      </c>
      <c r="G63" s="824">
        <v>0</v>
      </c>
      <c r="H63" s="824"/>
      <c r="I63" s="824"/>
      <c r="J63" s="824">
        <f>+E63-H63</f>
        <v>144698.68</v>
      </c>
      <c r="K63" s="824">
        <f>+I63+J63</f>
        <v>144698.68</v>
      </c>
      <c r="L63" s="824">
        <f>+K63</f>
        <v>144698.68</v>
      </c>
      <c r="M63" s="824"/>
      <c r="N63" s="824"/>
      <c r="O63" s="824"/>
      <c r="P63" s="824"/>
    </row>
    <row r="64" spans="1:16">
      <c r="A64" t="s">
        <v>416</v>
      </c>
      <c r="B64" t="s">
        <v>1254</v>
      </c>
      <c r="C64" t="s">
        <v>1255</v>
      </c>
      <c r="D64" t="s">
        <v>1365</v>
      </c>
      <c r="E64" s="824">
        <v>277890</v>
      </c>
      <c r="F64" s="824">
        <v>277890</v>
      </c>
      <c r="G64" s="824">
        <v>0</v>
      </c>
      <c r="H64" s="824">
        <v>121586.5</v>
      </c>
      <c r="I64" s="824"/>
      <c r="J64" s="824">
        <f t="shared" ref="J64:J89" si="36">+E64-H64</f>
        <v>156303.5</v>
      </c>
      <c r="K64" s="824">
        <f t="shared" ref="K64:K89" si="37">+I64+J64</f>
        <v>156303.5</v>
      </c>
      <c r="L64" s="824">
        <f>+K64</f>
        <v>156303.5</v>
      </c>
      <c r="M64" s="824"/>
      <c r="N64" s="824"/>
      <c r="O64" s="824"/>
      <c r="P64" s="824"/>
    </row>
    <row r="65" spans="1:16">
      <c r="A65" t="s">
        <v>416</v>
      </c>
      <c r="B65" t="s">
        <v>1316</v>
      </c>
      <c r="C65" t="s">
        <v>1355</v>
      </c>
      <c r="D65" t="s">
        <v>1356</v>
      </c>
      <c r="E65" s="824">
        <v>32500</v>
      </c>
      <c r="F65" s="824">
        <v>32500</v>
      </c>
      <c r="G65" s="824">
        <v>0</v>
      </c>
      <c r="H65" s="824">
        <v>32500</v>
      </c>
      <c r="I65" s="824">
        <f>+'Reembolsos MMHB 07-25'!E24</f>
        <v>16250</v>
      </c>
      <c r="J65" s="824">
        <f t="shared" si="36"/>
        <v>0</v>
      </c>
      <c r="K65" s="824">
        <f t="shared" si="37"/>
        <v>16250</v>
      </c>
      <c r="L65" s="824">
        <f>+K65</f>
        <v>16250</v>
      </c>
      <c r="M65" s="824"/>
      <c r="N65" s="824"/>
      <c r="O65" s="824"/>
      <c r="P65" s="824"/>
    </row>
    <row r="66" spans="1:16">
      <c r="A66" t="s">
        <v>416</v>
      </c>
      <c r="B66" t="s">
        <v>1207</v>
      </c>
      <c r="C66" t="s">
        <v>1240</v>
      </c>
      <c r="D66" t="s">
        <v>1241</v>
      </c>
      <c r="E66" s="824">
        <v>176528</v>
      </c>
      <c r="F66" s="824">
        <v>176528</v>
      </c>
      <c r="G66" s="824">
        <v>0</v>
      </c>
      <c r="H66" s="824">
        <v>44132</v>
      </c>
      <c r="I66" s="824"/>
      <c r="J66" s="824">
        <f t="shared" si="36"/>
        <v>132396</v>
      </c>
      <c r="K66" s="824">
        <f t="shared" si="37"/>
        <v>132396</v>
      </c>
      <c r="L66" s="824">
        <f>+K66</f>
        <v>132396</v>
      </c>
      <c r="M66" s="824"/>
      <c r="N66" s="824"/>
      <c r="O66" s="824"/>
      <c r="P66" s="824"/>
    </row>
    <row r="67" spans="1:16">
      <c r="A67" t="s">
        <v>416</v>
      </c>
      <c r="B67" t="s">
        <v>1049</v>
      </c>
      <c r="C67" t="s">
        <v>1264</v>
      </c>
      <c r="D67" t="s">
        <v>1359</v>
      </c>
      <c r="E67" s="824">
        <v>80000</v>
      </c>
      <c r="F67" s="824">
        <v>80000</v>
      </c>
      <c r="G67" s="824">
        <v>0</v>
      </c>
      <c r="H67" s="824">
        <v>80000</v>
      </c>
      <c r="I67" s="824">
        <f>+'Reembolsos MMHB 07-25'!E28+'Reembolsos MMHB 07-25'!E34</f>
        <v>80000</v>
      </c>
      <c r="J67" s="824">
        <f t="shared" si="36"/>
        <v>0</v>
      </c>
      <c r="K67" s="824">
        <f t="shared" si="37"/>
        <v>80000</v>
      </c>
      <c r="L67" s="824">
        <f>+K67</f>
        <v>80000</v>
      </c>
      <c r="M67" s="824"/>
      <c r="N67" s="824"/>
      <c r="O67" s="824"/>
      <c r="P67" s="824"/>
    </row>
    <row r="68" spans="1:16">
      <c r="A68" t="s">
        <v>416</v>
      </c>
      <c r="B68" t="s">
        <v>1579</v>
      </c>
      <c r="C68" t="s">
        <v>1580</v>
      </c>
      <c r="D68" t="s">
        <v>1581</v>
      </c>
      <c r="E68" s="824">
        <v>95674.4</v>
      </c>
      <c r="F68" s="824">
        <v>95674.4</v>
      </c>
      <c r="G68" s="824">
        <v>0</v>
      </c>
      <c r="H68" s="824"/>
      <c r="I68" s="824"/>
      <c r="J68" s="824">
        <f t="shared" si="36"/>
        <v>95674.4</v>
      </c>
      <c r="K68" s="824">
        <f t="shared" si="37"/>
        <v>95674.4</v>
      </c>
      <c r="L68" s="730"/>
      <c r="M68" s="824">
        <f>+K68</f>
        <v>95674.4</v>
      </c>
      <c r="N68" s="824"/>
      <c r="O68" s="824"/>
      <c r="P68" s="824"/>
    </row>
    <row r="69" spans="1:16">
      <c r="A69" t="s">
        <v>416</v>
      </c>
      <c r="B69" t="s">
        <v>1043</v>
      </c>
      <c r="C69" t="s">
        <v>1137</v>
      </c>
      <c r="D69" t="s">
        <v>1138</v>
      </c>
      <c r="E69" s="824">
        <v>53502.559999999998</v>
      </c>
      <c r="F69" s="824">
        <v>51841.17</v>
      </c>
      <c r="G69" s="824">
        <v>1661.39</v>
      </c>
      <c r="H69" s="824">
        <f>38973.9</f>
        <v>38973.9</v>
      </c>
      <c r="I69" s="824">
        <f>+'Reembolsos MMHB 07-25'!E29</f>
        <v>12761.28</v>
      </c>
      <c r="J69" s="824">
        <f t="shared" si="36"/>
        <v>14528.659999999996</v>
      </c>
      <c r="K69" s="824">
        <f t="shared" si="37"/>
        <v>27289.939999999995</v>
      </c>
      <c r="L69" s="824">
        <f>+K69</f>
        <v>27289.939999999995</v>
      </c>
      <c r="M69" s="824"/>
      <c r="N69" s="824"/>
      <c r="O69" s="824"/>
      <c r="P69" s="824"/>
    </row>
    <row r="70" spans="1:16">
      <c r="A70" t="s">
        <v>416</v>
      </c>
      <c r="B70" t="s">
        <v>1367</v>
      </c>
      <c r="C70" t="s">
        <v>1260</v>
      </c>
      <c r="D70" t="s">
        <v>1369</v>
      </c>
      <c r="E70" s="824">
        <v>2269989.6</v>
      </c>
      <c r="F70" s="824">
        <v>2269989.6</v>
      </c>
      <c r="G70" s="824">
        <v>0</v>
      </c>
      <c r="H70" s="824">
        <v>1134994.8</v>
      </c>
      <c r="I70" s="1112"/>
      <c r="J70" s="824">
        <f t="shared" si="36"/>
        <v>1134994.8</v>
      </c>
      <c r="K70" s="824">
        <f>+I70+J70</f>
        <v>1134994.8</v>
      </c>
      <c r="L70" s="824">
        <f>+K70</f>
        <v>1134994.8</v>
      </c>
      <c r="M70" s="824"/>
      <c r="N70" s="824"/>
      <c r="O70" s="824"/>
      <c r="P70" s="824"/>
    </row>
    <row r="71" spans="1:16">
      <c r="A71" t="s">
        <v>416</v>
      </c>
      <c r="B71" t="s">
        <v>1049</v>
      </c>
      <c r="C71" t="s">
        <v>1244</v>
      </c>
      <c r="D71" t="s">
        <v>1245</v>
      </c>
      <c r="E71" s="824">
        <v>78881.960000000006</v>
      </c>
      <c r="F71" s="824">
        <v>78881.960000000006</v>
      </c>
      <c r="G71" s="824">
        <v>0</v>
      </c>
      <c r="H71" s="824">
        <v>78881.960000000006</v>
      </c>
      <c r="I71" s="824">
        <f>+'Reembolsos MMHB 07-25'!E25+'Reembolsos MMHB 07-25'!E26</f>
        <v>78881.959999999992</v>
      </c>
      <c r="J71" s="824">
        <f t="shared" si="36"/>
        <v>0</v>
      </c>
      <c r="K71" s="824">
        <f t="shared" si="37"/>
        <v>78881.959999999992</v>
      </c>
      <c r="L71" s="824">
        <f>+K71</f>
        <v>78881.959999999992</v>
      </c>
      <c r="M71" s="824"/>
      <c r="N71" s="824"/>
      <c r="O71" s="824"/>
      <c r="P71" s="824"/>
    </row>
    <row r="72" spans="1:16">
      <c r="A72" t="s">
        <v>416</v>
      </c>
      <c r="B72" t="s">
        <v>1045</v>
      </c>
      <c r="C72" t="s">
        <v>1132</v>
      </c>
      <c r="D72" t="s">
        <v>1133</v>
      </c>
      <c r="E72" s="824">
        <v>92323.199999999997</v>
      </c>
      <c r="F72" s="824">
        <v>92323.199999999997</v>
      </c>
      <c r="G72" s="824">
        <v>0</v>
      </c>
      <c r="H72" s="824"/>
      <c r="I72" s="824"/>
      <c r="J72" s="824">
        <f t="shared" si="36"/>
        <v>92323.199999999997</v>
      </c>
      <c r="K72" s="824">
        <f t="shared" si="37"/>
        <v>92323.199999999997</v>
      </c>
      <c r="L72" s="824">
        <f>+K72</f>
        <v>92323.199999999997</v>
      </c>
      <c r="M72" s="824"/>
      <c r="N72" s="824"/>
      <c r="O72" s="824"/>
      <c r="P72" s="824"/>
    </row>
    <row r="73" spans="1:16">
      <c r="A73" t="s">
        <v>416</v>
      </c>
      <c r="B73" t="s">
        <v>740</v>
      </c>
      <c r="C73" t="s">
        <v>938</v>
      </c>
      <c r="D73" t="s">
        <v>1126</v>
      </c>
      <c r="E73" s="824">
        <v>273279.15000000002</v>
      </c>
      <c r="F73" s="824">
        <v>0</v>
      </c>
      <c r="G73" s="824">
        <v>273279.15000000002</v>
      </c>
      <c r="H73" s="824"/>
      <c r="I73" s="824"/>
      <c r="J73" s="824">
        <f t="shared" si="36"/>
        <v>273279.15000000002</v>
      </c>
      <c r="K73" s="824">
        <f t="shared" si="37"/>
        <v>273279.15000000002</v>
      </c>
      <c r="L73" s="824"/>
      <c r="M73" s="824">
        <f>+K73</f>
        <v>273279.15000000002</v>
      </c>
      <c r="N73" s="824"/>
      <c r="O73" s="824"/>
      <c r="P73" s="824"/>
    </row>
    <row r="74" spans="1:16">
      <c r="A74" t="s">
        <v>416</v>
      </c>
      <c r="B74" t="s">
        <v>1043</v>
      </c>
      <c r="C74" t="s">
        <v>1357</v>
      </c>
      <c r="D74" t="s">
        <v>1358</v>
      </c>
      <c r="E74" s="824">
        <v>57977.56</v>
      </c>
      <c r="F74" s="824">
        <v>43827.57</v>
      </c>
      <c r="G74" s="824">
        <v>14149.99</v>
      </c>
      <c r="H74" s="824">
        <v>14494.39</v>
      </c>
      <c r="I74" s="824"/>
      <c r="J74" s="824">
        <f t="shared" si="36"/>
        <v>43483.17</v>
      </c>
      <c r="K74" s="824">
        <f t="shared" si="37"/>
        <v>43483.17</v>
      </c>
      <c r="L74" s="824">
        <f>+K74</f>
        <v>43483.17</v>
      </c>
      <c r="M74" s="824"/>
      <c r="N74" s="824"/>
      <c r="O74" s="824"/>
      <c r="P74" s="824"/>
    </row>
    <row r="75" spans="1:16">
      <c r="A75" t="s">
        <v>416</v>
      </c>
      <c r="B75" t="s">
        <v>1049</v>
      </c>
      <c r="C75" t="s">
        <v>1262</v>
      </c>
      <c r="D75" t="s">
        <v>1362</v>
      </c>
      <c r="E75" s="824">
        <v>155910.14000000001</v>
      </c>
      <c r="F75" s="824">
        <v>155910.14000000001</v>
      </c>
      <c r="G75" s="824">
        <v>0</v>
      </c>
      <c r="H75" s="824">
        <v>155910.12</v>
      </c>
      <c r="I75" s="824">
        <f>+'Reembolsos MMHB 07-25'!E31+'Reembolsos MMHB 07-25'!E33</f>
        <v>155910.12</v>
      </c>
      <c r="J75" s="824">
        <f t="shared" si="36"/>
        <v>2.0000000018626451E-2</v>
      </c>
      <c r="K75" s="824">
        <f t="shared" si="37"/>
        <v>155910.14000000001</v>
      </c>
      <c r="L75" s="824">
        <f>+K75</f>
        <v>155910.14000000001</v>
      </c>
      <c r="M75" s="824"/>
      <c r="N75" s="824"/>
      <c r="O75" s="824"/>
      <c r="P75" s="824"/>
    </row>
    <row r="76" spans="1:16">
      <c r="A76" t="s">
        <v>416</v>
      </c>
      <c r="B76" t="s">
        <v>756</v>
      </c>
      <c r="C76" t="s">
        <v>1582</v>
      </c>
      <c r="D76" t="s">
        <v>1583</v>
      </c>
      <c r="E76" s="824">
        <v>264792</v>
      </c>
      <c r="F76" s="824">
        <v>88264</v>
      </c>
      <c r="G76" s="824">
        <v>176528</v>
      </c>
      <c r="H76" s="824"/>
      <c r="I76" s="824"/>
      <c r="J76" s="824">
        <f t="shared" si="36"/>
        <v>264792</v>
      </c>
      <c r="K76" s="824">
        <f t="shared" si="37"/>
        <v>264792</v>
      </c>
      <c r="L76" s="824">
        <v>88264</v>
      </c>
      <c r="M76" s="824">
        <v>88264</v>
      </c>
      <c r="N76" s="824">
        <v>88264</v>
      </c>
      <c r="O76" s="824"/>
      <c r="P76" s="824"/>
    </row>
    <row r="77" spans="1:16">
      <c r="A77" t="s">
        <v>416</v>
      </c>
      <c r="B77" t="s">
        <v>1367</v>
      </c>
      <c r="C77" t="s">
        <v>1258</v>
      </c>
      <c r="D77" t="s">
        <v>1368</v>
      </c>
      <c r="E77" s="824">
        <v>988840</v>
      </c>
      <c r="F77" s="824">
        <v>988840</v>
      </c>
      <c r="G77" s="824">
        <v>0</v>
      </c>
      <c r="H77" s="824"/>
      <c r="I77" s="824"/>
      <c r="J77" s="824">
        <f t="shared" si="36"/>
        <v>988840</v>
      </c>
      <c r="K77" s="824">
        <f t="shared" si="37"/>
        <v>988840</v>
      </c>
      <c r="L77" s="824">
        <f t="shared" ref="L77:L84" si="38">+K77</f>
        <v>988840</v>
      </c>
      <c r="M77" s="824"/>
      <c r="N77" s="824"/>
      <c r="O77" s="824"/>
      <c r="P77" s="824"/>
    </row>
    <row r="78" spans="1:16">
      <c r="A78" t="s">
        <v>416</v>
      </c>
      <c r="B78" t="s">
        <v>746</v>
      </c>
      <c r="C78" t="s">
        <v>1248</v>
      </c>
      <c r="D78" t="s">
        <v>1249</v>
      </c>
      <c r="E78" s="824">
        <v>63720</v>
      </c>
      <c r="F78" s="824">
        <v>63720</v>
      </c>
      <c r="G78" s="824">
        <v>0</v>
      </c>
      <c r="H78" s="824">
        <v>41508</v>
      </c>
      <c r="I78" s="824">
        <f>+'Reembolsos MMHB 07-25'!E30</f>
        <v>21240</v>
      </c>
      <c r="J78" s="824">
        <f t="shared" si="36"/>
        <v>22212</v>
      </c>
      <c r="K78" s="824">
        <f t="shared" si="37"/>
        <v>43452</v>
      </c>
      <c r="L78" s="824">
        <f t="shared" si="38"/>
        <v>43452</v>
      </c>
      <c r="M78" s="824"/>
      <c r="N78" s="824"/>
      <c r="O78" s="824"/>
      <c r="P78" s="824"/>
    </row>
    <row r="79" spans="1:16">
      <c r="A79" t="s">
        <v>416</v>
      </c>
      <c r="B79" t="s">
        <v>856</v>
      </c>
      <c r="C79" t="s">
        <v>1353</v>
      </c>
      <c r="D79" t="s">
        <v>1354</v>
      </c>
      <c r="E79" s="824">
        <v>826</v>
      </c>
      <c r="F79" s="824">
        <v>826</v>
      </c>
      <c r="G79" s="824">
        <v>0</v>
      </c>
      <c r="H79" s="824"/>
      <c r="I79" s="824"/>
      <c r="J79" s="824">
        <f t="shared" si="36"/>
        <v>826</v>
      </c>
      <c r="K79" s="824">
        <f t="shared" si="37"/>
        <v>826</v>
      </c>
      <c r="L79" s="824">
        <f t="shared" si="38"/>
        <v>826</v>
      </c>
      <c r="M79" s="824"/>
      <c r="N79" s="824"/>
      <c r="O79" s="824"/>
      <c r="P79" s="824"/>
    </row>
    <row r="80" spans="1:16">
      <c r="A80" t="s">
        <v>416</v>
      </c>
      <c r="B80" t="s">
        <v>420</v>
      </c>
      <c r="C80" t="s">
        <v>928</v>
      </c>
      <c r="D80" t="s">
        <v>1123</v>
      </c>
      <c r="E80" s="824">
        <v>1994976.42</v>
      </c>
      <c r="F80" s="824">
        <v>1818717.89</v>
      </c>
      <c r="G80" s="824">
        <v>176258.53</v>
      </c>
      <c r="H80" s="824">
        <v>1805934.01</v>
      </c>
      <c r="I80" s="824"/>
      <c r="J80" s="824">
        <f t="shared" si="36"/>
        <v>189042.40999999992</v>
      </c>
      <c r="K80" s="824">
        <f t="shared" si="37"/>
        <v>189042.40999999992</v>
      </c>
      <c r="L80" s="824">
        <f t="shared" si="38"/>
        <v>189042.40999999992</v>
      </c>
      <c r="M80" s="824"/>
      <c r="N80" s="824"/>
      <c r="O80" s="824"/>
      <c r="P80" s="824"/>
    </row>
    <row r="81" spans="1:16">
      <c r="A81" t="s">
        <v>416</v>
      </c>
      <c r="B81" t="s">
        <v>935</v>
      </c>
      <c r="C81" t="s">
        <v>1266</v>
      </c>
      <c r="D81" t="s">
        <v>1366</v>
      </c>
      <c r="E81" s="824">
        <v>337480</v>
      </c>
      <c r="F81" s="824">
        <v>337480</v>
      </c>
      <c r="G81" s="824">
        <v>0</v>
      </c>
      <c r="H81" s="824"/>
      <c r="I81" s="824"/>
      <c r="J81" s="824">
        <f t="shared" si="36"/>
        <v>337480</v>
      </c>
      <c r="K81" s="824">
        <f t="shared" si="37"/>
        <v>337480</v>
      </c>
      <c r="L81" s="824">
        <f t="shared" si="38"/>
        <v>337480</v>
      </c>
      <c r="M81" s="824"/>
      <c r="N81" s="824"/>
      <c r="O81" s="824"/>
      <c r="P81" s="824"/>
    </row>
    <row r="82" spans="1:16">
      <c r="A82" t="s">
        <v>416</v>
      </c>
      <c r="B82" t="s">
        <v>715</v>
      </c>
      <c r="C82" t="s">
        <v>1342</v>
      </c>
      <c r="D82" t="s">
        <v>1343</v>
      </c>
      <c r="E82" s="824">
        <v>258175.66</v>
      </c>
      <c r="F82" s="824">
        <v>258175.66</v>
      </c>
      <c r="G82" s="824">
        <v>0</v>
      </c>
      <c r="H82" s="824"/>
      <c r="I82" s="824"/>
      <c r="J82" s="824">
        <f t="shared" si="36"/>
        <v>258175.66</v>
      </c>
      <c r="K82" s="824">
        <f t="shared" si="37"/>
        <v>258175.66</v>
      </c>
      <c r="L82" s="824">
        <f t="shared" si="38"/>
        <v>258175.66</v>
      </c>
      <c r="M82" s="824"/>
      <c r="N82" s="824"/>
      <c r="O82" s="824"/>
      <c r="P82" s="824"/>
    </row>
    <row r="83" spans="1:16">
      <c r="A83" t="s">
        <v>416</v>
      </c>
      <c r="B83" t="s">
        <v>1584</v>
      </c>
      <c r="C83" t="s">
        <v>1585</v>
      </c>
      <c r="D83" t="s">
        <v>1586</v>
      </c>
      <c r="E83" s="824">
        <v>56000</v>
      </c>
      <c r="F83" s="824">
        <v>56000</v>
      </c>
      <c r="G83" s="824">
        <v>0</v>
      </c>
      <c r="H83" s="824">
        <v>56000</v>
      </c>
      <c r="I83" s="1112"/>
      <c r="J83" s="824">
        <f t="shared" si="36"/>
        <v>0</v>
      </c>
      <c r="K83" s="824">
        <f t="shared" si="37"/>
        <v>0</v>
      </c>
      <c r="L83" s="824">
        <f t="shared" si="38"/>
        <v>0</v>
      </c>
      <c r="M83" s="824"/>
      <c r="N83" s="824"/>
      <c r="O83" s="824"/>
      <c r="P83" s="824"/>
    </row>
    <row r="84" spans="1:16">
      <c r="A84" t="s">
        <v>416</v>
      </c>
      <c r="B84" t="s">
        <v>1047</v>
      </c>
      <c r="C84" t="s">
        <v>1587</v>
      </c>
      <c r="D84" t="s">
        <v>1588</v>
      </c>
      <c r="E84" s="824">
        <v>234473.14</v>
      </c>
      <c r="F84" s="824">
        <v>234473.14</v>
      </c>
      <c r="G84" s="824">
        <v>0</v>
      </c>
      <c r="H84" s="824">
        <v>234473.14</v>
      </c>
      <c r="I84" s="824">
        <f>+'Reembolsos MMHB 07-25'!E37</f>
        <v>171165.39</v>
      </c>
      <c r="J84" s="824">
        <f t="shared" si="36"/>
        <v>0</v>
      </c>
      <c r="K84" s="824">
        <f t="shared" si="37"/>
        <v>171165.39</v>
      </c>
      <c r="L84" s="824">
        <f t="shared" si="38"/>
        <v>171165.39</v>
      </c>
      <c r="M84" s="824"/>
      <c r="N84" s="824"/>
      <c r="O84" s="824"/>
      <c r="P84" s="824"/>
    </row>
    <row r="85" spans="1:16">
      <c r="A85" t="s">
        <v>416</v>
      </c>
      <c r="B85" t="s">
        <v>740</v>
      </c>
      <c r="C85" t="s">
        <v>1250</v>
      </c>
      <c r="D85" t="s">
        <v>1251</v>
      </c>
      <c r="E85" s="824">
        <v>49766.5</v>
      </c>
      <c r="F85" s="824">
        <v>0</v>
      </c>
      <c r="G85" s="824">
        <v>49766.5</v>
      </c>
      <c r="H85" s="824">
        <v>29859.9</v>
      </c>
      <c r="I85" s="824">
        <f>+'Reembolsos MMHB 07-25'!E27</f>
        <v>29859.9</v>
      </c>
      <c r="J85" s="824">
        <f t="shared" si="36"/>
        <v>19906.599999999999</v>
      </c>
      <c r="K85" s="824">
        <f t="shared" si="37"/>
        <v>49766.5</v>
      </c>
      <c r="L85" s="824"/>
      <c r="M85" s="824">
        <f>+K85</f>
        <v>49766.5</v>
      </c>
      <c r="N85" s="824"/>
      <c r="O85" s="824"/>
      <c r="P85" s="824"/>
    </row>
    <row r="86" spans="1:16">
      <c r="A86" t="s">
        <v>416</v>
      </c>
      <c r="B86" t="s">
        <v>1047</v>
      </c>
      <c r="C86" t="s">
        <v>1363</v>
      </c>
      <c r="D86" t="s">
        <v>1364</v>
      </c>
      <c r="E86" s="824">
        <v>186272.04</v>
      </c>
      <c r="F86" s="824">
        <v>186272.04</v>
      </c>
      <c r="G86" s="824">
        <v>0</v>
      </c>
      <c r="H86" s="824">
        <v>186272.04</v>
      </c>
      <c r="I86" s="824">
        <f>+'Reembolsos MMHB 07-25'!E32</f>
        <v>135978.59</v>
      </c>
      <c r="J86" s="824">
        <f t="shared" si="36"/>
        <v>0</v>
      </c>
      <c r="K86" s="824">
        <f t="shared" si="37"/>
        <v>135978.59</v>
      </c>
      <c r="L86" s="824">
        <f>+K86</f>
        <v>135978.59</v>
      </c>
      <c r="M86" s="824"/>
      <c r="N86" s="824"/>
      <c r="O86" s="824"/>
      <c r="P86" s="824"/>
    </row>
    <row r="87" spans="1:16">
      <c r="A87" t="s">
        <v>416</v>
      </c>
      <c r="B87" t="s">
        <v>746</v>
      </c>
      <c r="C87" t="s">
        <v>1589</v>
      </c>
      <c r="D87" t="s">
        <v>1590</v>
      </c>
      <c r="E87" s="824">
        <v>63720</v>
      </c>
      <c r="F87" s="824">
        <v>0</v>
      </c>
      <c r="G87" s="824">
        <v>63720</v>
      </c>
      <c r="H87" s="824"/>
      <c r="I87" s="824"/>
      <c r="J87" s="824">
        <f t="shared" si="36"/>
        <v>63720</v>
      </c>
      <c r="K87" s="824">
        <f t="shared" si="37"/>
        <v>63720</v>
      </c>
      <c r="L87" s="824">
        <v>21240</v>
      </c>
      <c r="M87" s="824">
        <v>21240</v>
      </c>
      <c r="N87" s="824">
        <v>21240</v>
      </c>
      <c r="O87" s="824"/>
      <c r="P87" s="824"/>
    </row>
    <row r="88" spans="1:16">
      <c r="A88" t="s">
        <v>416</v>
      </c>
      <c r="B88" t="s">
        <v>1591</v>
      </c>
      <c r="C88" t="s">
        <v>1592</v>
      </c>
      <c r="D88" t="s">
        <v>1593</v>
      </c>
      <c r="E88" s="824">
        <v>28933.599999999999</v>
      </c>
      <c r="F88" s="824">
        <v>28933.599999999999</v>
      </c>
      <c r="G88" s="824">
        <v>0</v>
      </c>
      <c r="H88" s="824"/>
      <c r="I88" s="824"/>
      <c r="J88" s="824">
        <f t="shared" si="36"/>
        <v>28933.599999999999</v>
      </c>
      <c r="K88" s="824">
        <f t="shared" si="37"/>
        <v>28933.599999999999</v>
      </c>
      <c r="L88" s="730"/>
      <c r="M88" s="824">
        <f>+K88</f>
        <v>28933.599999999999</v>
      </c>
      <c r="N88" s="824"/>
      <c r="O88" s="824"/>
      <c r="P88" s="824"/>
    </row>
    <row r="89" spans="1:16">
      <c r="A89" t="s">
        <v>416</v>
      </c>
      <c r="B89" t="s">
        <v>1594</v>
      </c>
      <c r="C89" t="s">
        <v>1595</v>
      </c>
      <c r="D89" t="s">
        <v>1596</v>
      </c>
      <c r="E89" s="824">
        <v>20000</v>
      </c>
      <c r="F89" s="824">
        <v>20000</v>
      </c>
      <c r="G89" s="824">
        <v>0</v>
      </c>
      <c r="H89" s="824">
        <v>20000</v>
      </c>
      <c r="I89" s="824">
        <f>+'Reembolsos MMHB 07-25'!E38</f>
        <v>20000</v>
      </c>
      <c r="J89" s="824">
        <f t="shared" si="36"/>
        <v>0</v>
      </c>
      <c r="K89" s="824">
        <f t="shared" si="37"/>
        <v>20000</v>
      </c>
      <c r="L89" s="824">
        <f>+K89</f>
        <v>20000</v>
      </c>
      <c r="M89" s="824"/>
      <c r="N89" s="824"/>
      <c r="O89" s="824"/>
      <c r="P89" s="824"/>
    </row>
    <row r="90" spans="1:16">
      <c r="D90" t="s">
        <v>1597</v>
      </c>
      <c r="E90" s="824">
        <f t="shared" ref="E90:E91" si="39">+J90</f>
        <v>600000</v>
      </c>
      <c r="F90" s="824"/>
      <c r="G90" s="824"/>
      <c r="H90" s="824"/>
      <c r="I90" s="824"/>
      <c r="J90" s="824">
        <f t="shared" ref="J90:J91" si="40">+K90</f>
        <v>600000</v>
      </c>
      <c r="K90" s="824">
        <f t="shared" ref="K90:K91" si="41">SUM(L90:P90)</f>
        <v>600000</v>
      </c>
      <c r="L90" s="824"/>
      <c r="M90" s="1107">
        <v>150000</v>
      </c>
      <c r="N90" s="1107">
        <v>150000</v>
      </c>
      <c r="O90" s="1107">
        <v>150000</v>
      </c>
      <c r="P90" s="1107">
        <v>150000</v>
      </c>
    </row>
    <row r="91" spans="1:16">
      <c r="D91" t="s">
        <v>1598</v>
      </c>
      <c r="E91" s="824">
        <f t="shared" si="39"/>
        <v>1326541.0958904109</v>
      </c>
      <c r="F91" s="824"/>
      <c r="G91" s="824"/>
      <c r="H91" s="824"/>
      <c r="I91" s="824"/>
      <c r="J91" s="824">
        <f t="shared" si="40"/>
        <v>1326541.0958904109</v>
      </c>
      <c r="K91" s="824">
        <f t="shared" si="41"/>
        <v>1326541.0958904109</v>
      </c>
      <c r="L91" s="1109">
        <f>(+(+(2500/0.73)*1.27)*61)*1</f>
        <v>265308.21917808219</v>
      </c>
      <c r="M91" s="1109">
        <f>(+(+(2500/0.73)*1.27)*61)*1</f>
        <v>265308.21917808219</v>
      </c>
      <c r="N91" s="1109">
        <f>(+(+(2500/0.73)*1.27)*61)*1</f>
        <v>265308.21917808219</v>
      </c>
      <c r="O91" s="1109">
        <f>(+(+(2500/0.73)*1.27)*61)*1</f>
        <v>265308.21917808219</v>
      </c>
      <c r="P91" s="1109">
        <f>(+(+(2500/0.73)*1.27)*61)*1</f>
        <v>265308.21917808219</v>
      </c>
    </row>
    <row r="92" spans="1:16">
      <c r="D92" t="s">
        <v>1599</v>
      </c>
      <c r="E92" s="824">
        <f>+J92</f>
        <v>220000</v>
      </c>
      <c r="F92" s="824"/>
      <c r="G92" s="824"/>
      <c r="H92" s="824"/>
      <c r="I92" s="824"/>
      <c r="J92" s="824">
        <f>+K92</f>
        <v>220000</v>
      </c>
      <c r="K92" s="824">
        <f>SUM(L92:P92)</f>
        <v>220000</v>
      </c>
      <c r="L92" s="824"/>
      <c r="M92" s="824"/>
      <c r="N92" s="824"/>
      <c r="O92" s="1107">
        <v>110000</v>
      </c>
      <c r="P92" s="1107">
        <v>110000</v>
      </c>
    </row>
    <row r="93" spans="1:16" s="464" customFormat="1">
      <c r="A93" s="464" t="s">
        <v>416</v>
      </c>
      <c r="E93" s="1105">
        <f>SUM(E63:E92)</f>
        <v>10483671.70589041</v>
      </c>
      <c r="F93" s="1105">
        <f t="shared" ref="F93:P93" si="42">SUM(F63:F92)</f>
        <v>7581767.0499999998</v>
      </c>
      <c r="G93" s="1105">
        <f t="shared" si="42"/>
        <v>755363.56</v>
      </c>
      <c r="H93" s="1105">
        <f t="shared" si="42"/>
        <v>4075520.76</v>
      </c>
      <c r="I93" s="1105">
        <f t="shared" si="42"/>
        <v>722047.24</v>
      </c>
      <c r="J93" s="1105">
        <f t="shared" si="42"/>
        <v>6408150.9458904108</v>
      </c>
      <c r="K93" s="1105">
        <f t="shared" si="42"/>
        <v>7130198.1858904101</v>
      </c>
      <c r="L93" s="1105">
        <f t="shared" si="42"/>
        <v>4582303.6591780828</v>
      </c>
      <c r="M93" s="1105">
        <f t="shared" si="42"/>
        <v>972465.86917808221</v>
      </c>
      <c r="N93" s="1105">
        <f t="shared" si="42"/>
        <v>524812.21917808219</v>
      </c>
      <c r="O93" s="1105">
        <f t="shared" si="42"/>
        <v>525308.21917808219</v>
      </c>
      <c r="P93" s="1105">
        <f t="shared" si="42"/>
        <v>525308.21917808219</v>
      </c>
    </row>
    <row r="94" spans="1:16">
      <c r="E94" s="730"/>
      <c r="F94" s="730"/>
      <c r="G94" s="730"/>
      <c r="H94" s="730"/>
      <c r="I94" s="730"/>
      <c r="J94" s="730"/>
      <c r="K94" s="730"/>
      <c r="L94" s="730"/>
      <c r="M94" s="730"/>
      <c r="N94" s="730"/>
      <c r="O94" s="730"/>
      <c r="P94" s="730"/>
    </row>
    <row r="95" spans="1:16">
      <c r="A95" t="s">
        <v>390</v>
      </c>
      <c r="B95" t="s">
        <v>795</v>
      </c>
      <c r="C95" t="s">
        <v>1373</v>
      </c>
      <c r="D95" t="s">
        <v>1600</v>
      </c>
      <c r="E95" s="824">
        <v>114507.2</v>
      </c>
      <c r="F95" s="824">
        <v>0</v>
      </c>
      <c r="G95" s="824">
        <v>114507.2</v>
      </c>
      <c r="H95" s="824"/>
      <c r="I95" s="824"/>
      <c r="J95" s="824">
        <f>+E95-H95</f>
        <v>114507.2</v>
      </c>
      <c r="K95" s="824">
        <f>+I95+J95</f>
        <v>114507.2</v>
      </c>
      <c r="L95" s="824">
        <f>+K95</f>
        <v>114507.2</v>
      </c>
      <c r="M95" s="824"/>
      <c r="N95" s="824"/>
      <c r="O95" s="824"/>
      <c r="P95" s="824"/>
    </row>
    <row r="96" spans="1:16">
      <c r="A96" t="s">
        <v>390</v>
      </c>
      <c r="B96" t="s">
        <v>950</v>
      </c>
      <c r="C96" t="s">
        <v>949</v>
      </c>
      <c r="D96" t="s">
        <v>1150</v>
      </c>
      <c r="E96" s="824">
        <v>2587042.39</v>
      </c>
      <c r="F96" s="824">
        <v>0</v>
      </c>
      <c r="G96" s="824">
        <v>2587042.39</v>
      </c>
      <c r="H96" s="824"/>
      <c r="I96" s="824"/>
      <c r="J96" s="824">
        <f t="shared" ref="J96:J102" si="43">+E96-H96</f>
        <v>2587042.39</v>
      </c>
      <c r="K96" s="824">
        <f t="shared" ref="K96:K102" si="44">+I96+J96</f>
        <v>2587042.39</v>
      </c>
      <c r="L96" s="824">
        <v>650000</v>
      </c>
      <c r="M96" s="824"/>
      <c r="N96" s="824">
        <f>+K96-L96</f>
        <v>1937042.3900000001</v>
      </c>
      <c r="O96" s="824"/>
      <c r="P96" s="824"/>
    </row>
    <row r="97" spans="1:16">
      <c r="A97" t="s">
        <v>390</v>
      </c>
      <c r="B97" t="s">
        <v>1601</v>
      </c>
      <c r="C97" t="s">
        <v>1275</v>
      </c>
      <c r="D97" t="s">
        <v>1276</v>
      </c>
      <c r="E97" s="824">
        <v>10000</v>
      </c>
      <c r="F97" s="824">
        <v>10000</v>
      </c>
      <c r="G97" s="824">
        <v>0</v>
      </c>
      <c r="H97" s="824">
        <v>10000</v>
      </c>
      <c r="I97" s="824">
        <f>+'Reembolsos MMHB 07-25'!E42+'Reembolsos MMHB 07-25'!E43</f>
        <v>10000</v>
      </c>
      <c r="J97" s="824">
        <f t="shared" si="43"/>
        <v>0</v>
      </c>
      <c r="K97" s="824">
        <f t="shared" si="44"/>
        <v>10000</v>
      </c>
      <c r="L97" s="824">
        <f>+K97</f>
        <v>10000</v>
      </c>
      <c r="M97" s="824"/>
      <c r="N97" s="824"/>
      <c r="O97" s="824"/>
      <c r="P97" s="824"/>
    </row>
    <row r="98" spans="1:16">
      <c r="A98" t="s">
        <v>390</v>
      </c>
      <c r="B98" t="s">
        <v>795</v>
      </c>
      <c r="C98" t="s">
        <v>1375</v>
      </c>
      <c r="D98" t="s">
        <v>1376</v>
      </c>
      <c r="E98" s="824">
        <v>78723.7</v>
      </c>
      <c r="F98" s="824">
        <v>0</v>
      </c>
      <c r="G98" s="824">
        <v>78723.7</v>
      </c>
      <c r="H98" s="824"/>
      <c r="I98" s="824"/>
      <c r="J98" s="824">
        <f t="shared" si="43"/>
        <v>78723.7</v>
      </c>
      <c r="K98" s="824">
        <f t="shared" si="44"/>
        <v>78723.7</v>
      </c>
      <c r="L98" s="824"/>
      <c r="M98" s="824">
        <f>+K98</f>
        <v>78723.7</v>
      </c>
      <c r="N98" s="824"/>
      <c r="O98" s="824"/>
      <c r="P98" s="824"/>
    </row>
    <row r="99" spans="1:16">
      <c r="A99" t="s">
        <v>390</v>
      </c>
      <c r="B99" t="s">
        <v>404</v>
      </c>
      <c r="C99" t="s">
        <v>1273</v>
      </c>
      <c r="D99" t="s">
        <v>1274</v>
      </c>
      <c r="E99" s="824">
        <v>77442</v>
      </c>
      <c r="F99" s="824">
        <v>77442</v>
      </c>
      <c r="G99" s="824">
        <v>0</v>
      </c>
      <c r="H99" s="824">
        <v>77442</v>
      </c>
      <c r="I99" s="824">
        <f>+'Reembolsos MMHB 07-25'!E44</f>
        <v>77442</v>
      </c>
      <c r="J99" s="824">
        <f t="shared" si="43"/>
        <v>0</v>
      </c>
      <c r="K99" s="824">
        <f t="shared" si="44"/>
        <v>77442</v>
      </c>
      <c r="L99" s="824">
        <f>+K99</f>
        <v>77442</v>
      </c>
      <c r="M99" s="824"/>
      <c r="N99" s="824"/>
      <c r="O99" s="824"/>
      <c r="P99" s="824"/>
    </row>
    <row r="100" spans="1:16">
      <c r="A100" t="s">
        <v>390</v>
      </c>
      <c r="B100" t="s">
        <v>795</v>
      </c>
      <c r="C100" t="s">
        <v>1377</v>
      </c>
      <c r="D100" t="s">
        <v>1378</v>
      </c>
      <c r="E100" s="824">
        <v>715670</v>
      </c>
      <c r="F100" s="824">
        <v>0</v>
      </c>
      <c r="G100" s="824">
        <v>715670</v>
      </c>
      <c r="H100" s="824"/>
      <c r="I100" s="824"/>
      <c r="J100" s="824">
        <f t="shared" si="43"/>
        <v>715670</v>
      </c>
      <c r="K100" s="824">
        <f t="shared" si="44"/>
        <v>715670</v>
      </c>
      <c r="L100" s="730"/>
      <c r="M100" s="824">
        <v>357835</v>
      </c>
      <c r="N100" s="824">
        <v>357835</v>
      </c>
      <c r="O100" s="824"/>
      <c r="P100" s="824"/>
    </row>
    <row r="101" spans="1:16">
      <c r="A101" t="s">
        <v>390</v>
      </c>
      <c r="B101" t="s">
        <v>715</v>
      </c>
      <c r="C101" t="s">
        <v>1097</v>
      </c>
      <c r="D101" t="s">
        <v>1098</v>
      </c>
      <c r="E101" s="824">
        <v>123900</v>
      </c>
      <c r="F101" s="824">
        <v>88500</v>
      </c>
      <c r="G101" s="824">
        <v>35400</v>
      </c>
      <c r="H101" s="824"/>
      <c r="I101" s="824"/>
      <c r="J101" s="824">
        <f t="shared" si="43"/>
        <v>123900</v>
      </c>
      <c r="K101" s="824">
        <f t="shared" si="44"/>
        <v>123900</v>
      </c>
      <c r="L101" s="824">
        <v>88500</v>
      </c>
      <c r="M101" s="824">
        <f>+K101-L101</f>
        <v>35400</v>
      </c>
      <c r="N101" s="824"/>
      <c r="O101" s="824"/>
      <c r="P101" s="824"/>
    </row>
    <row r="102" spans="1:16">
      <c r="A102" t="s">
        <v>390</v>
      </c>
      <c r="B102" t="s">
        <v>795</v>
      </c>
      <c r="C102" t="s">
        <v>946</v>
      </c>
      <c r="D102" t="s">
        <v>1149</v>
      </c>
      <c r="E102" s="824">
        <v>1085364</v>
      </c>
      <c r="F102" s="824">
        <v>369694</v>
      </c>
      <c r="G102" s="824">
        <v>715670</v>
      </c>
      <c r="H102" s="824">
        <v>369694</v>
      </c>
      <c r="I102" s="824">
        <f>+'Reembolsos MMHB 07-25'!E45</f>
        <v>352775.8</v>
      </c>
      <c r="J102" s="824">
        <f t="shared" si="43"/>
        <v>715670</v>
      </c>
      <c r="K102" s="824">
        <f t="shared" si="44"/>
        <v>1068445.8</v>
      </c>
      <c r="L102" s="824">
        <f>+K102</f>
        <v>1068445.8</v>
      </c>
      <c r="M102" s="824"/>
      <c r="N102" s="824"/>
      <c r="O102" s="824"/>
      <c r="P102" s="824"/>
    </row>
    <row r="103" spans="1:16">
      <c r="D103" t="s">
        <v>1602</v>
      </c>
      <c r="E103" s="824">
        <v>1500000</v>
      </c>
      <c r="F103" s="824"/>
      <c r="G103" s="824"/>
      <c r="H103" s="824"/>
      <c r="I103" s="824"/>
      <c r="J103" s="824">
        <f t="shared" ref="J103" si="45">+E103-H103</f>
        <v>1500000</v>
      </c>
      <c r="K103" s="824">
        <f t="shared" ref="K103" si="46">+I103+J103</f>
        <v>1500000</v>
      </c>
      <c r="L103" s="824"/>
      <c r="M103" s="824">
        <f>+K103</f>
        <v>1500000</v>
      </c>
      <c r="N103" s="824"/>
      <c r="O103" s="824"/>
      <c r="P103" s="824"/>
    </row>
    <row r="104" spans="1:16" s="464" customFormat="1">
      <c r="A104" s="464" t="s">
        <v>390</v>
      </c>
      <c r="E104" s="1105">
        <f>SUM(E95:E103)</f>
        <v>6292649.290000001</v>
      </c>
      <c r="F104" s="1105">
        <f t="shared" ref="F104:P104" si="47">SUM(F95:F103)</f>
        <v>545636</v>
      </c>
      <c r="G104" s="1105">
        <f t="shared" si="47"/>
        <v>4247013.290000001</v>
      </c>
      <c r="H104" s="1105">
        <f t="shared" si="47"/>
        <v>457136</v>
      </c>
      <c r="I104" s="1105">
        <f t="shared" si="47"/>
        <v>440217.8</v>
      </c>
      <c r="J104" s="1105">
        <f t="shared" si="47"/>
        <v>5835513.290000001</v>
      </c>
      <c r="K104" s="1105">
        <f>SUM(K95:K103)</f>
        <v>6275731.0900000008</v>
      </c>
      <c r="L104" s="1105">
        <f t="shared" si="47"/>
        <v>2008895</v>
      </c>
      <c r="M104" s="1105">
        <f t="shared" si="47"/>
        <v>1971958.7</v>
      </c>
      <c r="N104" s="1105">
        <f t="shared" si="47"/>
        <v>2294877.39</v>
      </c>
      <c r="O104" s="1105">
        <f t="shared" si="47"/>
        <v>0</v>
      </c>
      <c r="P104" s="1105">
        <f t="shared" si="47"/>
        <v>0</v>
      </c>
    </row>
    <row r="105" spans="1:16">
      <c r="E105" s="730"/>
      <c r="F105" s="730"/>
      <c r="G105" s="730"/>
      <c r="H105" s="730"/>
      <c r="I105" s="730"/>
      <c r="J105" s="730"/>
      <c r="K105" s="730"/>
      <c r="L105" s="730"/>
      <c r="M105" s="730"/>
      <c r="N105" s="730"/>
      <c r="O105" s="730"/>
      <c r="P105" s="730"/>
    </row>
    <row r="106" spans="1:16">
      <c r="A106" t="s">
        <v>685</v>
      </c>
      <c r="B106" t="s">
        <v>295</v>
      </c>
      <c r="C106" t="s">
        <v>1603</v>
      </c>
      <c r="D106" t="s">
        <v>1604</v>
      </c>
      <c r="E106" s="824">
        <v>463567</v>
      </c>
      <c r="F106" s="824">
        <v>0</v>
      </c>
      <c r="G106" s="824">
        <v>463567</v>
      </c>
      <c r="H106" s="824"/>
      <c r="I106" s="824"/>
      <c r="J106" s="824">
        <f>+E106-H106</f>
        <v>463567</v>
      </c>
      <c r="K106" s="824">
        <f>+I106+J106</f>
        <v>463567</v>
      </c>
      <c r="L106" s="824">
        <f>+K106</f>
        <v>463567</v>
      </c>
      <c r="M106" s="824"/>
      <c r="N106" s="824"/>
      <c r="O106" s="824"/>
      <c r="P106" s="824"/>
    </row>
    <row r="107" spans="1:16">
      <c r="A107" t="s">
        <v>685</v>
      </c>
      <c r="B107" t="s">
        <v>295</v>
      </c>
      <c r="C107" t="s">
        <v>1605</v>
      </c>
      <c r="D107" t="s">
        <v>1606</v>
      </c>
      <c r="E107" s="824">
        <v>706230.55</v>
      </c>
      <c r="F107" s="824">
        <v>0</v>
      </c>
      <c r="G107" s="824">
        <v>706230.55</v>
      </c>
      <c r="H107" s="824"/>
      <c r="I107" s="824"/>
      <c r="J107" s="824">
        <f>+E107-H107</f>
        <v>706230.55</v>
      </c>
      <c r="K107" s="824">
        <f>+I107+J107</f>
        <v>706230.55</v>
      </c>
      <c r="L107" s="824">
        <f>+K107</f>
        <v>706230.55</v>
      </c>
      <c r="M107" s="824"/>
      <c r="N107" s="824"/>
      <c r="O107" s="824"/>
      <c r="P107" s="824"/>
    </row>
    <row r="108" spans="1:16" s="464" customFormat="1">
      <c r="A108" s="464" t="s">
        <v>685</v>
      </c>
      <c r="E108" s="1105">
        <f>SUM(E106:E107)</f>
        <v>1169797.55</v>
      </c>
      <c r="F108" s="1105">
        <f>SUM(F106:F107)</f>
        <v>0</v>
      </c>
      <c r="G108" s="1105">
        <f>SUM(G106:G107)</f>
        <v>1169797.55</v>
      </c>
      <c r="H108" s="1105">
        <f>SUM(H106:H107)</f>
        <v>0</v>
      </c>
      <c r="I108" s="1105">
        <f t="shared" ref="I108:K108" si="48">SUM(I106:I107)</f>
        <v>0</v>
      </c>
      <c r="J108" s="1105">
        <f t="shared" si="48"/>
        <v>1169797.55</v>
      </c>
      <c r="K108" s="1105">
        <f t="shared" si="48"/>
        <v>1169797.55</v>
      </c>
      <c r="L108" s="1105">
        <f t="shared" ref="L108" si="49">SUM(L106:L107)</f>
        <v>1169797.55</v>
      </c>
      <c r="M108" s="1105">
        <f t="shared" ref="M108" si="50">SUM(M106:M107)</f>
        <v>0</v>
      </c>
      <c r="N108" s="1105">
        <f t="shared" ref="N108" si="51">SUM(N106:N107)</f>
        <v>0</v>
      </c>
      <c r="O108" s="1105">
        <f t="shared" ref="O108" si="52">SUM(O106:O107)</f>
        <v>0</v>
      </c>
      <c r="P108" s="1105">
        <f t="shared" ref="P108" si="53">SUM(P106:P107)</f>
        <v>0</v>
      </c>
    </row>
    <row r="109" spans="1:16">
      <c r="E109" s="730"/>
      <c r="F109" s="730"/>
      <c r="G109" s="730"/>
      <c r="H109" s="730"/>
      <c r="I109" s="730"/>
      <c r="J109" s="730"/>
      <c r="K109" s="730"/>
      <c r="L109" s="730"/>
      <c r="M109" s="730"/>
      <c r="N109" s="730"/>
      <c r="O109" s="730"/>
      <c r="P109" s="730"/>
    </row>
    <row r="110" spans="1:16" s="1095" customFormat="1" ht="19.8">
      <c r="A110" s="1096" t="s">
        <v>447</v>
      </c>
      <c r="B110" s="1096"/>
      <c r="C110" s="1096"/>
      <c r="D110" s="1096"/>
      <c r="E110" s="1104">
        <f t="shared" ref="E110:P110" si="54">SUM(E2:E108)/2</f>
        <v>181724944.71945438</v>
      </c>
      <c r="F110" s="1104">
        <f t="shared" si="54"/>
        <v>46920881.850000001</v>
      </c>
      <c r="G110" s="1104">
        <f t="shared" si="54"/>
        <v>17794717.299999997</v>
      </c>
      <c r="H110" s="1104">
        <f t="shared" si="54"/>
        <v>19397677.259999998</v>
      </c>
      <c r="I110" s="1104">
        <f t="shared" si="54"/>
        <v>1423627.5999999999</v>
      </c>
      <c r="J110" s="1104">
        <f t="shared" si="54"/>
        <v>162327267.45945442</v>
      </c>
      <c r="K110" s="1104">
        <f t="shared" si="54"/>
        <v>163750895.05945435</v>
      </c>
      <c r="L110" s="1104">
        <f t="shared" si="54"/>
        <v>35091337.204994082</v>
      </c>
      <c r="M110" s="1104">
        <f t="shared" si="54"/>
        <v>34026570.774197258</v>
      </c>
      <c r="N110" s="1104">
        <f t="shared" si="54"/>
        <v>37317908.048306845</v>
      </c>
      <c r="O110" s="1104">
        <f t="shared" si="54"/>
        <v>28308406.515978079</v>
      </c>
      <c r="P110" s="1104">
        <f t="shared" si="54"/>
        <v>29006672.515978079</v>
      </c>
    </row>
    <row r="111" spans="1:16">
      <c r="E111" s="730">
        <f t="shared" ref="E111:P111" si="55">+E3+E13+E27+E33+E38+E44+E47+E58+E61+E93+E104+E108</f>
        <v>179190123.23545435</v>
      </c>
      <c r="F111" s="730">
        <f t="shared" si="55"/>
        <v>46920881.849999994</v>
      </c>
      <c r="G111" s="730">
        <f t="shared" si="55"/>
        <v>17794717.300000004</v>
      </c>
      <c r="H111" s="730">
        <f t="shared" si="55"/>
        <v>19397677.259999998</v>
      </c>
      <c r="I111" s="730">
        <f t="shared" si="55"/>
        <v>1423627.6</v>
      </c>
      <c r="J111" s="730">
        <f t="shared" si="55"/>
        <v>159792445.97545433</v>
      </c>
      <c r="K111" s="730">
        <f t="shared" si="55"/>
        <v>161216073.57545435</v>
      </c>
      <c r="L111" s="730">
        <f t="shared" si="55"/>
        <v>34584372.90819408</v>
      </c>
      <c r="M111" s="730">
        <f t="shared" si="55"/>
        <v>33519606.477397263</v>
      </c>
      <c r="N111" s="730">
        <f t="shared" si="55"/>
        <v>36810943.75150685</v>
      </c>
      <c r="O111" s="730">
        <f t="shared" si="55"/>
        <v>27801442.219178081</v>
      </c>
      <c r="P111" s="730">
        <f t="shared" si="55"/>
        <v>28499708.219178081</v>
      </c>
    </row>
    <row r="112" spans="1:16">
      <c r="E112" s="730">
        <f>+E110-E111</f>
        <v>2534821.4840000272</v>
      </c>
      <c r="F112" s="730">
        <f t="shared" ref="F112:P112" si="56">+F110-F111</f>
        <v>0</v>
      </c>
      <c r="G112" s="730">
        <f t="shared" si="56"/>
        <v>0</v>
      </c>
      <c r="H112" s="730">
        <f t="shared" si="56"/>
        <v>0</v>
      </c>
      <c r="I112" s="730">
        <f t="shared" si="56"/>
        <v>0</v>
      </c>
      <c r="J112" s="730">
        <f t="shared" si="56"/>
        <v>2534821.4840000868</v>
      </c>
      <c r="K112" s="730">
        <f t="shared" si="56"/>
        <v>2534821.4839999974</v>
      </c>
      <c r="L112" s="730">
        <f t="shared" si="56"/>
        <v>506964.29680000246</v>
      </c>
      <c r="M112" s="730">
        <f t="shared" si="56"/>
        <v>506964.29679999501</v>
      </c>
      <c r="N112" s="730">
        <f t="shared" si="56"/>
        <v>506964.29679999501</v>
      </c>
      <c r="O112" s="730">
        <f t="shared" si="56"/>
        <v>506964.29679999873</v>
      </c>
      <c r="P112" s="730">
        <f t="shared" si="56"/>
        <v>506964.29679999873</v>
      </c>
    </row>
    <row r="149" spans="10:11">
      <c r="J149" s="730">
        <v>45362169.870000005</v>
      </c>
      <c r="K149" s="730">
        <v>45362170.869999997</v>
      </c>
    </row>
    <row r="150" spans="10:11">
      <c r="J150" s="1094">
        <f>+J110-J149</f>
        <v>116965097.58945441</v>
      </c>
      <c r="K150" s="1094">
        <f>+K110-K149</f>
        <v>118388724.18945435</v>
      </c>
    </row>
  </sheetData>
  <autoFilter ref="A1:P150" xr:uid="{7FF53168-8DAA-46EE-A550-146DEB4059B9}"/>
  <conditionalFormatting sqref="C1:C1048576">
    <cfRule type="duplicateValues" dxfId="20" priority="1"/>
  </conditionalFormatting>
  <pageMargins left="0.7" right="0.7" top="0.75" bottom="0.75" header="0.3" footer="0.3"/>
  <pageSetup orientation="portrait" horizontalDpi="4294967295" verticalDpi="4294967295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B9422-BFF9-4014-86B0-18678A15C62D}">
  <sheetPr>
    <pageSetUpPr autoPageBreaks="0" fitToPage="1"/>
  </sheetPr>
  <dimension ref="B1:I55"/>
  <sheetViews>
    <sheetView showGridLines="0" topLeftCell="A35" zoomScale="87" zoomScaleNormal="87" zoomScalePageLayoutView="125" workbookViewId="0">
      <selection activeCell="E24" sqref="E24"/>
    </sheetView>
  </sheetViews>
  <sheetFormatPr baseColWidth="10" defaultColWidth="2.6640625" defaultRowHeight="13.2"/>
  <cols>
    <col min="1" max="1" width="1.33203125" style="851" customWidth="1"/>
    <col min="2" max="2" width="11.33203125" style="851" customWidth="1"/>
    <col min="3" max="3" width="27" style="851" customWidth="1"/>
    <col min="4" max="4" width="20.6640625" style="851" customWidth="1"/>
    <col min="5" max="5" width="17" style="851" bestFit="1" customWidth="1"/>
    <col min="6" max="6" width="17.6640625" style="851" bestFit="1" customWidth="1"/>
    <col min="7" max="8" width="15" style="851" bestFit="1" customWidth="1"/>
    <col min="9" max="9" width="12.6640625" style="851" bestFit="1" customWidth="1"/>
    <col min="10" max="10" width="11.6640625" style="851" customWidth="1"/>
    <col min="11" max="11" width="4" style="851" customWidth="1"/>
    <col min="12" max="12" width="4.6640625" style="851" bestFit="1" customWidth="1"/>
    <col min="13" max="13" width="17.6640625" style="851" bestFit="1" customWidth="1"/>
    <col min="14" max="14" width="12.6640625" style="851" bestFit="1" customWidth="1"/>
    <col min="15" max="15" width="13.6640625" style="851" bestFit="1" customWidth="1"/>
    <col min="16" max="16" width="13" style="851" bestFit="1" customWidth="1"/>
    <col min="17" max="17" width="12.33203125" style="851" customWidth="1"/>
    <col min="18" max="18" width="9.6640625" style="851" bestFit="1" customWidth="1"/>
    <col min="19" max="19" width="10.33203125" style="851" bestFit="1" customWidth="1"/>
    <col min="20" max="20" width="7" style="851" bestFit="1" customWidth="1"/>
    <col min="21" max="21" width="10.33203125" style="851" bestFit="1" customWidth="1"/>
    <col min="22" max="22" width="13" style="851" bestFit="1" customWidth="1"/>
    <col min="23" max="23" width="13.33203125" style="851" bestFit="1" customWidth="1"/>
    <col min="24" max="24" width="6.33203125" style="851" customWidth="1"/>
    <col min="25" max="16384" width="2.6640625" style="851"/>
  </cols>
  <sheetData>
    <row r="1" spans="2:9" ht="22.2">
      <c r="B1" s="848" t="s">
        <v>1398</v>
      </c>
      <c r="C1" s="849"/>
      <c r="D1" s="849"/>
      <c r="E1" s="849"/>
      <c r="F1" s="849"/>
      <c r="G1" s="849"/>
      <c r="H1" s="849"/>
      <c r="I1" s="850"/>
    </row>
    <row r="3" spans="2:9" ht="15">
      <c r="B3" s="2139" t="s">
        <v>1399</v>
      </c>
      <c r="C3" s="2140"/>
      <c r="D3" s="2140"/>
      <c r="E3" s="2140"/>
      <c r="F3" s="2140"/>
      <c r="G3" s="2140"/>
      <c r="H3" s="2141"/>
    </row>
    <row r="4" spans="2:9" ht="13.8" thickBot="1">
      <c r="C4" s="853" t="s">
        <v>1400</v>
      </c>
      <c r="H4" s="854"/>
    </row>
    <row r="5" spans="2:9" ht="14.4" thickBot="1">
      <c r="C5" s="855" t="s">
        <v>1401</v>
      </c>
      <c r="D5" s="856">
        <v>85.63</v>
      </c>
      <c r="E5" s="857"/>
      <c r="F5" s="858" t="s">
        <v>1402</v>
      </c>
      <c r="G5" s="859"/>
    </row>
    <row r="6" spans="2:9" ht="14.4" thickBot="1">
      <c r="B6" s="863"/>
      <c r="C6" s="864" t="s">
        <v>1403</v>
      </c>
      <c r="D6" s="856"/>
      <c r="E6" s="857"/>
      <c r="F6" s="865" t="s">
        <v>1404</v>
      </c>
      <c r="G6" s="866" t="s">
        <v>1405</v>
      </c>
    </row>
    <row r="7" spans="2:9" ht="14.4" thickBot="1">
      <c r="C7" s="864" t="s">
        <v>1406</v>
      </c>
      <c r="D7" s="870">
        <v>462</v>
      </c>
      <c r="E7" s="871"/>
      <c r="F7" s="865" t="s">
        <v>1407</v>
      </c>
      <c r="G7" s="872"/>
    </row>
    <row r="8" spans="2:9" ht="14.4" thickBot="1">
      <c r="C8" s="864"/>
      <c r="E8" s="874"/>
      <c r="F8" s="858" t="s">
        <v>1408</v>
      </c>
      <c r="G8" s="875" t="s">
        <v>1409</v>
      </c>
    </row>
    <row r="9" spans="2:9" ht="14.4" thickBot="1">
      <c r="B9" s="876" t="s">
        <v>1410</v>
      </c>
      <c r="C9" s="853" t="s">
        <v>271</v>
      </c>
      <c r="D9" s="877" t="s">
        <v>1411</v>
      </c>
      <c r="E9" s="874"/>
      <c r="F9" s="858" t="s">
        <v>1412</v>
      </c>
      <c r="G9" s="878">
        <v>61</v>
      </c>
    </row>
    <row r="10" spans="2:9" ht="14.4" thickBot="1">
      <c r="B10" s="880">
        <f>D10/D10</f>
        <v>1</v>
      </c>
      <c r="C10" s="864" t="s">
        <v>1413</v>
      </c>
      <c r="D10" s="856">
        <v>64535.58</v>
      </c>
      <c r="E10" s="874"/>
      <c r="F10" s="881"/>
      <c r="G10" s="881"/>
      <c r="I10" s="858"/>
    </row>
    <row r="11" spans="2:9" ht="14.4" thickBot="1">
      <c r="B11" s="880">
        <f>D11/D10</f>
        <v>0.61301161312875774</v>
      </c>
      <c r="C11" s="864" t="s">
        <v>1414</v>
      </c>
      <c r="D11" s="1089">
        <v>39561.06</v>
      </c>
      <c r="E11" s="874"/>
      <c r="F11" s="882"/>
      <c r="G11" s="882"/>
    </row>
    <row r="12" spans="2:9" ht="14.4" thickBot="1">
      <c r="B12" s="884">
        <f>D12/D10</f>
        <v>9.4988162053979799E-6</v>
      </c>
      <c r="C12" s="864" t="s">
        <v>1415</v>
      </c>
      <c r="D12" s="885">
        <f>+D11/D10</f>
        <v>0.61301161312875774</v>
      </c>
      <c r="E12" s="874"/>
      <c r="F12" s="886"/>
      <c r="G12" s="887"/>
      <c r="H12" s="867"/>
    </row>
    <row r="13" spans="2:9" ht="13.8">
      <c r="D13" s="874"/>
      <c r="E13" s="874"/>
      <c r="F13" s="888"/>
      <c r="G13" s="882"/>
      <c r="H13" s="867"/>
      <c r="I13" s="889"/>
    </row>
    <row r="14" spans="2:9" ht="13.8">
      <c r="D14" s="874"/>
      <c r="E14" s="874"/>
      <c r="F14" s="888"/>
      <c r="G14" s="891"/>
      <c r="H14" s="867"/>
    </row>
    <row r="15" spans="2:9">
      <c r="D15" s="874"/>
      <c r="E15" s="874"/>
      <c r="F15" s="882"/>
      <c r="G15" s="882"/>
    </row>
    <row r="16" spans="2:9" ht="19.5" customHeight="1">
      <c r="B16" s="894" t="s">
        <v>22</v>
      </c>
      <c r="C16" s="895"/>
      <c r="D16" s="895"/>
      <c r="E16" s="895"/>
      <c r="F16" s="896"/>
      <c r="G16" s="892"/>
      <c r="H16" s="892"/>
      <c r="I16" s="892"/>
    </row>
    <row r="17" spans="2:9" ht="19.5" customHeight="1">
      <c r="B17" s="901" t="s">
        <v>1421</v>
      </c>
      <c r="C17" s="902" t="s">
        <v>29</v>
      </c>
      <c r="D17" s="903" t="s">
        <v>1422</v>
      </c>
      <c r="E17" s="904" t="s">
        <v>31</v>
      </c>
      <c r="F17" s="904" t="s">
        <v>1423</v>
      </c>
      <c r="G17" s="905" t="s">
        <v>1424</v>
      </c>
      <c r="H17" s="905" t="s">
        <v>1425</v>
      </c>
      <c r="I17" s="905" t="s">
        <v>1426</v>
      </c>
    </row>
    <row r="18" spans="2:9" ht="19.95" customHeight="1">
      <c r="B18" s="911">
        <f>+D18/D10</f>
        <v>1656.9619425439423</v>
      </c>
      <c r="C18" s="912" t="s">
        <v>1428</v>
      </c>
      <c r="D18" s="913">
        <f>+E18*G9</f>
        <v>106933000</v>
      </c>
      <c r="E18" s="914">
        <v>1753000</v>
      </c>
      <c r="F18" s="1092">
        <f>+D18/D7</f>
        <v>231456.70995670996</v>
      </c>
      <c r="G18" s="916">
        <f t="shared" ref="G18:G24" si="0">+D18/$D$25</f>
        <v>4.6650068364793233E-2</v>
      </c>
      <c r="H18" s="917">
        <f t="shared" ref="H18:H36" si="1">+D18/$D$37</f>
        <v>3.1471577266997529E-2</v>
      </c>
      <c r="I18" s="918">
        <f>+D18/D50</f>
        <v>2.621967425819419E-2</v>
      </c>
    </row>
    <row r="19" spans="2:9" ht="19.95" customHeight="1">
      <c r="B19" s="924">
        <v>7270</v>
      </c>
      <c r="C19" s="851" t="s">
        <v>35</v>
      </c>
      <c r="D19" s="925">
        <f>+B19*D10</f>
        <v>469173666.60000002</v>
      </c>
      <c r="E19" s="867">
        <f t="shared" ref="E19:E37" si="2">+D19/$G$9</f>
        <v>7691371.5836065579</v>
      </c>
      <c r="F19" s="926">
        <f>+D19/D7</f>
        <v>1015527.4168831169</v>
      </c>
      <c r="G19" s="927">
        <f t="shared" si="0"/>
        <v>0.20467941254664798</v>
      </c>
      <c r="H19" s="928">
        <f t="shared" si="1"/>
        <v>0.1380830548104181</v>
      </c>
      <c r="I19" s="929">
        <f>+D19/$D$50</f>
        <v>0.11504007844888485</v>
      </c>
    </row>
    <row r="20" spans="2:9" ht="19.95" customHeight="1">
      <c r="B20" s="924">
        <v>38350</v>
      </c>
      <c r="C20" s="851" t="s">
        <v>38</v>
      </c>
      <c r="D20" s="925">
        <f>+B20*D11</f>
        <v>1517166651</v>
      </c>
      <c r="E20" s="867">
        <f t="shared" si="2"/>
        <v>24871584.442622952</v>
      </c>
      <c r="F20" s="926">
        <f>+D20/D7</f>
        <v>3283910.5</v>
      </c>
      <c r="G20" s="927">
        <f t="shared" si="0"/>
        <v>0.66187171396981659</v>
      </c>
      <c r="H20" s="928">
        <f t="shared" si="1"/>
        <v>0.44651910527020072</v>
      </c>
      <c r="I20" s="929">
        <f>+D20/D50</f>
        <v>0.37200504413619173</v>
      </c>
    </row>
    <row r="21" spans="2:9" ht="19.95" customHeight="1">
      <c r="B21" s="935">
        <v>0.1</v>
      </c>
      <c r="C21" s="851" t="s">
        <v>148</v>
      </c>
      <c r="D21" s="936">
        <f>+(D19+D20)*B21</f>
        <v>198634031.75999999</v>
      </c>
      <c r="E21" s="937">
        <f t="shared" si="2"/>
        <v>3256295.6026229504</v>
      </c>
      <c r="F21" s="926">
        <f>+D21/D7</f>
        <v>429943.79168831167</v>
      </c>
      <c r="G21" s="927">
        <f t="shared" si="0"/>
        <v>8.6655112651646451E-2</v>
      </c>
      <c r="H21" s="928">
        <f t="shared" si="1"/>
        <v>5.846021600806188E-2</v>
      </c>
      <c r="I21" s="929">
        <f>+D21/D50</f>
        <v>4.8704512258507651E-2</v>
      </c>
    </row>
    <row r="22" spans="2:9" ht="19.95" customHeight="1">
      <c r="B22" s="935">
        <v>0.01</v>
      </c>
      <c r="C22" s="851" t="s">
        <v>1607</v>
      </c>
      <c r="D22" s="936">
        <f>+(D19+D20)*B22</f>
        <v>19863403.175999999</v>
      </c>
      <c r="E22" s="937">
        <f t="shared" si="2"/>
        <v>325629.56026229507</v>
      </c>
      <c r="F22" s="926">
        <f>+D22/D7</f>
        <v>42994.379168831168</v>
      </c>
      <c r="G22" s="927">
        <f t="shared" si="0"/>
        <v>8.6655112651646445E-3</v>
      </c>
      <c r="H22" s="928">
        <f t="shared" si="1"/>
        <v>5.8460216008061876E-3</v>
      </c>
      <c r="I22" s="929">
        <f>+D22/D50</f>
        <v>4.8704512258507656E-3</v>
      </c>
    </row>
    <row r="23" spans="2:9" ht="19.95" customHeight="1">
      <c r="B23" s="935">
        <v>2.4E-2</v>
      </c>
      <c r="C23" s="851" t="s">
        <v>1429</v>
      </c>
      <c r="D23" s="936">
        <f>+B23*(D19+D20)</f>
        <v>47672167.622400001</v>
      </c>
      <c r="E23" s="937">
        <f t="shared" si="2"/>
        <v>781510.94462950819</v>
      </c>
      <c r="F23" s="926">
        <f>+D23/D7</f>
        <v>103186.51000519481</v>
      </c>
      <c r="G23" s="927">
        <f t="shared" si="0"/>
        <v>2.0797227036395149E-2</v>
      </c>
      <c r="H23" s="928">
        <f t="shared" si="1"/>
        <v>1.4030451841934851E-2</v>
      </c>
      <c r="I23" s="929">
        <f>+D23/D50</f>
        <v>1.1689082942041837E-2</v>
      </c>
    </row>
    <row r="24" spans="2:9" ht="19.95" customHeight="1">
      <c r="B24" s="935">
        <v>0.02</v>
      </c>
      <c r="C24" s="851" t="s">
        <v>764</v>
      </c>
      <c r="D24" s="936">
        <f>+B24*(D19+D20)</f>
        <v>39726806.351999998</v>
      </c>
      <c r="E24" s="937">
        <f t="shared" si="2"/>
        <v>651259.12052459014</v>
      </c>
      <c r="F24" s="926">
        <f>+D24/D7</f>
        <v>85988.758337662337</v>
      </c>
      <c r="G24" s="927">
        <f t="shared" si="0"/>
        <v>1.7331022530329289E-2</v>
      </c>
      <c r="H24" s="928">
        <f t="shared" si="1"/>
        <v>1.1692043201612375E-2</v>
      </c>
      <c r="I24" s="929">
        <f>+D24/D50</f>
        <v>9.7409024517015313E-3</v>
      </c>
    </row>
    <row r="25" spans="2:9" ht="19.95" customHeight="1">
      <c r="B25" s="943"/>
      <c r="C25" s="944" t="s">
        <v>41</v>
      </c>
      <c r="D25" s="945">
        <f>+D19+D20+D21+D22+D23+D24</f>
        <v>2292236726.5103998</v>
      </c>
      <c r="E25" s="946">
        <f t="shared" si="2"/>
        <v>37577651.254268847</v>
      </c>
      <c r="F25" s="947">
        <f>+F19+F20+F21+F23+F24</f>
        <v>4918556.9769142857</v>
      </c>
      <c r="G25" s="948"/>
      <c r="H25" s="949">
        <f t="shared" si="1"/>
        <v>0.674630892733034</v>
      </c>
      <c r="I25" s="950">
        <f>+D25/D50</f>
        <v>0.56205007146317831</v>
      </c>
    </row>
    <row r="26" spans="2:9" ht="19.95" customHeight="1">
      <c r="B26" s="952">
        <v>0.08</v>
      </c>
      <c r="C26" s="953" t="s">
        <v>42</v>
      </c>
      <c r="D26" s="925">
        <f>+B26*(D19+D20)</f>
        <v>158907225.40799999</v>
      </c>
      <c r="E26" s="867">
        <f t="shared" si="2"/>
        <v>2605036.4820983605</v>
      </c>
      <c r="F26" s="954">
        <f>+D26/D7</f>
        <v>343955.03335064935</v>
      </c>
      <c r="G26" s="955">
        <f>+D26/$D$31</f>
        <v>0.2289704914279172</v>
      </c>
      <c r="H26" s="928">
        <f t="shared" si="1"/>
        <v>4.6768172806449501E-2</v>
      </c>
      <c r="I26" s="956">
        <f>+D26/D50</f>
        <v>3.8963609806806125E-2</v>
      </c>
    </row>
    <row r="27" spans="2:9" ht="19.95" customHeight="1">
      <c r="B27" s="935">
        <v>0.184</v>
      </c>
      <c r="C27" s="851" t="s">
        <v>43</v>
      </c>
      <c r="D27" s="936">
        <f>+B27*(D20+D19)</f>
        <v>365486618.43839997</v>
      </c>
      <c r="E27" s="937">
        <f t="shared" si="2"/>
        <v>5991583.9088262292</v>
      </c>
      <c r="F27" s="926">
        <f>+D27/$D$7</f>
        <v>791096.57670649339</v>
      </c>
      <c r="G27" s="927">
        <f>+D27/$D$31</f>
        <v>0.52663213028420952</v>
      </c>
      <c r="H27" s="928">
        <f t="shared" si="1"/>
        <v>0.10756679745483386</v>
      </c>
      <c r="I27" s="929">
        <f>+D27/D50</f>
        <v>8.9616302555654073E-2</v>
      </c>
    </row>
    <row r="28" spans="2:9" ht="19.95" customHeight="1">
      <c r="B28" s="935">
        <v>3.5000000000000003E-2</v>
      </c>
      <c r="C28" s="851" t="s">
        <v>672</v>
      </c>
      <c r="D28" s="936">
        <f>+D25*B28</f>
        <v>80228285.427864</v>
      </c>
      <c r="E28" s="937">
        <f t="shared" si="2"/>
        <v>1315217.7938994099</v>
      </c>
      <c r="F28" s="926">
        <f>+D28/$D$7</f>
        <v>173654.2974629091</v>
      </c>
      <c r="G28" s="927">
        <f>+D28/$D$31</f>
        <v>0.11560147685966971</v>
      </c>
      <c r="H28" s="928">
        <f t="shared" si="1"/>
        <v>2.3612081245656193E-2</v>
      </c>
      <c r="I28" s="929">
        <f>+D28/D50</f>
        <v>1.9671752501211243E-2</v>
      </c>
    </row>
    <row r="29" spans="2:9" ht="19.95" customHeight="1">
      <c r="B29" s="935">
        <v>3.5000000000000003E-2</v>
      </c>
      <c r="C29" s="851" t="s">
        <v>45</v>
      </c>
      <c r="D29" s="936">
        <f>+(D19+D20)*B29</f>
        <v>69521911.115999997</v>
      </c>
      <c r="E29" s="937">
        <f t="shared" si="2"/>
        <v>1139703.4609180328</v>
      </c>
      <c r="F29" s="926">
        <f>+D29/$D$7</f>
        <v>150480.32709090909</v>
      </c>
      <c r="G29" s="927">
        <f>+D29/$D$31</f>
        <v>0.10017458999971378</v>
      </c>
      <c r="H29" s="928">
        <f t="shared" si="1"/>
        <v>2.0461075602821656E-2</v>
      </c>
      <c r="I29" s="929">
        <f>+D29/D50</f>
        <v>1.7046579290477679E-2</v>
      </c>
    </row>
    <row r="30" spans="2:9" ht="19.95" customHeight="1">
      <c r="B30" s="935">
        <v>0.01</v>
      </c>
      <c r="C30" s="851" t="s">
        <v>46</v>
      </c>
      <c r="D30" s="925">
        <f>+B30*(D19+D20)</f>
        <v>19863403.175999999</v>
      </c>
      <c r="E30" s="867">
        <f t="shared" si="2"/>
        <v>325629.56026229507</v>
      </c>
      <c r="F30" s="926">
        <f>+D30/$D$7</f>
        <v>42994.379168831168</v>
      </c>
      <c r="G30" s="927">
        <f>+D30/$D$31</f>
        <v>2.862131142848965E-2</v>
      </c>
      <c r="H30" s="928">
        <f t="shared" si="1"/>
        <v>5.8460216008061876E-3</v>
      </c>
      <c r="I30" s="929">
        <f>+D30/D50</f>
        <v>4.8704512258507656E-3</v>
      </c>
    </row>
    <row r="31" spans="2:9" ht="19.95" customHeight="1">
      <c r="B31" s="943"/>
      <c r="C31" s="944" t="s">
        <v>47</v>
      </c>
      <c r="D31" s="945">
        <f>+D26+D27+D28+D29+D30</f>
        <v>694007443.56626403</v>
      </c>
      <c r="E31" s="945">
        <f>+E26+E27+E28+E29+E30</f>
        <v>11377171.206004327</v>
      </c>
      <c r="F31" s="947">
        <f>+F26+F27+F28+F29+F30</f>
        <v>1502180.6137797921</v>
      </c>
      <c r="G31" s="961"/>
      <c r="H31" s="949">
        <f t="shared" si="1"/>
        <v>0.20425414871056741</v>
      </c>
      <c r="I31" s="950">
        <f>+D31/D50</f>
        <v>0.1701686953799999</v>
      </c>
    </row>
    <row r="32" spans="2:9" ht="19.95" customHeight="1">
      <c r="B32" s="952"/>
      <c r="C32" s="953" t="s">
        <v>48</v>
      </c>
      <c r="D32" s="925">
        <v>30500000</v>
      </c>
      <c r="E32" s="867">
        <f>+D32/$G$9</f>
        <v>500000</v>
      </c>
      <c r="F32" s="926">
        <f>+D32/$D$7</f>
        <v>66017.316017316014</v>
      </c>
      <c r="G32" s="955">
        <f>+D32/$D$36</f>
        <v>0.10013556851413963</v>
      </c>
      <c r="H32" s="928">
        <f t="shared" si="1"/>
        <v>8.9764909489439618E-3</v>
      </c>
      <c r="I32" s="956">
        <f>+D32/D50</f>
        <v>7.4785151905859071E-3</v>
      </c>
    </row>
    <row r="33" spans="2:9" ht="19.95" customHeight="1">
      <c r="B33" s="924"/>
      <c r="C33" s="851" t="s">
        <v>49</v>
      </c>
      <c r="D33" s="925">
        <v>25000000</v>
      </c>
      <c r="E33" s="867">
        <f t="shared" si="2"/>
        <v>409836.06557377049</v>
      </c>
      <c r="F33" s="926">
        <f>+D33/$D$7</f>
        <v>54112.554112554113</v>
      </c>
      <c r="G33" s="927">
        <f>+D33/$D$36</f>
        <v>8.2078334847655435E-2</v>
      </c>
      <c r="H33" s="928">
        <f t="shared" si="1"/>
        <v>7.3577794663475093E-3</v>
      </c>
      <c r="I33" s="929">
        <f>+D33/D50</f>
        <v>6.1299304840868093E-3</v>
      </c>
    </row>
    <row r="34" spans="2:9" ht="19.95" customHeight="1">
      <c r="B34" s="935">
        <v>0.1</v>
      </c>
      <c r="C34" s="851" t="s">
        <v>50</v>
      </c>
      <c r="D34" s="925">
        <f>+B34*D25</f>
        <v>229223672.65103999</v>
      </c>
      <c r="E34" s="867">
        <f t="shared" si="2"/>
        <v>3757765.1254268852</v>
      </c>
      <c r="F34" s="926">
        <f>+D34/$D$7</f>
        <v>496155.13560831168</v>
      </c>
      <c r="G34" s="927">
        <f>+D34/$D$36</f>
        <v>0.75257189435445659</v>
      </c>
      <c r="H34" s="928">
        <f t="shared" si="1"/>
        <v>6.7463089273303412E-2</v>
      </c>
      <c r="I34" s="928">
        <f>+D34/D50</f>
        <v>5.6205007146317834E-2</v>
      </c>
    </row>
    <row r="35" spans="2:9" ht="19.95" customHeight="1">
      <c r="B35" s="935">
        <v>0.01</v>
      </c>
      <c r="C35" s="851" t="s">
        <v>51</v>
      </c>
      <c r="D35" s="925">
        <f>+B35*(D19+D20)</f>
        <v>19863403.175999999</v>
      </c>
      <c r="E35" s="867">
        <f t="shared" si="2"/>
        <v>325629.56026229507</v>
      </c>
      <c r="F35" s="926">
        <f>+D35/$D$7</f>
        <v>42994.379168831168</v>
      </c>
      <c r="G35" s="927">
        <f>+D35/$D$36</f>
        <v>6.5214202283748413E-2</v>
      </c>
      <c r="H35" s="928">
        <f t="shared" si="1"/>
        <v>5.8460216008061876E-3</v>
      </c>
      <c r="I35" s="928">
        <f>+D35/D50</f>
        <v>4.8704512258507656E-3</v>
      </c>
    </row>
    <row r="36" spans="2:9" ht="19.95" customHeight="1">
      <c r="B36" s="962"/>
      <c r="C36" s="944" t="s">
        <v>52</v>
      </c>
      <c r="D36" s="945">
        <f>+D32+D33+D34+D35</f>
        <v>304587075.82703996</v>
      </c>
      <c r="E36" s="946">
        <f t="shared" si="2"/>
        <v>4993230.7512629498</v>
      </c>
      <c r="F36" s="963">
        <f>+F32+F33+F34+F35</f>
        <v>659279.38490701292</v>
      </c>
      <c r="G36" s="927">
        <f>+D36/$D$36</f>
        <v>1</v>
      </c>
      <c r="H36" s="949">
        <f t="shared" si="1"/>
        <v>8.9643381289401053E-2</v>
      </c>
      <c r="I36" s="964">
        <f>+D36/D50</f>
        <v>7.4683904046841304E-2</v>
      </c>
    </row>
    <row r="37" spans="2:9" ht="19.95" customHeight="1">
      <c r="B37" s="965"/>
      <c r="C37" s="966" t="s">
        <v>53</v>
      </c>
      <c r="D37" s="967">
        <f>+D18+D25+D31+D36</f>
        <v>3397764245.9037037</v>
      </c>
      <c r="E37" s="968">
        <f t="shared" si="2"/>
        <v>55701053.211536124</v>
      </c>
      <c r="F37" s="969">
        <f>+F18+F25+F31+F36</f>
        <v>7311473.6855578013</v>
      </c>
      <c r="G37" s="970"/>
      <c r="H37" s="971"/>
      <c r="I37" s="918">
        <f>+D37/D50</f>
        <v>0.83312234514821371</v>
      </c>
    </row>
    <row r="38" spans="2:9" ht="13.8">
      <c r="D38" s="925"/>
      <c r="E38" s="883"/>
    </row>
    <row r="39" spans="2:9" ht="19.5" customHeight="1">
      <c r="D39" s="972"/>
      <c r="E39" s="883"/>
    </row>
    <row r="40" spans="2:9" ht="19.5" customHeight="1">
      <c r="B40" s="973"/>
      <c r="C40" s="894" t="s">
        <v>1430</v>
      </c>
      <c r="D40" s="895"/>
      <c r="E40" s="974"/>
      <c r="F40" s="896"/>
    </row>
    <row r="41" spans="2:9" ht="19.5" customHeight="1">
      <c r="B41" s="975"/>
      <c r="C41" s="976" t="s">
        <v>1431</v>
      </c>
      <c r="D41" s="903" t="s">
        <v>1422</v>
      </c>
      <c r="E41" s="977" t="str">
        <f>+E17</f>
        <v>US $</v>
      </c>
      <c r="F41" s="978" t="s">
        <v>1432</v>
      </c>
      <c r="H41" s="936"/>
    </row>
    <row r="42" spans="2:9" ht="19.5" customHeight="1">
      <c r="B42" s="980"/>
      <c r="C42" s="981" t="s">
        <v>33</v>
      </c>
      <c r="D42" s="982">
        <f>+D18</f>
        <v>106933000</v>
      </c>
      <c r="E42" s="983">
        <f t="shared" ref="E42:E47" si="3">+D42/$G$9</f>
        <v>1753000</v>
      </c>
      <c r="F42" s="984">
        <f>+D42/$D$11</f>
        <v>2702.9862192772389</v>
      </c>
    </row>
    <row r="43" spans="2:9" ht="13.8">
      <c r="B43" s="980">
        <v>6</v>
      </c>
      <c r="C43" s="985" t="s">
        <v>1433</v>
      </c>
      <c r="D43" s="986">
        <f>+D25</f>
        <v>2292236726.5103998</v>
      </c>
      <c r="E43" s="987">
        <f t="shared" si="3"/>
        <v>37577651.254268847</v>
      </c>
      <c r="F43" s="988">
        <f>+D43/$D$11</f>
        <v>57941.741867139048</v>
      </c>
    </row>
    <row r="44" spans="2:9" ht="13.8">
      <c r="B44" s="989"/>
      <c r="C44" s="985" t="s">
        <v>1434</v>
      </c>
      <c r="D44" s="986">
        <f>+D31</f>
        <v>694007443.56626403</v>
      </c>
      <c r="E44" s="987">
        <f t="shared" si="3"/>
        <v>11377171.206004329</v>
      </c>
      <c r="F44" s="988">
        <f>+D44/$D$11</f>
        <v>17542.690806724189</v>
      </c>
    </row>
    <row r="45" spans="2:9" ht="13.8">
      <c r="B45" s="990"/>
      <c r="C45" s="991" t="s">
        <v>1435</v>
      </c>
      <c r="D45" s="992">
        <f>+D36</f>
        <v>304587075.82703996</v>
      </c>
      <c r="E45" s="993">
        <f t="shared" si="3"/>
        <v>4993230.7512629498</v>
      </c>
      <c r="F45" s="994">
        <f>+D45/$D$11</f>
        <v>7699.1636681888704</v>
      </c>
    </row>
    <row r="46" spans="2:9" ht="20.399999999999999">
      <c r="B46" s="980">
        <v>16</v>
      </c>
      <c r="C46" s="976" t="s">
        <v>1436</v>
      </c>
      <c r="D46" s="995">
        <f>+D42+D43+D44+D45</f>
        <v>3397764245.9037037</v>
      </c>
      <c r="E46" s="996">
        <f t="shared" si="3"/>
        <v>55701053.211536124</v>
      </c>
      <c r="F46" s="995">
        <f>+F42+F43+F44+F45</f>
        <v>85886.582561329356</v>
      </c>
    </row>
    <row r="47" spans="2:9" ht="13.8">
      <c r="B47" s="997"/>
      <c r="C47" s="985" t="s">
        <v>1437</v>
      </c>
      <c r="D47" s="986">
        <f>+D46/D7</f>
        <v>7354468.0647266312</v>
      </c>
      <c r="E47" s="984">
        <f t="shared" si="3"/>
        <v>120565.05024142018</v>
      </c>
      <c r="F47" s="998"/>
    </row>
    <row r="48" spans="2:9" ht="13.8">
      <c r="B48" s="997"/>
      <c r="C48" s="991" t="s">
        <v>1438</v>
      </c>
      <c r="D48" s="992">
        <f>+D47/D5</f>
        <v>85886.582561329342</v>
      </c>
      <c r="E48" s="994">
        <f>+E47/D5</f>
        <v>1407.976763300481</v>
      </c>
    </row>
    <row r="50" spans="2:7" ht="17.399999999999999">
      <c r="B50" s="997"/>
      <c r="C50" s="999" t="s">
        <v>1439</v>
      </c>
      <c r="D50" s="995">
        <f>+F50*D11</f>
        <v>4078349675.3999996</v>
      </c>
      <c r="E50" s="996">
        <f>+D50/G9</f>
        <v>66858191.399999991</v>
      </c>
      <c r="F50" s="1000">
        <f>+F51*G9</f>
        <v>103090</v>
      </c>
    </row>
    <row r="51" spans="2:7" ht="13.8">
      <c r="C51" s="1001" t="s">
        <v>1440</v>
      </c>
      <c r="D51" s="1002">
        <f>+D50/D7</f>
        <v>8827596.6999999993</v>
      </c>
      <c r="E51" s="1003">
        <f>+D51/$G$9</f>
        <v>144714.69999999998</v>
      </c>
      <c r="F51" s="883">
        <v>1690</v>
      </c>
    </row>
    <row r="52" spans="2:7" ht="19.5" customHeight="1">
      <c r="C52" s="854"/>
      <c r="D52" s="854"/>
      <c r="E52" s="1004"/>
      <c r="F52" s="854"/>
    </row>
    <row r="53" spans="2:7" ht="19.5" customHeight="1">
      <c r="C53" s="1005" t="s">
        <v>1441</v>
      </c>
      <c r="D53" s="1006" t="s">
        <v>1422</v>
      </c>
      <c r="E53" s="1007" t="str">
        <f>+E41</f>
        <v>US $</v>
      </c>
      <c r="F53" s="1008"/>
    </row>
    <row r="54" spans="2:7" ht="13.8">
      <c r="C54" s="981" t="s">
        <v>1442</v>
      </c>
      <c r="D54" s="1009">
        <f>+D50-D46</f>
        <v>680585429.49629593</v>
      </c>
      <c r="E54" s="987">
        <f>+D54/$G$9</f>
        <v>11157138.188463869</v>
      </c>
      <c r="F54" s="984">
        <f>+E54/D7</f>
        <v>24149.649758579802</v>
      </c>
      <c r="G54" s="874" t="s">
        <v>1443</v>
      </c>
    </row>
    <row r="55" spans="2:7" ht="13.8">
      <c r="B55" s="1010">
        <f>+(E50-E46)/E50</f>
        <v>0.16687765485178632</v>
      </c>
      <c r="C55" s="991" t="s">
        <v>1444</v>
      </c>
      <c r="D55" s="1011">
        <f>+D54/D18</f>
        <v>6.3645967988955316</v>
      </c>
      <c r="E55" s="1012"/>
      <c r="F55" s="1013">
        <f>+E54/D11</f>
        <v>282.02323669951892</v>
      </c>
      <c r="G55" s="874" t="s">
        <v>1432</v>
      </c>
    </row>
  </sheetData>
  <mergeCells count="1">
    <mergeCell ref="B3:H3"/>
  </mergeCells>
  <dataValidations count="7">
    <dataValidation allowBlank="1" showInputMessage="1" showErrorMessage="1" promptTitle="COSTO" prompt="M2 DE URBANISMO" sqref="B19" xr:uid="{A3A1EDD9-95DC-4C83-84D4-CE50023570F9}"/>
    <dataValidation allowBlank="1" showInputMessage="1" showErrorMessage="1" promptTitle="REGISTRO DE DATOS:" prompt="Indique unidad en M2 del Parcelamiento" sqref="B33 B18" xr:uid="{D4E299ED-C5AD-42C9-8C15-9046BE345CCB}"/>
    <dataValidation allowBlank="1" showInputMessage="1" showErrorMessage="1" promptTitle="REGISTRO DE DATOS:" prompt="INDIQUE M2 PARCELAS ADICIONALES" sqref="D12" xr:uid="{8323A0B2-518B-4AD4-BCEF-9D3A6D406C3F}"/>
    <dataValidation allowBlank="1" showInputMessage="1" showErrorMessage="1" promptTitle="REGISTRO DE DATOS:" prompt="INDIQUE CANTIDAD DE VIVIENDAS" sqref="D7:E7" xr:uid="{236C3189-2504-48F1-96B1-5F25E5E6F345}"/>
    <dataValidation allowBlank="1" showInputMessage="1" showErrorMessage="1" promptTitle="REGISTRO DE DATOS:" prompt="INDIQUE PARCELA BÁSICA" sqref="D6:E6" xr:uid="{414ECACA-6027-4186-A373-F56325FBB797}"/>
    <dataValidation allowBlank="1" showInputMessage="1" showErrorMessage="1" promptTitle="REGISTRO DE DATOS:" prompt="INDIQUE ÁREA DE CONSTRUCCIÓN" sqref="D5:E5" xr:uid="{D0ED8FF0-55CC-4CBF-8133-135130F92B2F}"/>
    <dataValidation allowBlank="1" showInputMessage="1" showErrorMessage="1" promptTitle="COSTO" prompt="M2 DE VIVIENDA" sqref="B20" xr:uid="{235F6178-CB88-4EAA-B708-CB0CBF49DA6C}"/>
  </dataValidations>
  <pageMargins left="0.5" right="0.69" top="0.92" bottom="1" header="0" footer="0"/>
  <pageSetup scale="38" orientation="landscape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02665-5815-4DE4-BA05-A7343D86D7DC}">
  <dimension ref="A1:K48"/>
  <sheetViews>
    <sheetView showGridLines="0" zoomScaleNormal="100" workbookViewId="0">
      <selection activeCell="I9" sqref="I9"/>
    </sheetView>
  </sheetViews>
  <sheetFormatPr baseColWidth="10" defaultColWidth="8" defaultRowHeight="11.4"/>
  <cols>
    <col min="1" max="1" width="1.33203125" style="408" customWidth="1"/>
    <col min="2" max="2" width="42.6640625" style="408" customWidth="1"/>
    <col min="3" max="3" width="13.33203125" style="408" customWidth="1"/>
    <col min="4" max="4" width="18.109375" style="408" customWidth="1"/>
    <col min="5" max="5" width="8" style="408"/>
    <col min="6" max="6" width="46.109375" style="408" customWidth="1"/>
    <col min="7" max="7" width="12.44140625" style="408" bestFit="1" customWidth="1"/>
    <col min="8" max="8" width="12.33203125" style="408" bestFit="1" customWidth="1"/>
    <col min="9" max="9" width="12.44140625" style="408" bestFit="1" customWidth="1"/>
    <col min="10" max="10" width="13" style="400" bestFit="1" customWidth="1"/>
    <col min="11" max="11" width="13.5546875" style="400" bestFit="1" customWidth="1"/>
    <col min="12" max="16384" width="8" style="408"/>
  </cols>
  <sheetData>
    <row r="1" spans="1:11" s="405" customFormat="1" ht="16.649999999999999" customHeight="1">
      <c r="A1" s="404" t="s">
        <v>235</v>
      </c>
      <c r="B1" s="404"/>
      <c r="C1" s="404"/>
      <c r="D1" s="404"/>
      <c r="J1" s="1115"/>
      <c r="K1" s="1115"/>
    </row>
    <row r="2" spans="1:11" s="407" customFormat="1" ht="14.4" customHeight="1">
      <c r="A2" s="406" t="s">
        <v>236</v>
      </c>
      <c r="B2" s="406"/>
      <c r="C2" s="406"/>
      <c r="D2" s="406"/>
      <c r="J2" s="1116"/>
      <c r="K2" s="1116"/>
    </row>
    <row r="3" spans="1:11" s="407" customFormat="1" ht="14.4" customHeight="1">
      <c r="A3" s="406" t="s">
        <v>1302</v>
      </c>
      <c r="B3" s="406"/>
      <c r="C3" s="406"/>
      <c r="D3" s="406"/>
      <c r="J3" s="1116"/>
      <c r="K3" s="1116"/>
    </row>
    <row r="4" spans="1:11" ht="13.35" customHeight="1"/>
    <row r="5" spans="1:11" s="412" customFormat="1" ht="12.15" customHeight="1">
      <c r="A5" s="409"/>
      <c r="B5" s="410" t="s">
        <v>238</v>
      </c>
      <c r="C5" s="411" t="s">
        <v>1526</v>
      </c>
      <c r="D5" s="411"/>
      <c r="F5" s="404" t="s">
        <v>662</v>
      </c>
      <c r="G5" s="404"/>
      <c r="H5" s="404"/>
      <c r="I5" s="404"/>
      <c r="J5" s="1117"/>
      <c r="K5" s="1117"/>
    </row>
    <row r="6" spans="1:11" ht="13.35" customHeight="1">
      <c r="F6" s="406" t="s">
        <v>236</v>
      </c>
      <c r="G6" s="406"/>
      <c r="H6" s="406"/>
      <c r="I6" s="406"/>
    </row>
    <row r="7" spans="1:11" s="412" customFormat="1" ht="12.15" customHeight="1">
      <c r="A7" s="409" t="s">
        <v>239</v>
      </c>
      <c r="B7" s="409"/>
      <c r="C7" s="409"/>
      <c r="D7" s="409"/>
      <c r="F7" s="406" t="s">
        <v>1523</v>
      </c>
      <c r="G7" s="406"/>
      <c r="H7" s="406"/>
      <c r="I7" s="406"/>
      <c r="J7" s="1117"/>
      <c r="K7" s="1117"/>
    </row>
    <row r="8" spans="1:11" ht="10.95" customHeight="1">
      <c r="A8" s="413"/>
      <c r="B8" s="413" t="s">
        <v>638</v>
      </c>
      <c r="C8" s="413"/>
      <c r="D8" s="413"/>
    </row>
    <row r="9" spans="1:11" ht="10.95" customHeight="1">
      <c r="B9" s="414" t="s">
        <v>639</v>
      </c>
      <c r="C9" s="415">
        <v>1477390.66</v>
      </c>
      <c r="D9" s="1101"/>
      <c r="F9" s="1052" t="s">
        <v>862</v>
      </c>
      <c r="G9" s="1052" t="s">
        <v>665</v>
      </c>
      <c r="H9" s="1052" t="s">
        <v>666</v>
      </c>
      <c r="I9" s="1052" t="s">
        <v>238</v>
      </c>
    </row>
    <row r="10" spans="1:11" ht="10.95" customHeight="1">
      <c r="B10" s="414" t="s">
        <v>1608</v>
      </c>
      <c r="C10" s="415">
        <v>5682220.1900000004</v>
      </c>
      <c r="D10" s="414"/>
      <c r="F10" s="421" t="s">
        <v>1388</v>
      </c>
      <c r="G10" s="422">
        <v>94191221.829999998</v>
      </c>
      <c r="H10" s="422">
        <v>0</v>
      </c>
      <c r="I10" s="715">
        <f t="shared" ref="I10:I15" si="0">+G10-H10</f>
        <v>94191221.829999998</v>
      </c>
    </row>
    <row r="11" spans="1:11" ht="10.95" customHeight="1">
      <c r="B11" s="414" t="s">
        <v>640</v>
      </c>
      <c r="C11" s="415">
        <v>17231.47</v>
      </c>
      <c r="D11" s="414"/>
      <c r="F11" s="414" t="s">
        <v>1389</v>
      </c>
      <c r="G11" s="415">
        <v>21715435.649999999</v>
      </c>
      <c r="H11" s="415">
        <v>0</v>
      </c>
      <c r="I11" s="715">
        <f t="shared" si="0"/>
        <v>21715435.649999999</v>
      </c>
      <c r="J11" s="400">
        <v>18882518.93</v>
      </c>
      <c r="K11" s="400">
        <f>+I11-J11</f>
        <v>2832916.7199999988</v>
      </c>
    </row>
    <row r="12" spans="1:11" ht="10.95" customHeight="1">
      <c r="B12" s="1084" t="s">
        <v>799</v>
      </c>
      <c r="C12" s="1085">
        <v>2008897.22</v>
      </c>
      <c r="D12" s="1084"/>
      <c r="F12" s="414" t="s">
        <v>1025</v>
      </c>
      <c r="G12" s="415">
        <v>15535855.6</v>
      </c>
      <c r="H12" s="415">
        <v>1993193.66</v>
      </c>
      <c r="I12" s="715">
        <f t="shared" si="0"/>
        <v>13542661.939999999</v>
      </c>
      <c r="J12" s="400">
        <v>15689673.789999999</v>
      </c>
      <c r="K12" s="400">
        <f>+I12-J12</f>
        <v>-2147011.8499999996</v>
      </c>
    </row>
    <row r="13" spans="1:11" ht="10.95" customHeight="1">
      <c r="B13" s="414" t="s">
        <v>1392</v>
      </c>
      <c r="C13" s="415">
        <v>28750518.449999999</v>
      </c>
      <c r="D13" s="414"/>
      <c r="F13" s="414" t="s">
        <v>1037</v>
      </c>
      <c r="G13" s="415">
        <v>14198081.1</v>
      </c>
      <c r="H13" s="415">
        <v>0</v>
      </c>
      <c r="I13" s="715">
        <f t="shared" si="0"/>
        <v>14198081.1</v>
      </c>
      <c r="J13" s="400">
        <v>14201847.640000001</v>
      </c>
      <c r="K13" s="400">
        <f t="shared" ref="K13:K15" si="1">+I13-J13</f>
        <v>-3766.5400000009686</v>
      </c>
    </row>
    <row r="14" spans="1:11" ht="10.95" customHeight="1">
      <c r="B14" s="414" t="s">
        <v>1394</v>
      </c>
      <c r="C14" s="415">
        <v>4523026.18</v>
      </c>
      <c r="D14" s="414"/>
      <c r="F14" s="414" t="s">
        <v>1390</v>
      </c>
      <c r="G14" s="415">
        <v>185024</v>
      </c>
      <c r="H14" s="415">
        <v>0</v>
      </c>
      <c r="I14" s="715">
        <f t="shared" si="0"/>
        <v>185024</v>
      </c>
      <c r="K14" s="400">
        <f t="shared" si="1"/>
        <v>185024</v>
      </c>
    </row>
    <row r="15" spans="1:11" ht="10.95" customHeight="1">
      <c r="B15" s="414" t="s">
        <v>844</v>
      </c>
      <c r="C15" s="415">
        <v>2857902.41</v>
      </c>
      <c r="D15" s="414"/>
      <c r="F15" s="414" t="s">
        <v>1391</v>
      </c>
      <c r="G15" s="415">
        <v>54785.34</v>
      </c>
      <c r="H15" s="415">
        <v>0</v>
      </c>
      <c r="I15" s="715">
        <f t="shared" si="0"/>
        <v>54785.34</v>
      </c>
      <c r="K15" s="400">
        <f t="shared" si="1"/>
        <v>54785.34</v>
      </c>
    </row>
    <row r="16" spans="1:11" ht="10.95" customHeight="1">
      <c r="B16" s="414" t="s">
        <v>845</v>
      </c>
      <c r="C16" s="415">
        <v>131693.22</v>
      </c>
      <c r="D16" s="414"/>
      <c r="F16" s="1049" t="s">
        <v>1393</v>
      </c>
      <c r="G16" s="1051">
        <f>SUM(G10:G15)</f>
        <v>145880403.51999998</v>
      </c>
      <c r="H16" s="1051">
        <f>SUM(H10:H15)</f>
        <v>1993193.66</v>
      </c>
      <c r="I16" s="1051">
        <f>SUM(I10:I15)</f>
        <v>143887209.85999998</v>
      </c>
    </row>
    <row r="17" spans="1:11" ht="10.95" customHeight="1">
      <c r="B17" s="416" t="s">
        <v>642</v>
      </c>
      <c r="C17" s="417">
        <v>45448879.799999997</v>
      </c>
      <c r="D17" s="1099"/>
      <c r="F17" s="414"/>
      <c r="G17" s="415"/>
      <c r="H17" s="415"/>
      <c r="I17" s="715"/>
    </row>
    <row r="18" spans="1:11" ht="10.95" customHeight="1">
      <c r="A18" s="413"/>
      <c r="B18" s="413" t="s">
        <v>240</v>
      </c>
      <c r="C18" s="413"/>
      <c r="D18" s="1102"/>
      <c r="F18" s="414" t="s">
        <v>954</v>
      </c>
      <c r="G18" s="415">
        <v>7241175.9699999997</v>
      </c>
      <c r="H18" s="415">
        <v>0</v>
      </c>
      <c r="I18" s="715">
        <f t="shared" ref="I18:I28" si="2">+G18-H18</f>
        <v>7241175.9699999997</v>
      </c>
      <c r="J18" s="400" t="s">
        <v>1609</v>
      </c>
    </row>
    <row r="19" spans="1:11" ht="10.95" customHeight="1">
      <c r="B19" s="414" t="s">
        <v>241</v>
      </c>
      <c r="C19" s="415">
        <v>11654000.24</v>
      </c>
      <c r="D19" s="414"/>
      <c r="F19" s="414" t="s">
        <v>1610</v>
      </c>
      <c r="G19" s="415">
        <v>6290641.6900000004</v>
      </c>
      <c r="H19" s="415">
        <v>0</v>
      </c>
      <c r="I19" s="715">
        <f t="shared" si="2"/>
        <v>6290641.6900000004</v>
      </c>
      <c r="J19" s="400">
        <v>13303973.189999999</v>
      </c>
      <c r="K19" s="400">
        <f>+I19+I20+I21-J19</f>
        <v>810666.47000000067</v>
      </c>
    </row>
    <row r="20" spans="1:11" ht="10.95" customHeight="1">
      <c r="B20" s="416" t="s">
        <v>242</v>
      </c>
      <c r="C20" s="417">
        <v>11654000.24</v>
      </c>
      <c r="D20" s="1099"/>
      <c r="F20" s="414" t="s">
        <v>1279</v>
      </c>
      <c r="G20" s="415">
        <v>1534000</v>
      </c>
      <c r="H20" s="415">
        <v>0</v>
      </c>
      <c r="I20" s="715">
        <f t="shared" si="2"/>
        <v>1534000</v>
      </c>
    </row>
    <row r="21" spans="1:11" ht="10.95" customHeight="1">
      <c r="A21" s="413"/>
      <c r="B21" s="413" t="s">
        <v>243</v>
      </c>
      <c r="C21" s="413"/>
      <c r="D21" s="413"/>
      <c r="F21" s="414" t="s">
        <v>1280</v>
      </c>
      <c r="G21" s="415">
        <v>6289997.9699999997</v>
      </c>
      <c r="H21" s="415">
        <v>0</v>
      </c>
      <c r="I21" s="715">
        <f t="shared" si="2"/>
        <v>6289997.9699999997</v>
      </c>
    </row>
    <row r="22" spans="1:11" ht="10.95" customHeight="1">
      <c r="B22" s="414" t="s">
        <v>1278</v>
      </c>
      <c r="C22" s="415">
        <v>4.1900000000000004</v>
      </c>
      <c r="D22" s="414"/>
      <c r="F22" s="414" t="s">
        <v>1281</v>
      </c>
      <c r="G22" s="415">
        <v>598009.63</v>
      </c>
      <c r="H22" s="415">
        <v>0</v>
      </c>
      <c r="I22" s="715">
        <f t="shared" si="2"/>
        <v>598009.63</v>
      </c>
    </row>
    <row r="23" spans="1:11" ht="10.95" customHeight="1">
      <c r="B23" s="414" t="s">
        <v>800</v>
      </c>
      <c r="C23" s="415">
        <v>49714868.030000001</v>
      </c>
      <c r="D23" s="414"/>
      <c r="F23" s="414" t="s">
        <v>1282</v>
      </c>
      <c r="G23" s="415">
        <v>468514.53</v>
      </c>
      <c r="H23" s="415">
        <v>0</v>
      </c>
      <c r="I23" s="715">
        <f t="shared" si="2"/>
        <v>468514.53</v>
      </c>
    </row>
    <row r="24" spans="1:11" ht="10.95" customHeight="1">
      <c r="B24" s="414" t="s">
        <v>245</v>
      </c>
      <c r="C24" s="415">
        <v>44192172.060000002</v>
      </c>
      <c r="D24" s="414"/>
      <c r="F24" s="414" t="s">
        <v>1283</v>
      </c>
      <c r="G24" s="415">
        <v>6861094.1699999999</v>
      </c>
      <c r="H24" s="415">
        <v>0</v>
      </c>
      <c r="I24" s="715">
        <f t="shared" si="2"/>
        <v>6861094.1699999999</v>
      </c>
      <c r="J24" s="400">
        <v>19817702.52</v>
      </c>
      <c r="K24" s="400">
        <f>+I24+I25+I26+I27+I28-J24</f>
        <v>1952129.75</v>
      </c>
    </row>
    <row r="25" spans="1:11" ht="10.95" customHeight="1">
      <c r="B25" s="414" t="s">
        <v>801</v>
      </c>
      <c r="C25" s="415">
        <v>15060204.34</v>
      </c>
      <c r="D25" s="414"/>
      <c r="F25" s="414" t="s">
        <v>855</v>
      </c>
      <c r="G25" s="415">
        <v>6699456.0899999999</v>
      </c>
      <c r="H25" s="415">
        <v>0</v>
      </c>
      <c r="I25" s="715">
        <f t="shared" si="2"/>
        <v>6699456.0899999999</v>
      </c>
    </row>
    <row r="26" spans="1:11" ht="10.95" customHeight="1">
      <c r="B26" s="414" t="s">
        <v>33</v>
      </c>
      <c r="C26" s="415">
        <v>94172341.829999998</v>
      </c>
      <c r="D26" s="414"/>
      <c r="F26" s="414" t="s">
        <v>858</v>
      </c>
      <c r="G26" s="415">
        <v>6768278.04</v>
      </c>
      <c r="H26" s="415">
        <v>18821</v>
      </c>
      <c r="I26" s="715">
        <f t="shared" si="2"/>
        <v>6749457.04</v>
      </c>
    </row>
    <row r="27" spans="1:11" ht="10.95" customHeight="1">
      <c r="B27" s="416" t="s">
        <v>247</v>
      </c>
      <c r="C27" s="417">
        <v>203139590.44999999</v>
      </c>
      <c r="D27" s="416"/>
      <c r="F27" s="414" t="s">
        <v>942</v>
      </c>
      <c r="G27" s="415">
        <v>297694.18</v>
      </c>
      <c r="H27" s="415">
        <v>0</v>
      </c>
      <c r="I27" s="715">
        <f t="shared" si="2"/>
        <v>297694.18</v>
      </c>
    </row>
    <row r="28" spans="1:11" ht="10.95" customHeight="1">
      <c r="A28" s="416" t="s">
        <v>248</v>
      </c>
      <c r="C28" s="417">
        <v>260242470.48999998</v>
      </c>
      <c r="D28" s="416"/>
      <c r="F28" s="414" t="s">
        <v>940</v>
      </c>
      <c r="G28" s="415">
        <v>1162130.79</v>
      </c>
      <c r="H28" s="415">
        <v>0</v>
      </c>
      <c r="I28" s="715">
        <f t="shared" si="2"/>
        <v>1162130.79</v>
      </c>
    </row>
    <row r="29" spans="1:11" ht="13.35" customHeight="1">
      <c r="F29" s="1049" t="s">
        <v>1395</v>
      </c>
      <c r="G29" s="1050">
        <f>SUM(G18:G28)</f>
        <v>44210993.059999995</v>
      </c>
      <c r="H29" s="1050">
        <f>SUM(H18:H28)</f>
        <v>18821</v>
      </c>
      <c r="I29" s="1050">
        <f>SUM(I18:I28)</f>
        <v>44192172.059999995</v>
      </c>
    </row>
    <row r="30" spans="1:11" s="412" customFormat="1" ht="12.15" customHeight="1">
      <c r="A30" s="409" t="s">
        <v>249</v>
      </c>
      <c r="B30" s="409"/>
      <c r="C30" s="409"/>
      <c r="D30" s="409"/>
      <c r="F30" s="414"/>
      <c r="G30" s="415"/>
      <c r="H30" s="415"/>
      <c r="I30" s="715"/>
      <c r="J30" s="1117"/>
      <c r="K30" s="1117"/>
    </row>
    <row r="31" spans="1:11" ht="10.95" customHeight="1">
      <c r="A31" s="413"/>
      <c r="B31" s="413" t="s">
        <v>250</v>
      </c>
      <c r="C31" s="413"/>
      <c r="D31" s="413"/>
      <c r="F31" s="414" t="s">
        <v>860</v>
      </c>
      <c r="G31" s="415">
        <v>18563552.079999998</v>
      </c>
      <c r="H31" s="415">
        <v>3503347.74</v>
      </c>
      <c r="I31" s="715">
        <f>+G31-H31</f>
        <v>15060204.339999998</v>
      </c>
      <c r="J31" s="400">
        <v>15080196.57</v>
      </c>
      <c r="K31" s="400">
        <f>+I31-J31</f>
        <v>-19992.23000000231</v>
      </c>
    </row>
    <row r="32" spans="1:11" ht="10.95" customHeight="1">
      <c r="B32" s="414" t="s">
        <v>251</v>
      </c>
      <c r="C32" s="415">
        <v>8238025.8700000001</v>
      </c>
      <c r="D32" s="414"/>
      <c r="F32" s="1049" t="s">
        <v>1396</v>
      </c>
      <c r="G32" s="1048">
        <f>SUM(G31:G31)</f>
        <v>18563552.079999998</v>
      </c>
      <c r="H32" s="1048">
        <f>SUM(H31:H31)</f>
        <v>3503347.74</v>
      </c>
      <c r="I32" s="1048">
        <f>SUM(I31:I31)</f>
        <v>15060204.339999998</v>
      </c>
    </row>
    <row r="33" spans="1:9" ht="10.95" customHeight="1">
      <c r="B33" s="414" t="s">
        <v>965</v>
      </c>
      <c r="C33" s="415">
        <v>48015000</v>
      </c>
      <c r="D33" s="414"/>
      <c r="F33" s="1047"/>
      <c r="G33" s="431"/>
      <c r="H33" s="431"/>
      <c r="I33" s="431"/>
    </row>
    <row r="34" spans="1:9" ht="10.95" customHeight="1">
      <c r="B34" s="1084" t="s">
        <v>802</v>
      </c>
      <c r="C34" s="1085">
        <v>42907921.100000001</v>
      </c>
      <c r="D34" s="1086"/>
      <c r="F34" s="419" t="s">
        <v>164</v>
      </c>
      <c r="G34" s="420">
        <f>+G16+G29+G32</f>
        <v>208654948.65999997</v>
      </c>
      <c r="H34" s="420">
        <f>+H16+H29+H32</f>
        <v>5515362.4000000004</v>
      </c>
      <c r="I34" s="420">
        <f>+I16+I29+I32</f>
        <v>203139586.25999999</v>
      </c>
    </row>
    <row r="35" spans="1:9" ht="10.95" customHeight="1">
      <c r="B35" s="414" t="s">
        <v>1284</v>
      </c>
      <c r="C35" s="415">
        <v>15148.8</v>
      </c>
      <c r="D35" s="414"/>
      <c r="I35" s="425">
        <f>+C23+C24+C25+C26</f>
        <v>203139586.25999999</v>
      </c>
    </row>
    <row r="36" spans="1:9" ht="10.95" customHeight="1">
      <c r="B36" s="414" t="s">
        <v>804</v>
      </c>
      <c r="C36" s="415">
        <v>249092.21</v>
      </c>
      <c r="D36" s="414"/>
      <c r="I36" s="425">
        <f>+I34-I35</f>
        <v>0</v>
      </c>
    </row>
    <row r="37" spans="1:9" ht="10.95" customHeight="1">
      <c r="B37" s="414" t="s">
        <v>813</v>
      </c>
      <c r="C37" s="415">
        <v>162470.74</v>
      </c>
      <c r="D37" s="414"/>
    </row>
    <row r="38" spans="1:9" ht="10.95" customHeight="1">
      <c r="B38" s="414" t="s">
        <v>805</v>
      </c>
      <c r="C38" s="415">
        <v>5600</v>
      </c>
      <c r="D38" s="414"/>
    </row>
    <row r="39" spans="1:9" ht="10.95" customHeight="1">
      <c r="B39" s="416" t="s">
        <v>253</v>
      </c>
      <c r="C39" s="417">
        <v>99593258.719999984</v>
      </c>
      <c r="D39" s="416"/>
    </row>
    <row r="40" spans="1:9" ht="10.95" customHeight="1">
      <c r="A40" s="416" t="s">
        <v>254</v>
      </c>
      <c r="C40" s="417">
        <v>99593258.719999984</v>
      </c>
      <c r="D40" s="1099"/>
    </row>
    <row r="41" spans="1:9" ht="10.95" customHeight="1">
      <c r="D41" s="1100"/>
    </row>
    <row r="42" spans="1:9" ht="13.35" customHeight="1">
      <c r="B42" s="419" t="s">
        <v>255</v>
      </c>
      <c r="C42" s="420">
        <v>160649211.76999998</v>
      </c>
      <c r="D42" s="419"/>
    </row>
    <row r="43" spans="1:9" ht="10.95" customHeight="1"/>
    <row r="44" spans="1:9" ht="13.35" customHeight="1">
      <c r="A44" s="409" t="s">
        <v>256</v>
      </c>
      <c r="B44" s="409"/>
      <c r="C44" s="409"/>
      <c r="D44" s="409"/>
      <c r="F44" s="412"/>
      <c r="G44" s="412"/>
      <c r="H44" s="412"/>
      <c r="I44" s="412"/>
    </row>
    <row r="45" spans="1:9" s="412" customFormat="1" ht="12.15" customHeight="1">
      <c r="A45" s="408"/>
      <c r="B45" s="421" t="s">
        <v>257</v>
      </c>
      <c r="C45" s="422">
        <v>159695773.63999999</v>
      </c>
      <c r="D45" s="421"/>
      <c r="F45" s="408"/>
      <c r="G45" s="408"/>
      <c r="H45" s="408"/>
      <c r="I45" s="408"/>
    </row>
    <row r="46" spans="1:9" ht="10.95" customHeight="1">
      <c r="B46" s="414" t="s">
        <v>647</v>
      </c>
      <c r="C46" s="415">
        <v>813876</v>
      </c>
      <c r="D46" s="414"/>
    </row>
    <row r="47" spans="1:9" ht="10.95" customHeight="1">
      <c r="B47" s="414" t="s">
        <v>846</v>
      </c>
      <c r="C47" s="415">
        <v>139562.13</v>
      </c>
      <c r="D47" s="414"/>
    </row>
    <row r="48" spans="1:9" ht="10.95" customHeight="1">
      <c r="A48" s="416" t="s">
        <v>258</v>
      </c>
      <c r="C48" s="417">
        <v>160649211.76999998</v>
      </c>
      <c r="D48" s="416"/>
    </row>
  </sheetData>
  <pageMargins left="0.7" right="0.7" top="0.75" bottom="0.75" header="0.3" footer="0.3"/>
  <pageSetup paperSize="9" fitToWidth="0" fitToHeight="0"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00A2E-690B-47EE-9D48-0DEABB6B10FF}">
  <sheetPr>
    <tabColor theme="5" tint="0.79998168889431442"/>
  </sheetPr>
  <dimension ref="A1:U50"/>
  <sheetViews>
    <sheetView showGridLines="0" topLeftCell="A2" zoomScale="110" zoomScaleNormal="110" workbookViewId="0">
      <pane xSplit="7" ySplit="3" topLeftCell="H5" activePane="bottomRight" state="frozen"/>
      <selection pane="topRight" activeCell="H2" sqref="H2"/>
      <selection pane="bottomLeft" activeCell="A5" sqref="A5"/>
      <selection pane="bottomRight" activeCell="L17" sqref="L17"/>
    </sheetView>
  </sheetViews>
  <sheetFormatPr baseColWidth="10" defaultColWidth="11.44140625" defaultRowHeight="14.4"/>
  <cols>
    <col min="1" max="1" width="3.6640625" customWidth="1"/>
    <col min="2" max="2" width="27.109375" customWidth="1"/>
    <col min="3" max="3" width="18" hidden="1" customWidth="1"/>
    <col min="4" max="4" width="18" customWidth="1"/>
    <col min="5" max="5" width="18" hidden="1" customWidth="1"/>
    <col min="6" max="7" width="14.6640625" style="841" hidden="1" customWidth="1"/>
    <col min="8" max="8" width="12.109375" bestFit="1" customWidth="1"/>
    <col min="9" max="9" width="16.33203125" bestFit="1" customWidth="1"/>
    <col min="10" max="11" width="13.6640625" customWidth="1"/>
    <col min="12" max="12" width="13.33203125" customWidth="1"/>
    <col min="13" max="14" width="15" customWidth="1"/>
    <col min="15" max="15" width="15.5546875" bestFit="1" customWidth="1"/>
    <col min="16" max="16" width="18.109375" customWidth="1"/>
    <col min="17" max="17" width="18.6640625" customWidth="1"/>
    <col min="18" max="18" width="16.109375" customWidth="1"/>
    <col min="19" max="19" width="18.5546875" customWidth="1"/>
    <col min="20" max="20" width="17" customWidth="1"/>
    <col min="21" max="23" width="15.44140625" bestFit="1" customWidth="1"/>
    <col min="24" max="24" width="14.44140625" bestFit="1" customWidth="1"/>
  </cols>
  <sheetData>
    <row r="1" spans="1:21" ht="21.6" customHeight="1">
      <c r="E1" s="370"/>
      <c r="H1" s="370"/>
      <c r="J1" s="370"/>
      <c r="O1" s="732"/>
      <c r="R1" s="2109" t="s">
        <v>185</v>
      </c>
      <c r="S1" s="2109"/>
      <c r="T1" s="2109"/>
      <c r="U1" s="2109"/>
    </row>
    <row r="2" spans="1:21" ht="15" thickBot="1">
      <c r="E2" s="509"/>
      <c r="F2" s="840"/>
      <c r="G2" s="840"/>
      <c r="H2" s="509"/>
      <c r="I2" s="181" t="s">
        <v>197</v>
      </c>
      <c r="J2" s="2148" t="s">
        <v>1611</v>
      </c>
      <c r="K2" s="2148"/>
      <c r="L2" s="2148"/>
      <c r="M2" s="2148"/>
      <c r="N2" s="2148"/>
      <c r="O2" s="1111"/>
      <c r="P2" s="181" t="s">
        <v>199</v>
      </c>
      <c r="Q2" s="181" t="s">
        <v>225</v>
      </c>
      <c r="R2" s="2109"/>
      <c r="S2" s="2109"/>
      <c r="T2" s="2109"/>
      <c r="U2" s="2109"/>
    </row>
    <row r="3" spans="1:21" ht="15.6" customHeight="1" thickBot="1">
      <c r="B3" s="1033" t="s">
        <v>1445</v>
      </c>
      <c r="C3" s="1034"/>
      <c r="D3" s="1035"/>
      <c r="E3" s="1035"/>
      <c r="F3" s="1036"/>
      <c r="G3" s="1036"/>
      <c r="H3" s="1037">
        <v>60</v>
      </c>
      <c r="I3" s="2142" t="s">
        <v>145</v>
      </c>
      <c r="J3" s="2146" t="s">
        <v>650</v>
      </c>
      <c r="K3" s="2146" t="s">
        <v>1612</v>
      </c>
      <c r="L3" s="2146" t="s">
        <v>1541</v>
      </c>
      <c r="M3" s="2146" t="s">
        <v>1613</v>
      </c>
      <c r="N3" s="2146" t="s">
        <v>652</v>
      </c>
      <c r="O3" s="2142" t="s">
        <v>227</v>
      </c>
      <c r="P3" s="2142" t="s">
        <v>807</v>
      </c>
      <c r="Q3" s="2142" t="s">
        <v>146</v>
      </c>
      <c r="R3" s="183"/>
      <c r="S3" s="183"/>
      <c r="T3" s="183"/>
      <c r="U3" s="183"/>
    </row>
    <row r="4" spans="1:21" ht="16.95" customHeight="1" thickBot="1">
      <c r="A4" s="152"/>
      <c r="B4" s="1038" t="s">
        <v>29</v>
      </c>
      <c r="C4" s="1039" t="s">
        <v>762</v>
      </c>
      <c r="D4" s="1038" t="s">
        <v>763</v>
      </c>
      <c r="E4" s="1110" t="s">
        <v>1446</v>
      </c>
      <c r="F4" s="1110" t="s">
        <v>1614</v>
      </c>
      <c r="G4" s="1038" t="s">
        <v>1614</v>
      </c>
      <c r="H4" s="1038" t="s">
        <v>31</v>
      </c>
      <c r="I4" s="2143"/>
      <c r="J4" s="2147"/>
      <c r="K4" s="2147"/>
      <c r="L4" s="2147"/>
      <c r="M4" s="2147"/>
      <c r="N4" s="2147"/>
      <c r="O4" s="2143"/>
      <c r="P4" s="2143"/>
      <c r="Q4" s="2143"/>
      <c r="R4" s="183"/>
      <c r="S4" s="183"/>
      <c r="T4" s="183"/>
      <c r="U4" s="183"/>
    </row>
    <row r="5" spans="1:21">
      <c r="A5">
        <v>1</v>
      </c>
      <c r="B5" s="335" t="s">
        <v>33</v>
      </c>
      <c r="C5" s="1025">
        <f>SUM('budget (11)'!D2:D3)</f>
        <v>103385169</v>
      </c>
      <c r="D5" s="1053">
        <v>103385169</v>
      </c>
      <c r="E5" s="1053">
        <f>+'ADI 462 julio 25 '!D18</f>
        <v>105180000</v>
      </c>
      <c r="F5" s="1054">
        <f>+'ADI 462 AGO25'!D18</f>
        <v>106933000</v>
      </c>
      <c r="G5" s="1054">
        <f>+'ADI 462 AGO25 final'!D18</f>
        <v>106933000</v>
      </c>
      <c r="H5" s="1053">
        <f>D5/H3</f>
        <v>1723086.15</v>
      </c>
      <c r="I5" s="1055">
        <f>+'Finanza 07-25'!F2</f>
        <v>94191221.829999998</v>
      </c>
      <c r="J5" s="1055">
        <f>+'Finanza 07-25'!F2</f>
        <v>94191221.829999998</v>
      </c>
      <c r="K5" s="1055">
        <f>+'Finanza 07-25'!G2</f>
        <v>0</v>
      </c>
      <c r="L5" s="1055">
        <f>+'Reembolsos MMHB 07-25'!E8</f>
        <v>18016</v>
      </c>
      <c r="M5" s="1055"/>
      <c r="N5" s="1055"/>
      <c r="O5" s="1055">
        <f>+J5-K5-L5-M5+N5</f>
        <v>94173205.829999998</v>
      </c>
      <c r="P5" s="1056">
        <f>I5-O5</f>
        <v>18016</v>
      </c>
      <c r="Q5" s="1056">
        <f t="shared" ref="Q5:Q11" si="0">+D5-I5</f>
        <v>9193947.1700000018</v>
      </c>
      <c r="R5" s="183"/>
      <c r="S5" s="183"/>
      <c r="T5" s="183"/>
      <c r="U5" s="183"/>
    </row>
    <row r="6" spans="1:21">
      <c r="B6" s="1044" t="s">
        <v>35</v>
      </c>
      <c r="C6" s="1017">
        <f>SUM('budget (11)'!D11:D24)</f>
        <v>451758999.99999994</v>
      </c>
      <c r="D6" s="1057">
        <v>451758999.99999994</v>
      </c>
      <c r="E6" s="1057">
        <f>+'ADI 462 julio 25 '!D19</f>
        <v>461429397</v>
      </c>
      <c r="F6" s="1058">
        <f>+'ADI 462 AGO25'!D19</f>
        <v>469173666.60000002</v>
      </c>
      <c r="G6" s="1058">
        <f>+'ADI 462 AGO25 final'!D19</f>
        <v>469787399.96580005</v>
      </c>
      <c r="H6" s="1057">
        <f t="shared" ref="H6:H11" si="1">D6/$H$3</f>
        <v>7529316.666666666</v>
      </c>
      <c r="I6" s="1059">
        <f>+'Finanza 07-25'!E4</f>
        <v>40297170.299999997</v>
      </c>
      <c r="J6" s="1059">
        <f>+'Finanza 07-25'!F4</f>
        <v>27833873.27</v>
      </c>
      <c r="K6" s="1059">
        <f>+'Finanza 07-25'!G4</f>
        <v>14291211.33</v>
      </c>
      <c r="L6" s="1059">
        <f>+'Reembolsos MMHB 07-25'!E21</f>
        <v>61326.559999999998</v>
      </c>
      <c r="M6" s="1059">
        <f>+'CXP 07-25'!E22</f>
        <v>1301541.77</v>
      </c>
      <c r="N6" s="1059">
        <f>+'Anticipos 07-25'!D6+'Anticipos 07-25'!D7+'Anticipos 07-25'!D8+'Anticipos 07-25'!D9+'Anticipos 07-25'!D10</f>
        <v>11242890.34</v>
      </c>
      <c r="O6" s="1059">
        <f>+J6-K6-L6-M6+N6</f>
        <v>23422683.949999999</v>
      </c>
      <c r="P6" s="1060">
        <f t="shared" ref="P6:P10" si="2">I6-O6</f>
        <v>16874486.349999998</v>
      </c>
      <c r="Q6" s="1060">
        <f t="shared" si="0"/>
        <v>411461829.69999993</v>
      </c>
      <c r="R6" s="183"/>
      <c r="S6" s="184"/>
      <c r="T6" s="183"/>
      <c r="U6" s="183"/>
    </row>
    <row r="7" spans="1:21" ht="13.95" customHeight="1">
      <c r="B7" s="1044" t="s">
        <v>38</v>
      </c>
      <c r="C7" s="1020">
        <f>SUM('budget (11)'!D25:D39)</f>
        <v>1265953920</v>
      </c>
      <c r="D7" s="1057">
        <f>1447934796</f>
        <v>1447934796</v>
      </c>
      <c r="E7" s="1057">
        <f>+'ADI 462 julio 25 '!D22</f>
        <v>1521122757</v>
      </c>
      <c r="F7" s="1058">
        <f>+'ADI 462 AGO25'!D20</f>
        <v>1517166651</v>
      </c>
      <c r="G7" s="1058">
        <f>+'ADI 462 AGO25 final'!D20</f>
        <v>1517615075.6150999</v>
      </c>
      <c r="H7" s="1057">
        <f t="shared" si="1"/>
        <v>24132246.600000001</v>
      </c>
      <c r="I7" s="1061">
        <f>+'Finanza 07-25'!E5</f>
        <v>0</v>
      </c>
      <c r="J7" s="1061">
        <f>+'Finanza 07-25'!F5</f>
        <v>0</v>
      </c>
      <c r="K7" s="1061">
        <f>+'Finanza 07-25'!G5</f>
        <v>0</v>
      </c>
      <c r="L7" s="1061"/>
      <c r="M7" s="1061"/>
      <c r="N7" s="1061"/>
      <c r="O7" s="1061">
        <f t="shared" ref="O7:O11" si="3">+J7-K7-L7-M7+N7</f>
        <v>0</v>
      </c>
      <c r="P7" s="1062">
        <f t="shared" si="2"/>
        <v>0</v>
      </c>
      <c r="Q7" s="1062">
        <f t="shared" si="0"/>
        <v>1447934796</v>
      </c>
      <c r="R7" s="183"/>
      <c r="S7" s="184"/>
      <c r="T7" s="183"/>
      <c r="U7" s="183"/>
    </row>
    <row r="8" spans="1:21" ht="13.95" customHeight="1">
      <c r="B8" s="1044" t="s">
        <v>767</v>
      </c>
      <c r="C8" s="1020">
        <f>SUM('budget (11)'!D40:D41)</f>
        <v>171771292</v>
      </c>
      <c r="D8" s="1057">
        <v>189969380</v>
      </c>
      <c r="E8" s="1057">
        <f>+'ADI 462 julio 25 '!D23</f>
        <v>198255215.40000001</v>
      </c>
      <c r="F8" s="1058">
        <f>+'ADI 462 AGO25'!D21</f>
        <v>198634031.75999999</v>
      </c>
      <c r="G8" s="1058">
        <f>+'ADI 462 AGO25 final'!D21</f>
        <v>198740247.55809</v>
      </c>
      <c r="H8" s="1057">
        <f t="shared" si="1"/>
        <v>3166156.3333333335</v>
      </c>
      <c r="I8" s="1061">
        <f>+'Finanza 07-25'!E6</f>
        <v>16669162.52</v>
      </c>
      <c r="J8" s="1061">
        <f>+'Finanza 07-25'!F6</f>
        <v>14198081.1</v>
      </c>
      <c r="K8" s="1061">
        <f>+'Finanza 07-25'!G6</f>
        <v>0</v>
      </c>
      <c r="L8" s="1061"/>
      <c r="M8" s="1061">
        <f>+'CXP 07-25'!E27</f>
        <v>362612.53</v>
      </c>
      <c r="N8" s="1061"/>
      <c r="O8" s="1061">
        <f t="shared" si="3"/>
        <v>13835468.57</v>
      </c>
      <c r="P8" s="1062">
        <f t="shared" si="2"/>
        <v>2833693.9499999993</v>
      </c>
      <c r="Q8" s="1062">
        <f t="shared" si="0"/>
        <v>173300217.47999999</v>
      </c>
      <c r="R8" s="183"/>
      <c r="S8" s="184"/>
      <c r="T8" s="183"/>
      <c r="U8" s="183"/>
    </row>
    <row r="9" spans="1:21" ht="13.95" customHeight="1">
      <c r="B9" s="1044" t="s">
        <v>1607</v>
      </c>
      <c r="C9" s="1114"/>
      <c r="D9" s="1057">
        <v>0</v>
      </c>
      <c r="E9" s="1057">
        <v>0</v>
      </c>
      <c r="F9" s="1058">
        <f>+'ADI 462 AGO25'!D22</f>
        <v>19863403.175999999</v>
      </c>
      <c r="G9" s="1058">
        <f>+'ADI 462 AGO25 final'!D22</f>
        <v>17866748.255472291</v>
      </c>
      <c r="H9" s="1057">
        <f t="shared" si="1"/>
        <v>0</v>
      </c>
      <c r="I9" s="1061">
        <f>+'Finanza 07-25'!E9</f>
        <v>19264643.172199998</v>
      </c>
      <c r="J9" s="1061"/>
      <c r="K9" s="1061">
        <f>+'Finanza 07-25'!G7</f>
        <v>0</v>
      </c>
      <c r="L9" s="1061"/>
      <c r="M9" s="1061">
        <f>+'CXP 07-25'!E28</f>
        <v>0</v>
      </c>
      <c r="N9" s="1061"/>
      <c r="O9" s="1061">
        <f t="shared" si="3"/>
        <v>0</v>
      </c>
      <c r="P9" s="1062"/>
      <c r="Q9" s="1062">
        <f t="shared" si="0"/>
        <v>-19264643.172199998</v>
      </c>
      <c r="R9" s="183"/>
      <c r="S9" s="184"/>
      <c r="T9" s="183"/>
      <c r="U9" s="183"/>
    </row>
    <row r="10" spans="1:21">
      <c r="B10" s="1044" t="s">
        <v>40</v>
      </c>
      <c r="C10" s="1020">
        <f>SUM('budget (11)'!D42)</f>
        <v>34354258</v>
      </c>
      <c r="D10" s="1057">
        <v>37993876</v>
      </c>
      <c r="E10" s="1057">
        <f>+'ADI 462 julio 25 '!D24/2</f>
        <v>39651043.079999998</v>
      </c>
      <c r="F10" s="1058">
        <f>+'ADI 462 AGO25'!D23</f>
        <v>47672167.622400001</v>
      </c>
      <c r="G10" s="1058">
        <f>+'ADI 462 AGO25 final'!D23</f>
        <v>47896399.661499687</v>
      </c>
      <c r="H10" s="1057">
        <f t="shared" si="1"/>
        <v>633231.26666666672</v>
      </c>
      <c r="I10" s="1061">
        <f>+'Finanza 07-25'!E7</f>
        <v>239809.34</v>
      </c>
      <c r="J10" s="1061">
        <f>+'Finanza 07-25'!F7</f>
        <v>239809.34</v>
      </c>
      <c r="K10" s="1061">
        <f>+'Finanza 07-25'!G7</f>
        <v>0</v>
      </c>
      <c r="L10" s="1061"/>
      <c r="M10" s="1061">
        <f>+'CXP 07-25'!E37</f>
        <v>239809.34</v>
      </c>
      <c r="N10" s="1061"/>
      <c r="O10" s="1061">
        <f t="shared" si="3"/>
        <v>0</v>
      </c>
      <c r="P10" s="1062">
        <f t="shared" si="2"/>
        <v>239809.34</v>
      </c>
      <c r="Q10" s="1062">
        <f t="shared" si="0"/>
        <v>37754066.659999996</v>
      </c>
      <c r="R10" s="183"/>
      <c r="S10" s="184"/>
      <c r="T10" s="183"/>
      <c r="U10" s="183"/>
    </row>
    <row r="11" spans="1:21">
      <c r="B11" s="1044" t="s">
        <v>764</v>
      </c>
      <c r="C11" s="1020">
        <v>0</v>
      </c>
      <c r="D11" s="1057">
        <v>37993876</v>
      </c>
      <c r="E11" s="1057">
        <f>+'ADI 462 julio 25 '!D24/2</f>
        <v>39651043.079999998</v>
      </c>
      <c r="F11" s="1058">
        <f>+'ADI 462 AGO25'!D24</f>
        <v>39726806.351999998</v>
      </c>
      <c r="G11" s="1058">
        <f>+'ADI 462 AGO25 final'!D24</f>
        <v>39748049.511618003</v>
      </c>
      <c r="H11" s="1057">
        <f t="shared" si="1"/>
        <v>633231.26666666672</v>
      </c>
      <c r="I11" s="1061">
        <f>+'Finanza 07-25'!E8</f>
        <v>0</v>
      </c>
      <c r="J11" s="1061">
        <f>+'Finanza 07-25'!F8</f>
        <v>0</v>
      </c>
      <c r="K11" s="1061">
        <f>+'Finanza 07-25'!G8</f>
        <v>0</v>
      </c>
      <c r="L11" s="1061"/>
      <c r="M11" s="1061"/>
      <c r="N11" s="1061"/>
      <c r="O11" s="1061">
        <f t="shared" si="3"/>
        <v>0</v>
      </c>
      <c r="P11" s="1062">
        <f>I11-O11</f>
        <v>0</v>
      </c>
      <c r="Q11" s="1062">
        <f t="shared" si="0"/>
        <v>37993876</v>
      </c>
      <c r="R11" s="183"/>
      <c r="S11" s="184"/>
      <c r="T11" s="183"/>
      <c r="U11" s="183"/>
    </row>
    <row r="12" spans="1:21">
      <c r="B12" s="254" t="s">
        <v>41</v>
      </c>
      <c r="C12" s="665">
        <f>SUM(C6:C10)</f>
        <v>1923838470</v>
      </c>
      <c r="D12" s="1063">
        <f t="shared" ref="D12:I12" si="4">SUM(D6:D11)</f>
        <v>2165650928</v>
      </c>
      <c r="E12" s="1063">
        <f t="shared" si="4"/>
        <v>2260109455.5599999</v>
      </c>
      <c r="F12" s="1063">
        <f t="shared" si="4"/>
        <v>2292236726.5103998</v>
      </c>
      <c r="G12" s="1063">
        <f t="shared" si="4"/>
        <v>2291653920.5675797</v>
      </c>
      <c r="H12" s="1063">
        <f t="shared" si="4"/>
        <v>36094182.133333333</v>
      </c>
      <c r="I12" s="1064">
        <f t="shared" si="4"/>
        <v>76470785.332199991</v>
      </c>
      <c r="J12" s="1064">
        <f t="shared" ref="J12:Q12" si="5">SUM(J6:J11)</f>
        <v>42271763.710000001</v>
      </c>
      <c r="K12" s="1064">
        <f t="shared" si="5"/>
        <v>14291211.33</v>
      </c>
      <c r="L12" s="1064">
        <f t="shared" si="5"/>
        <v>61326.559999999998</v>
      </c>
      <c r="M12" s="1064">
        <f t="shared" si="5"/>
        <v>1903963.6400000001</v>
      </c>
      <c r="N12" s="1064">
        <f t="shared" si="5"/>
        <v>11242890.34</v>
      </c>
      <c r="O12" s="1064">
        <f t="shared" si="5"/>
        <v>37258152.519999996</v>
      </c>
      <c r="P12" s="1064">
        <f t="shared" si="5"/>
        <v>19947989.639999997</v>
      </c>
      <c r="Q12" s="1064">
        <f t="shared" si="5"/>
        <v>2089180142.6677999</v>
      </c>
      <c r="R12" s="183"/>
      <c r="S12" s="184"/>
      <c r="T12" s="183"/>
      <c r="U12" s="183"/>
    </row>
    <row r="13" spans="1:21">
      <c r="B13" s="1044" t="s">
        <v>42</v>
      </c>
      <c r="C13" s="1023">
        <f>SUM('budget (11)'!D43)</f>
        <v>137417034</v>
      </c>
      <c r="D13" s="1065">
        <v>151975504</v>
      </c>
      <c r="E13" s="1057">
        <f>+'ADI 462 julio 25 '!D26</f>
        <v>158604172.31999999</v>
      </c>
      <c r="F13" s="1058">
        <f>+'ADI 462 AGO25'!D26</f>
        <v>158907225.40799999</v>
      </c>
      <c r="G13" s="1058">
        <f>+'ADI 462 AGO25 final'!D26</f>
        <v>158992198.04647201</v>
      </c>
      <c r="H13" s="1057">
        <f>D13/$H$3</f>
        <v>2532925.0666666669</v>
      </c>
      <c r="I13" s="1066">
        <f>+'Finanza 07-25'!E10</f>
        <v>9011175.9700000007</v>
      </c>
      <c r="J13" s="1066">
        <f>+'Finanza 07-25'!F10</f>
        <v>7241175.9699999997</v>
      </c>
      <c r="K13" s="1066">
        <f>+'Finanza 07-25'!G10</f>
        <v>0</v>
      </c>
      <c r="L13" s="1066"/>
      <c r="M13" s="1066"/>
      <c r="N13" s="1066"/>
      <c r="O13" s="1066">
        <f>+J13-K13-L13-M13+N13</f>
        <v>7241175.9699999997</v>
      </c>
      <c r="P13" s="1066">
        <f>I13-O13</f>
        <v>1770000.0000000009</v>
      </c>
      <c r="Q13" s="1066">
        <f>+D13-I13</f>
        <v>142964328.03</v>
      </c>
      <c r="R13" s="183"/>
      <c r="S13" s="184"/>
      <c r="T13" s="183"/>
      <c r="U13" s="183"/>
    </row>
    <row r="14" spans="1:21">
      <c r="B14" s="1044" t="s">
        <v>43</v>
      </c>
      <c r="C14" s="1023">
        <f>SUM('budget (11)'!D45:D46)</f>
        <v>281704919</v>
      </c>
      <c r="D14" s="1065">
        <v>308130334</v>
      </c>
      <c r="E14" s="1065">
        <f>+'ADI 462 julio 25 '!D27</f>
        <v>356859387.71999997</v>
      </c>
      <c r="F14" s="1067">
        <f>+'ADI 462 AGO25'!D27</f>
        <v>365486618.43839997</v>
      </c>
      <c r="G14" s="1067">
        <f>+'ADI 462 AGO25 final'!D27</f>
        <v>329908810.94642943</v>
      </c>
      <c r="H14" s="1057">
        <f>D14/$H$3</f>
        <v>5135505.5666666664</v>
      </c>
      <c r="I14" s="1066">
        <f>+'Finanza 07-25'!E11</f>
        <v>26696578.68</v>
      </c>
      <c r="J14" s="1066">
        <f>+'Finanza 07-25'!F11</f>
        <v>14114639.68</v>
      </c>
      <c r="K14" s="1066">
        <f>+'Finanza 07-25'!G11</f>
        <v>0</v>
      </c>
      <c r="L14" s="1066"/>
      <c r="M14" s="1066">
        <f>+'CXP 07-25'!E42</f>
        <v>886949.81</v>
      </c>
      <c r="N14" s="1066"/>
      <c r="O14" s="1066">
        <f t="shared" ref="O14:O17" si="6">+J14-K14-L14-M14+N14</f>
        <v>13227689.869999999</v>
      </c>
      <c r="P14" s="1066">
        <f>I14-O14</f>
        <v>13468888.810000001</v>
      </c>
      <c r="Q14" s="1066">
        <f>+D14-I14</f>
        <v>281433755.31999999</v>
      </c>
      <c r="R14" s="183"/>
      <c r="S14" s="184"/>
      <c r="T14" s="183"/>
      <c r="U14" s="183"/>
    </row>
    <row r="15" spans="1:21">
      <c r="B15" s="1044" t="s">
        <v>44</v>
      </c>
      <c r="C15" s="1023">
        <f>SUM('budget (11)'!D47)</f>
        <v>67334346</v>
      </c>
      <c r="D15" s="1065">
        <v>75797782</v>
      </c>
      <c r="E15" s="1065">
        <f>+'ADI 462 julio 25 '!D28</f>
        <v>79103830.944600001</v>
      </c>
      <c r="F15" s="1067">
        <f>+'ADI 462 AGO25'!D28</f>
        <v>80228285.427864</v>
      </c>
      <c r="G15" s="1067">
        <f>+'ADI 462 AGO25 final'!D28</f>
        <v>80207887.219865292</v>
      </c>
      <c r="H15" s="1057">
        <f>D15/$H$3</f>
        <v>1263296.3666666667</v>
      </c>
      <c r="I15" s="1066">
        <f>+'Finanza 07-25'!E12</f>
        <v>1102758.3600000001</v>
      </c>
      <c r="J15" s="1066">
        <f>+'Finanza 07-25'!F12</f>
        <v>1066524.1599999999</v>
      </c>
      <c r="K15" s="1066">
        <f>+'Finanza 07-25'!G12</f>
        <v>0</v>
      </c>
      <c r="L15" s="1066"/>
      <c r="M15" s="1066"/>
      <c r="N15" s="1066"/>
      <c r="O15" s="1066">
        <f t="shared" si="6"/>
        <v>1066524.1599999999</v>
      </c>
      <c r="P15" s="1066">
        <f>I15-O15</f>
        <v>36234.200000000186</v>
      </c>
      <c r="Q15" s="1066">
        <f>+D15-I15</f>
        <v>74695023.640000001</v>
      </c>
      <c r="R15" s="183"/>
      <c r="S15" s="184"/>
      <c r="T15" s="183"/>
      <c r="U15" s="183"/>
    </row>
    <row r="16" spans="1:21">
      <c r="A16">
        <v>1</v>
      </c>
      <c r="B16" s="1044" t="s">
        <v>45</v>
      </c>
      <c r="C16" s="1023">
        <f>SUM('budget (11)'!D48:D49)</f>
        <v>51531387.949999996</v>
      </c>
      <c r="D16" s="1065">
        <v>56990814</v>
      </c>
      <c r="E16" s="1065">
        <f>+'ADI 462 julio 25 '!D29</f>
        <v>59476564.619999997</v>
      </c>
      <c r="F16" s="1067">
        <f>+'ADI 462 AGO25'!D29</f>
        <v>69521911.115999997</v>
      </c>
      <c r="G16" s="1067">
        <f>+'ADI 462 AGO25 final'!D29</f>
        <v>69559086.645331502</v>
      </c>
      <c r="H16" s="1057">
        <f>D16/$H$3</f>
        <v>949846.9</v>
      </c>
      <c r="I16" s="1066">
        <f>+'Finanza 07-25'!E13</f>
        <v>21794846.449999999</v>
      </c>
      <c r="J16" s="1066">
        <f>+'Finanza 07-25'!F13</f>
        <v>19769832.210000001</v>
      </c>
      <c r="K16" s="1066">
        <f>+'Finanza 07-25'!G13</f>
        <v>0</v>
      </c>
      <c r="L16" s="1066">
        <f>+'Reembolsos MMHB 07-25'!E39</f>
        <v>722047.24</v>
      </c>
      <c r="M16" s="1066">
        <f>+'CXP 07-25'!E62</f>
        <v>2384905.66</v>
      </c>
      <c r="N16" s="1066">
        <f>+'Anticipos 07-25'!D11+'Anticipos 07-25'!D12</f>
        <v>49859.9</v>
      </c>
      <c r="O16" s="1066">
        <f t="shared" si="6"/>
        <v>16712739.210000003</v>
      </c>
      <c r="P16" s="1066">
        <f>I16-O16</f>
        <v>5082107.2399999965</v>
      </c>
      <c r="Q16" s="1066">
        <f>+D16-I16</f>
        <v>35195967.549999997</v>
      </c>
      <c r="R16" s="183"/>
      <c r="S16" s="184"/>
      <c r="T16" s="183"/>
      <c r="U16" s="183"/>
    </row>
    <row r="17" spans="2:21">
      <c r="B17" s="1044" t="s">
        <v>46</v>
      </c>
      <c r="C17" s="1023">
        <f>SUM('budget (11)'!D50)</f>
        <v>19238385</v>
      </c>
      <c r="D17" s="1065">
        <v>21656506</v>
      </c>
      <c r="E17" s="1065">
        <f>+'ADI 462 julio 25 '!D30</f>
        <v>19825521.539999999</v>
      </c>
      <c r="F17" s="1067">
        <f>+'ADI 462 AGO25'!D30</f>
        <v>19863403.175999999</v>
      </c>
      <c r="G17" s="1067">
        <f>+'ADI 462 AGO25 final'!D30</f>
        <v>19874024.755809002</v>
      </c>
      <c r="H17" s="1057">
        <f>D17/$H$3</f>
        <v>360941.76666666666</v>
      </c>
      <c r="I17" s="1066">
        <f>+'Finanza 07-25'!E14</f>
        <v>0</v>
      </c>
      <c r="J17" s="1066">
        <f>+'Finanza 07-25'!F14</f>
        <v>0</v>
      </c>
      <c r="K17" s="1066">
        <f>+'Finanza 07-25'!G14</f>
        <v>0</v>
      </c>
      <c r="L17" s="1066"/>
      <c r="M17" s="1066"/>
      <c r="N17" s="1066"/>
      <c r="O17" s="1066">
        <f t="shared" si="6"/>
        <v>0</v>
      </c>
      <c r="P17" s="1066">
        <f>I17-O17</f>
        <v>0</v>
      </c>
      <c r="Q17" s="1066">
        <f>+D17-I17</f>
        <v>21656506</v>
      </c>
      <c r="R17" s="183"/>
      <c r="S17" s="184"/>
      <c r="T17" s="183"/>
      <c r="U17" s="183"/>
    </row>
    <row r="18" spans="2:21">
      <c r="B18" s="254" t="s">
        <v>47</v>
      </c>
      <c r="C18" s="665">
        <f t="shared" ref="C18:P18" si="7">SUM(C13:C17)</f>
        <v>557226071.95000005</v>
      </c>
      <c r="D18" s="1063">
        <f t="shared" si="7"/>
        <v>614550940</v>
      </c>
      <c r="E18" s="1063">
        <f t="shared" ref="E18:F18" si="8">SUM(E13:E17)</f>
        <v>673869477.14459991</v>
      </c>
      <c r="F18" s="1063">
        <f t="shared" si="8"/>
        <v>694007443.56626403</v>
      </c>
      <c r="G18" s="1063">
        <f t="shared" ref="G18" si="9">SUM(G13:G17)</f>
        <v>658542007.61390722</v>
      </c>
      <c r="H18" s="1063">
        <f>SUM(H13:H17)</f>
        <v>10242515.666666668</v>
      </c>
      <c r="I18" s="1064">
        <f>SUM(I13:I17)</f>
        <v>58605359.459999993</v>
      </c>
      <c r="J18" s="1064">
        <f t="shared" si="7"/>
        <v>42192172.019999996</v>
      </c>
      <c r="K18" s="1064">
        <f t="shared" ref="K18:L18" si="10">SUM(K13:K17)</f>
        <v>0</v>
      </c>
      <c r="L18" s="1064">
        <f t="shared" si="10"/>
        <v>722047.24</v>
      </c>
      <c r="M18" s="1064">
        <f t="shared" si="7"/>
        <v>3271855.47</v>
      </c>
      <c r="N18" s="1064">
        <f t="shared" si="7"/>
        <v>49859.9</v>
      </c>
      <c r="O18" s="1064">
        <f t="shared" si="7"/>
        <v>38248129.210000001</v>
      </c>
      <c r="P18" s="1064">
        <f t="shared" si="7"/>
        <v>20357230.25</v>
      </c>
      <c r="Q18" s="1064">
        <f t="shared" ref="Q18" si="11">SUM(Q13:Q17)</f>
        <v>555945580.53999996</v>
      </c>
      <c r="R18" s="183"/>
      <c r="S18" s="184"/>
      <c r="T18" s="183"/>
      <c r="U18" s="183"/>
    </row>
    <row r="19" spans="2:21">
      <c r="B19" s="1044" t="s">
        <v>48</v>
      </c>
      <c r="C19" s="1023">
        <f>SUM('budget (11)'!D51:D52)</f>
        <v>15000000</v>
      </c>
      <c r="D19" s="1065">
        <v>30500000</v>
      </c>
      <c r="E19" s="1065">
        <f>+'ADI 462 julio 25 '!D32</f>
        <v>30500000</v>
      </c>
      <c r="F19" s="1067">
        <f>+'ADI 462 AGO25'!D32</f>
        <v>30500000</v>
      </c>
      <c r="G19" s="1067">
        <f>+'ADI 462 AGO25 final'!D32</f>
        <v>30500000</v>
      </c>
      <c r="H19" s="1065">
        <f>D19/$H$3</f>
        <v>508333.33333333331</v>
      </c>
      <c r="I19" s="1066">
        <f>+'Finanza 07-25'!E15</f>
        <v>21340302.649999999</v>
      </c>
      <c r="J19" s="1066">
        <f>+'Finanza 07-25'!F15</f>
        <v>17060204.329999998</v>
      </c>
      <c r="K19" s="1066">
        <f>+'Finanza 07-25'!G15</f>
        <v>0</v>
      </c>
      <c r="L19" s="1066">
        <f>+'Reembolsos MMHB 07-25'!E46</f>
        <v>440217.8</v>
      </c>
      <c r="M19" s="1066">
        <f>+'CXP 07-25'!E31</f>
        <v>88500</v>
      </c>
      <c r="N19" s="1066">
        <f>+'Anticipos 07-25'!D5</f>
        <v>10000</v>
      </c>
      <c r="O19" s="1066">
        <f>+J19-K19-L19-M19+N19</f>
        <v>16541486.529999997</v>
      </c>
      <c r="P19" s="1066">
        <f>I19-O19</f>
        <v>4798816.120000001</v>
      </c>
      <c r="Q19" s="1066">
        <f>+D19-I19</f>
        <v>9159697.3500000015</v>
      </c>
      <c r="R19" s="183"/>
      <c r="S19" s="184"/>
      <c r="T19" s="183"/>
      <c r="U19" s="185"/>
    </row>
    <row r="20" spans="2:21">
      <c r="B20" s="1044" t="s">
        <v>49</v>
      </c>
      <c r="C20" s="1023">
        <f>SUM('budget (11)'!D4:D10)</f>
        <v>20789999.999999996</v>
      </c>
      <c r="D20" s="1065">
        <v>20789999.999999996</v>
      </c>
      <c r="E20" s="1065">
        <f>+'ADI 462 julio 25 '!D33</f>
        <v>25000000</v>
      </c>
      <c r="F20" s="1067">
        <f>+'ADI 462 AGO25'!D33</f>
        <v>25000000</v>
      </c>
      <c r="G20" s="1067">
        <f>+'ADI 462 AGO25 final'!D33</f>
        <v>25000000</v>
      </c>
      <c r="H20" s="1065">
        <f>D20/$H$3</f>
        <v>346499.99999999994</v>
      </c>
      <c r="I20" s="1066">
        <f>+'Finanza 07-25'!E3</f>
        <v>22405224.059999999</v>
      </c>
      <c r="J20" s="1066">
        <f>+'Finanza 07-25'!F3</f>
        <v>21993535.170000002</v>
      </c>
      <c r="K20" s="1066">
        <f>+'Finanza 07-25'!G3</f>
        <v>278099.52</v>
      </c>
      <c r="L20" s="1066">
        <f>+'Reembolsos MMHB 07-25'!E16</f>
        <v>182020</v>
      </c>
      <c r="M20" s="1066"/>
      <c r="N20" s="1066">
        <f>+'Anticipos 07-25'!D2+'Anticipos 07-25'!D3+'Anticipos 07-25'!D4</f>
        <v>351250</v>
      </c>
      <c r="O20" s="1066">
        <f t="shared" ref="O20:O22" si="12">+J20-K20-L20-M20+N20</f>
        <v>21884665.650000002</v>
      </c>
      <c r="P20" s="1066">
        <f>I20-O20</f>
        <v>520558.40999999642</v>
      </c>
      <c r="Q20" s="1066">
        <f>+D20-I20</f>
        <v>-1615224.0600000024</v>
      </c>
      <c r="R20" s="183"/>
      <c r="S20" s="184"/>
      <c r="T20" s="183"/>
      <c r="U20" s="183"/>
    </row>
    <row r="21" spans="2:21">
      <c r="B21" s="1044" t="s">
        <v>50</v>
      </c>
      <c r="C21" s="1023">
        <f>SUM('budget (11)'!D54)</f>
        <v>192383847</v>
      </c>
      <c r="D21" s="1065">
        <v>216565093</v>
      </c>
      <c r="E21" s="1065">
        <f>+'ADI 462 julio 25 '!D34</f>
        <v>226010945.55599999</v>
      </c>
      <c r="F21" s="1067">
        <f>+'ADI 462 AGO25'!D34</f>
        <v>229223672.65103999</v>
      </c>
      <c r="G21" s="1067">
        <f>+'ADI 462 AGO25 final'!D34</f>
        <v>229165392.05675799</v>
      </c>
      <c r="H21" s="1065">
        <f>D21/$H$3</f>
        <v>3609418.2166666668</v>
      </c>
      <c r="I21" s="1066">
        <f>+'Finanza 07-25'!E17</f>
        <v>1169797.55</v>
      </c>
      <c r="J21" s="1066">
        <f>+I21</f>
        <v>1169797.55</v>
      </c>
      <c r="K21" s="1066">
        <f>+I21</f>
        <v>1169797.55</v>
      </c>
      <c r="L21" s="1066"/>
      <c r="M21" s="1066"/>
      <c r="N21" s="1066"/>
      <c r="O21" s="1066">
        <f t="shared" si="12"/>
        <v>0</v>
      </c>
      <c r="P21" s="1066">
        <f>I21-O21</f>
        <v>1169797.55</v>
      </c>
      <c r="Q21" s="1066">
        <f>+D21-I21</f>
        <v>215395295.44999999</v>
      </c>
      <c r="R21" s="183"/>
      <c r="S21" s="184"/>
      <c r="T21" s="183"/>
      <c r="U21" s="183"/>
    </row>
    <row r="22" spans="2:21">
      <c r="B22" s="1044" t="s">
        <v>51</v>
      </c>
      <c r="C22" s="1023">
        <f>SUM('budget (11)'!D53)</f>
        <v>19238385</v>
      </c>
      <c r="D22" s="1065">
        <v>21656509</v>
      </c>
      <c r="E22" s="1065">
        <f>+'ADI 462 julio 25 '!D35</f>
        <v>19825521.539999999</v>
      </c>
      <c r="F22" s="1067">
        <f>+'ADI 462 AGO25'!D35</f>
        <v>19863403.175999999</v>
      </c>
      <c r="G22" s="1067">
        <f>+'ADI 462 AGO25 final'!D35</f>
        <v>19874024.755809002</v>
      </c>
      <c r="H22" s="1065">
        <f>D22/$H$3</f>
        <v>360941.81666666665</v>
      </c>
      <c r="I22" s="1066">
        <f>+'Finanza 07-25'!E16</f>
        <v>0</v>
      </c>
      <c r="J22" s="1066">
        <f>+'Finanza 07-25'!F16</f>
        <v>0</v>
      </c>
      <c r="K22" s="1066">
        <f>+'Finanza 07-25'!G16</f>
        <v>0</v>
      </c>
      <c r="L22" s="1066"/>
      <c r="M22" s="1066"/>
      <c r="N22" s="1066"/>
      <c r="O22" s="1066">
        <f t="shared" si="12"/>
        <v>0</v>
      </c>
      <c r="P22" s="1066">
        <f>I22-O22</f>
        <v>0</v>
      </c>
      <c r="Q22" s="1066">
        <f>+D22-I22</f>
        <v>21656509</v>
      </c>
      <c r="R22" s="183"/>
      <c r="S22" s="184"/>
      <c r="T22" s="183"/>
      <c r="U22" s="183"/>
    </row>
    <row r="23" spans="2:21" ht="15" thickBot="1">
      <c r="B23" s="254" t="s">
        <v>52</v>
      </c>
      <c r="C23" s="665">
        <f t="shared" ref="C23:Q23" si="13">SUM(C19:C22)</f>
        <v>247412232</v>
      </c>
      <c r="D23" s="1063">
        <f t="shared" si="13"/>
        <v>289511602</v>
      </c>
      <c r="E23" s="1063">
        <f t="shared" ref="E23" si="14">SUM(E19:E22)</f>
        <v>301336467.09600002</v>
      </c>
      <c r="F23" s="1063">
        <f>SUM(F19:F22)</f>
        <v>304587075.82703996</v>
      </c>
      <c r="G23" s="1063">
        <f>SUM(G19:G22)</f>
        <v>304539416.812567</v>
      </c>
      <c r="H23" s="1063">
        <f>SUM(H19:H22)</f>
        <v>4825193.3666666662</v>
      </c>
      <c r="I23" s="1064">
        <f>SUM(I19:I22)</f>
        <v>44915324.25999999</v>
      </c>
      <c r="J23" s="1064">
        <f t="shared" si="13"/>
        <v>40223537.049999997</v>
      </c>
      <c r="K23" s="1064">
        <f t="shared" ref="K23:L23" si="15">SUM(K19:K22)</f>
        <v>1447897.07</v>
      </c>
      <c r="L23" s="1064">
        <f t="shared" si="15"/>
        <v>622237.80000000005</v>
      </c>
      <c r="M23" s="1064">
        <f t="shared" si="13"/>
        <v>88500</v>
      </c>
      <c r="N23" s="1064">
        <f t="shared" si="13"/>
        <v>361250</v>
      </c>
      <c r="O23" s="1064">
        <f t="shared" si="13"/>
        <v>38426152.18</v>
      </c>
      <c r="P23" s="1064">
        <f t="shared" si="13"/>
        <v>6489172.0799999973</v>
      </c>
      <c r="Q23" s="1064">
        <f t="shared" si="13"/>
        <v>244596277.73999998</v>
      </c>
      <c r="R23" s="183"/>
      <c r="S23" s="184"/>
      <c r="T23" s="183"/>
      <c r="U23" s="183"/>
    </row>
    <row r="24" spans="2:21" ht="16.2" thickBot="1">
      <c r="B24" s="1041" t="s">
        <v>1156</v>
      </c>
      <c r="C24" s="1042">
        <f t="shared" ref="C24:H24" si="16">C5+C12+C18+C23</f>
        <v>2831861942.9499998</v>
      </c>
      <c r="D24" s="1068">
        <f t="shared" si="16"/>
        <v>3173098639</v>
      </c>
      <c r="E24" s="1043">
        <f t="shared" si="16"/>
        <v>3340495399.8006001</v>
      </c>
      <c r="F24" s="1043">
        <f t="shared" si="16"/>
        <v>3397764245.9037037</v>
      </c>
      <c r="G24" s="1043">
        <f t="shared" si="16"/>
        <v>3361668344.9940538</v>
      </c>
      <c r="H24" s="1043">
        <f t="shared" si="16"/>
        <v>52884977.31666667</v>
      </c>
      <c r="I24" s="1043">
        <f t="shared" ref="I24:Q24" si="17">I23+I18+I12+I5</f>
        <v>274182690.88219994</v>
      </c>
      <c r="J24" s="1043">
        <f t="shared" si="17"/>
        <v>218878694.61000001</v>
      </c>
      <c r="K24" s="1043">
        <f t="shared" si="17"/>
        <v>15739108.4</v>
      </c>
      <c r="L24" s="1043">
        <f t="shared" si="17"/>
        <v>1423627.6</v>
      </c>
      <c r="M24" s="1043">
        <f>M23+M18+M12+M5</f>
        <v>5264319.1100000003</v>
      </c>
      <c r="N24" s="1043">
        <f t="shared" si="17"/>
        <v>11654000.24</v>
      </c>
      <c r="O24" s="1043">
        <f t="shared" si="17"/>
        <v>208105639.74000001</v>
      </c>
      <c r="P24" s="1043">
        <f t="shared" si="17"/>
        <v>46812407.969999999</v>
      </c>
      <c r="Q24" s="1043">
        <f t="shared" si="17"/>
        <v>2898915948.1177998</v>
      </c>
      <c r="R24" s="183"/>
      <c r="S24" s="184"/>
      <c r="T24" s="183"/>
      <c r="U24" s="183"/>
    </row>
    <row r="25" spans="2:21" ht="15" thickBot="1">
      <c r="E25" s="509"/>
      <c r="H25" s="509"/>
      <c r="I25" s="369"/>
      <c r="J25" s="369"/>
      <c r="K25" s="369"/>
      <c r="L25" s="369"/>
      <c r="M25" s="369"/>
      <c r="N25" s="369"/>
      <c r="O25" s="730"/>
      <c r="P25" s="320"/>
      <c r="Q25" s="320"/>
    </row>
    <row r="26" spans="2:21" ht="15" thickBot="1">
      <c r="D26" s="320"/>
      <c r="E26" s="320"/>
      <c r="H26" s="320"/>
      <c r="I26" s="368"/>
      <c r="J26" s="368"/>
      <c r="K26" s="368"/>
      <c r="L26" s="368"/>
      <c r="M26" s="434" t="s">
        <v>653</v>
      </c>
      <c r="N26" s="435">
        <f>+'BCE 07-25'!C45</f>
        <v>159695773.63999999</v>
      </c>
      <c r="O26" s="1016"/>
      <c r="P26" s="142"/>
      <c r="Q26" s="142"/>
      <c r="S26" s="186" t="s">
        <v>189</v>
      </c>
      <c r="T26" s="190">
        <v>2831861942.3920002</v>
      </c>
    </row>
    <row r="27" spans="2:21" ht="18.600000000000001" thickBot="1">
      <c r="B27" s="333" t="s">
        <v>1447</v>
      </c>
      <c r="C27" s="672">
        <v>3515158425</v>
      </c>
      <c r="D27" s="672">
        <f t="shared" ref="D27" si="18">+D14/0.08</f>
        <v>3851629175</v>
      </c>
      <c r="E27" s="672">
        <f>+E28*60</f>
        <v>3996000000</v>
      </c>
      <c r="H27" s="672"/>
      <c r="I27" s="368"/>
      <c r="J27" s="368"/>
      <c r="K27" s="368"/>
      <c r="L27" s="368"/>
      <c r="M27" s="586" t="s">
        <v>1157</v>
      </c>
      <c r="N27" s="587">
        <f>+'BCE 07-25'!C33</f>
        <v>48015000</v>
      </c>
      <c r="O27" s="1016"/>
      <c r="P27" s="1098"/>
      <c r="Q27" s="142"/>
      <c r="S27" s="186"/>
      <c r="T27" s="190"/>
    </row>
    <row r="28" spans="2:21" ht="15" thickBot="1">
      <c r="C28" s="370">
        <f>+C27/59</f>
        <v>59578956.355932206</v>
      </c>
      <c r="D28" s="370">
        <f>+D27/59</f>
        <v>65281850.423728816</v>
      </c>
      <c r="E28" s="370">
        <v>66600000</v>
      </c>
      <c r="H28" s="370"/>
      <c r="I28" s="474"/>
      <c r="M28" s="436" t="s">
        <v>654</v>
      </c>
      <c r="N28" s="437">
        <f>-'BCE 07-25'!C17</f>
        <v>-45448879.799999997</v>
      </c>
      <c r="O28" s="12"/>
      <c r="P28" s="320"/>
      <c r="Q28" s="320"/>
      <c r="S28" s="188" t="s">
        <v>190</v>
      </c>
      <c r="T28" s="189">
        <f>C24</f>
        <v>2831861942.9499998</v>
      </c>
    </row>
    <row r="29" spans="2:21" ht="15" thickBot="1">
      <c r="C29" s="489"/>
      <c r="D29" s="370"/>
      <c r="E29" s="370"/>
      <c r="H29" s="370"/>
      <c r="I29" s="474"/>
      <c r="M29" s="441" t="s">
        <v>655</v>
      </c>
      <c r="N29" s="442">
        <f>+'BCE 07-25'!C35+'BCE 07-25'!C36+'BCE 07-25'!C37+'BCE 07-25'!C38</f>
        <v>432311.75</v>
      </c>
      <c r="O29" s="445"/>
      <c r="P29" s="320"/>
      <c r="Q29" s="320"/>
      <c r="S29" s="187" t="s">
        <v>191</v>
      </c>
      <c r="T29" s="191">
        <f>T26-T28</f>
        <v>-0.55799961090087891</v>
      </c>
    </row>
    <row r="30" spans="2:21" ht="18.600000000000001" thickBot="1">
      <c r="B30" s="333" t="s">
        <v>1448</v>
      </c>
      <c r="C30" s="672">
        <f>+C27-C24</f>
        <v>683296482.05000019</v>
      </c>
      <c r="D30" s="672">
        <f t="shared" ref="D30" si="19">+D27-D24</f>
        <v>678530536</v>
      </c>
      <c r="E30" s="672">
        <f>+E27-E24</f>
        <v>655504600.19939995</v>
      </c>
      <c r="H30" s="672"/>
      <c r="I30" s="474"/>
      <c r="M30" s="441" t="s">
        <v>808</v>
      </c>
      <c r="N30" s="442">
        <f>+'BCE 07-25'!C34</f>
        <v>42907921.100000001</v>
      </c>
      <c r="O30" s="445"/>
      <c r="P30" s="320"/>
      <c r="Q30" s="320"/>
      <c r="S30" s="183"/>
      <c r="T30" s="508"/>
    </row>
    <row r="31" spans="2:21">
      <c r="C31" s="370">
        <f>+C30/59</f>
        <v>11581296.305932207</v>
      </c>
      <c r="D31" s="370">
        <f t="shared" ref="D31" si="20">+D30/59</f>
        <v>11500517.559322033</v>
      </c>
      <c r="E31" s="370">
        <f>+E30/60</f>
        <v>10925076.669989999</v>
      </c>
      <c r="H31" s="370"/>
      <c r="I31" s="474"/>
      <c r="M31" s="441"/>
      <c r="N31" s="442"/>
      <c r="O31" s="445"/>
      <c r="P31" s="320"/>
      <c r="Q31" s="320"/>
      <c r="S31" s="183"/>
      <c r="T31" s="508"/>
    </row>
    <row r="32" spans="2:21">
      <c r="C32" s="489"/>
      <c r="D32" s="370"/>
      <c r="E32" s="370"/>
      <c r="H32" s="370"/>
      <c r="I32" s="474"/>
      <c r="M32" s="441" t="s">
        <v>888</v>
      </c>
      <c r="N32" s="442">
        <f>+'CXP 07-25'!E13</f>
        <v>364684.38</v>
      </c>
      <c r="O32" s="445"/>
      <c r="P32" s="320"/>
      <c r="Q32" s="320"/>
      <c r="S32" s="183"/>
      <c r="T32" s="508"/>
    </row>
    <row r="33" spans="2:16" ht="15" thickBot="1">
      <c r="C33" s="369"/>
      <c r="D33" s="370"/>
      <c r="E33" s="370"/>
      <c r="H33" s="370"/>
      <c r="M33" s="438" t="s">
        <v>656</v>
      </c>
      <c r="N33" s="439">
        <f>SUM(N26:N32)</f>
        <v>205966811.06999996</v>
      </c>
      <c r="O33" s="445"/>
    </row>
    <row r="34" spans="2:16">
      <c r="C34" s="161"/>
      <c r="D34" s="370"/>
      <c r="E34" s="370"/>
      <c r="H34" s="370"/>
      <c r="M34" s="440" t="s">
        <v>657</v>
      </c>
      <c r="N34" s="445">
        <f>+O24</f>
        <v>208105639.74000001</v>
      </c>
    </row>
    <row r="35" spans="2:16">
      <c r="M35" s="443" t="s">
        <v>658</v>
      </c>
      <c r="N35" s="443">
        <f>+N33-N34</f>
        <v>-2138828.6700000465</v>
      </c>
      <c r="O35" s="444">
        <f>+'BCE 07-25'!C46+'BCE 07-25'!C47</f>
        <v>953438.13</v>
      </c>
      <c r="P35" s="444">
        <f>+N35+O35</f>
        <v>-1185390.5400000466</v>
      </c>
    </row>
    <row r="36" spans="2:16">
      <c r="B36" s="192"/>
      <c r="C36" s="192"/>
      <c r="D36" s="192"/>
      <c r="E36" s="192"/>
      <c r="F36" s="843"/>
      <c r="G36" s="843"/>
      <c r="H36" s="192"/>
      <c r="I36" s="192"/>
      <c r="J36" s="192"/>
      <c r="K36" s="192"/>
      <c r="L36" s="192"/>
      <c r="M36" s="192"/>
      <c r="N36" s="192"/>
      <c r="O36" s="192"/>
      <c r="P36" s="192"/>
    </row>
    <row r="38" spans="2:16">
      <c r="B38" s="254" t="s">
        <v>47</v>
      </c>
    </row>
    <row r="39" spans="2:16">
      <c r="B39" s="112" t="s">
        <v>48</v>
      </c>
    </row>
    <row r="40" spans="2:16">
      <c r="B40" s="115" t="s">
        <v>49</v>
      </c>
    </row>
    <row r="41" spans="2:16">
      <c r="B41" s="112" t="s">
        <v>50</v>
      </c>
    </row>
    <row r="42" spans="2:16">
      <c r="B42" s="115" t="s">
        <v>51</v>
      </c>
    </row>
    <row r="43" spans="2:16">
      <c r="B43" s="254" t="s">
        <v>52</v>
      </c>
    </row>
    <row r="44" spans="2:16" ht="18.600000000000001" thickBot="1">
      <c r="B44" s="333" t="s">
        <v>229</v>
      </c>
    </row>
    <row r="46" spans="2:16" ht="15" thickBot="1"/>
    <row r="47" spans="2:16">
      <c r="B47" s="335" t="s">
        <v>234</v>
      </c>
      <c r="C47" s="336">
        <v>160000000</v>
      </c>
      <c r="D47" s="336"/>
      <c r="E47" s="336"/>
      <c r="F47" s="844"/>
      <c r="G47" s="844"/>
      <c r="H47" s="336"/>
    </row>
    <row r="48" spans="2:16">
      <c r="B48" s="588" t="s">
        <v>1158</v>
      </c>
      <c r="C48" s="589">
        <v>22200000</v>
      </c>
      <c r="D48" s="589"/>
      <c r="E48" s="589"/>
      <c r="F48" s="845"/>
      <c r="G48" s="845"/>
      <c r="H48" s="589"/>
    </row>
    <row r="49" spans="2:8">
      <c r="B49" s="112" t="s">
        <v>153</v>
      </c>
      <c r="C49" s="403">
        <f>+O24+P24</f>
        <v>254918047.71000001</v>
      </c>
      <c r="D49" s="403"/>
      <c r="E49" s="403"/>
      <c r="F49" s="846"/>
      <c r="G49" s="846"/>
      <c r="H49" s="403">
        <f>C49/C47</f>
        <v>1.5932377981875001</v>
      </c>
    </row>
    <row r="50" spans="2:8" ht="15" thickBot="1">
      <c r="B50" s="339" t="s">
        <v>154</v>
      </c>
      <c r="C50" s="340">
        <f>+C47+C48-C49</f>
        <v>-72718047.710000008</v>
      </c>
      <c r="D50" s="340"/>
      <c r="E50" s="340"/>
      <c r="F50" s="847"/>
      <c r="G50" s="847"/>
      <c r="H50" s="340">
        <f>C50/C47</f>
        <v>-0.45448779818750007</v>
      </c>
    </row>
  </sheetData>
  <mergeCells count="11">
    <mergeCell ref="R1:U2"/>
    <mergeCell ref="I3:I4"/>
    <mergeCell ref="J3:J4"/>
    <mergeCell ref="M3:M4"/>
    <mergeCell ref="N3:N4"/>
    <mergeCell ref="O3:O4"/>
    <mergeCell ref="P3:P4"/>
    <mergeCell ref="Q3:Q4"/>
    <mergeCell ref="K3:K4"/>
    <mergeCell ref="L3:L4"/>
    <mergeCell ref="J2:N2"/>
  </mergeCells>
  <phoneticPr fontId="3" type="noConversion"/>
  <conditionalFormatting sqref="R6:R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R8:R9">
    <cfRule type="iconSet" priority="1">
      <iconSet iconSet="3Arrows">
        <cfvo type="percent" val="0"/>
        <cfvo type="percent" val="45"/>
        <cfvo type="percent" val="80"/>
      </iconSet>
    </cfRule>
  </conditionalFormatting>
  <conditionalFormatting sqref="R14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R16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R20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R22">
    <cfRule type="iconSet" priority="2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ignoredErrors>
    <ignoredError sqref="O18:Q18 O12:Q12" formula="1"/>
  </ignoredErrors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47D25-7DEB-4528-B78C-72CC272E9827}">
  <dimension ref="B3:L47"/>
  <sheetViews>
    <sheetView showGridLines="0" topLeftCell="A15" zoomScaleNormal="100" workbookViewId="0">
      <selection activeCell="F37" sqref="F37"/>
    </sheetView>
  </sheetViews>
  <sheetFormatPr baseColWidth="10" defaultColWidth="11.44140625" defaultRowHeight="14.4"/>
  <cols>
    <col min="1" max="1" width="2.44140625" customWidth="1"/>
    <col min="2" max="2" width="30.88671875" bestFit="1" customWidth="1"/>
    <col min="3" max="3" width="20.6640625" style="731" customWidth="1"/>
    <col min="4" max="4" width="16.6640625" style="730" bestFit="1" customWidth="1"/>
    <col min="5" max="7" width="13.44140625" style="730" bestFit="1" customWidth="1"/>
    <col min="8" max="8" width="14.109375" style="730" bestFit="1" customWidth="1"/>
    <col min="9" max="9" width="14.5546875" style="731" bestFit="1" customWidth="1"/>
    <col min="10" max="10" width="20.6640625" bestFit="1" customWidth="1"/>
    <col min="11" max="11" width="13.5546875" bestFit="1" customWidth="1"/>
    <col min="12" max="12" width="14.88671875" bestFit="1" customWidth="1"/>
    <col min="13" max="14" width="12.33203125" bestFit="1" customWidth="1"/>
  </cols>
  <sheetData>
    <row r="3" spans="2:12" hidden="1">
      <c r="B3" s="142">
        <v>160000000</v>
      </c>
    </row>
    <row r="4" spans="2:12" ht="15" hidden="1" thickBot="1">
      <c r="B4" s="284" t="s">
        <v>259</v>
      </c>
    </row>
    <row r="5" spans="2:12" ht="15" hidden="1" thickBot="1">
      <c r="B5" s="284" t="s">
        <v>260</v>
      </c>
    </row>
    <row r="6" spans="2:12" ht="15.6" hidden="1" thickTop="1" thickBot="1">
      <c r="B6" s="285" t="s">
        <v>261</v>
      </c>
    </row>
    <row r="7" spans="2:12" ht="15.6" hidden="1" thickTop="1" thickBot="1">
      <c r="B7" s="285" t="s">
        <v>149</v>
      </c>
    </row>
    <row r="8" spans="2:12" ht="15.6" hidden="1" thickTop="1" thickBot="1">
      <c r="B8" s="285" t="s">
        <v>262</v>
      </c>
    </row>
    <row r="9" spans="2:12" hidden="1"/>
    <row r="10" spans="2:12" hidden="1"/>
    <row r="11" spans="2:12" hidden="1"/>
    <row r="12" spans="2:12" hidden="1"/>
    <row r="13" spans="2:12" hidden="1"/>
    <row r="14" spans="2:12" hidden="1"/>
    <row r="15" spans="2:12" ht="15" thickBot="1">
      <c r="C15" s="731" t="s">
        <v>1286</v>
      </c>
      <c r="F15" s="733" t="s">
        <v>1287</v>
      </c>
      <c r="G15" s="733" t="s">
        <v>1288</v>
      </c>
    </row>
    <row r="16" spans="2:12" ht="16.2" thickBot="1">
      <c r="B16" s="676"/>
      <c r="C16" s="734" t="s">
        <v>1615</v>
      </c>
      <c r="D16" s="735">
        <v>45870</v>
      </c>
      <c r="E16" s="735">
        <v>45901</v>
      </c>
      <c r="F16" s="735">
        <v>45931</v>
      </c>
      <c r="G16" s="735">
        <v>45962</v>
      </c>
      <c r="H16" s="735">
        <v>45992</v>
      </c>
      <c r="I16" s="807" t="s">
        <v>1290</v>
      </c>
      <c r="K16" s="1078">
        <v>778723.04</v>
      </c>
      <c r="L16" s="1079">
        <v>45717</v>
      </c>
    </row>
    <row r="17" spans="2:12" ht="16.2" thickBot="1">
      <c r="B17" s="736" t="s">
        <v>1291</v>
      </c>
      <c r="C17" s="737">
        <f>+'BCE 07-25'!C34-'BCE 07-25'!C12</f>
        <v>40899023.880000003</v>
      </c>
      <c r="D17" s="737">
        <v>22480000</v>
      </c>
      <c r="E17" s="737">
        <v>22480000</v>
      </c>
      <c r="F17" s="737">
        <v>22480000</v>
      </c>
      <c r="G17" s="737">
        <v>22480000</v>
      </c>
      <c r="H17" s="737">
        <v>22480000</v>
      </c>
      <c r="I17" s="808">
        <f>SUM(C17:H17)</f>
        <v>153299023.88</v>
      </c>
      <c r="K17" s="1080">
        <v>3371585.6799999997</v>
      </c>
      <c r="L17" s="1081">
        <v>45748</v>
      </c>
    </row>
    <row r="18" spans="2:12" ht="15.6">
      <c r="B18" s="681" t="s">
        <v>1616</v>
      </c>
      <c r="C18" s="738">
        <v>160000000</v>
      </c>
      <c r="D18" s="739">
        <v>25000000</v>
      </c>
      <c r="E18" s="739">
        <v>50000000</v>
      </c>
      <c r="F18" s="739">
        <v>25000000</v>
      </c>
      <c r="G18" s="739"/>
      <c r="H18" s="739"/>
      <c r="I18" s="809">
        <f>SUM(C18:H18)</f>
        <v>260000000</v>
      </c>
      <c r="K18" s="1080">
        <v>6876530.0099999998</v>
      </c>
      <c r="L18" s="1081">
        <v>45778</v>
      </c>
    </row>
    <row r="19" spans="2:12" ht="15.6">
      <c r="B19" s="681" t="s">
        <v>1617</v>
      </c>
      <c r="C19" s="738">
        <v>49200000</v>
      </c>
      <c r="D19" s="738"/>
      <c r="E19" s="738"/>
      <c r="F19" s="738"/>
      <c r="G19" s="738"/>
      <c r="H19" s="739"/>
      <c r="I19" s="809">
        <f t="shared" ref="I19:I21" si="0">SUM(C19:H19)</f>
        <v>49200000</v>
      </c>
      <c r="K19" s="1080">
        <v>13084169.59</v>
      </c>
      <c r="L19" s="1081">
        <v>45809</v>
      </c>
    </row>
    <row r="20" spans="2:12" ht="16.2" thickBot="1">
      <c r="B20" s="681" t="s">
        <v>1618</v>
      </c>
      <c r="C20" s="738"/>
      <c r="D20" s="738"/>
      <c r="E20" s="738">
        <v>-15000000</v>
      </c>
      <c r="F20" s="738">
        <v>-34200000</v>
      </c>
      <c r="G20" s="738"/>
      <c r="H20" s="739"/>
      <c r="I20" s="809">
        <f t="shared" si="0"/>
        <v>-49200000</v>
      </c>
      <c r="K20" s="1082">
        <v>16013881.909999996</v>
      </c>
      <c r="L20" s="1083">
        <v>45839</v>
      </c>
    </row>
    <row r="21" spans="2:12" ht="15.6" hidden="1">
      <c r="B21" s="681"/>
      <c r="C21" s="738"/>
      <c r="D21" s="739">
        <f>+C19+D19+D18</f>
        <v>74200000</v>
      </c>
      <c r="E21" s="739">
        <f>+D21+E18+E20</f>
        <v>109200000</v>
      </c>
      <c r="F21" s="739">
        <f>+E21+F18+F20</f>
        <v>100000000</v>
      </c>
      <c r="G21" s="739">
        <f>+F21+G19+G20</f>
        <v>100000000</v>
      </c>
      <c r="H21" s="739"/>
      <c r="I21" s="809">
        <f t="shared" si="0"/>
        <v>383400000</v>
      </c>
      <c r="K21" s="368">
        <v>13085679.84</v>
      </c>
      <c r="L21" s="193">
        <v>45888</v>
      </c>
    </row>
    <row r="22" spans="2:12" ht="15.6">
      <c r="B22" s="681" t="s">
        <v>266</v>
      </c>
      <c r="C22" s="738">
        <f>+C18+C19-C23</f>
        <v>1094360.2800000012</v>
      </c>
      <c r="D22" s="739">
        <f>+C22+D18+D19-D23</f>
        <v>-8996976.9249940813</v>
      </c>
      <c r="E22" s="739">
        <f>+D22+E18+E19-E23+E20</f>
        <v>-9133456.0325246826</v>
      </c>
      <c r="F22" s="739">
        <f>+E22+F18+F19-F23+F20</f>
        <v>-57284814.080831528</v>
      </c>
      <c r="G22" s="739">
        <f>+F22+G18+G19-G23+G20</f>
        <v>-87089053.930142939</v>
      </c>
      <c r="H22" s="739">
        <f>+G22+H18+H19-H23+H20</f>
        <v>-117591559.77945435</v>
      </c>
      <c r="I22" s="809">
        <f>+H22</f>
        <v>-117591559.77945435</v>
      </c>
      <c r="J22" s="732"/>
    </row>
    <row r="23" spans="2:12" ht="15.6">
      <c r="B23" s="740" t="s">
        <v>267</v>
      </c>
      <c r="C23" s="741">
        <f>SUM(C24:C40)</f>
        <v>208105639.72</v>
      </c>
      <c r="D23" s="741">
        <f>SUM(D24:D40)</f>
        <v>35091337.204994082</v>
      </c>
      <c r="E23" s="741">
        <f>SUM(E24:E40)</f>
        <v>35136479.107530601</v>
      </c>
      <c r="F23" s="741">
        <f t="shared" ref="F23:H23" si="1">SUM(F24:F40)</f>
        <v>38951358.048306845</v>
      </c>
      <c r="G23" s="741">
        <f t="shared" si="1"/>
        <v>29804239.849311415</v>
      </c>
      <c r="H23" s="741">
        <f t="shared" si="1"/>
        <v>30502505.849311415</v>
      </c>
      <c r="I23" s="810">
        <f>SUM(C23:H23)</f>
        <v>377591559.77945435</v>
      </c>
      <c r="J23" s="732"/>
    </row>
    <row r="24" spans="2:12" ht="15.6">
      <c r="B24" s="694" t="s">
        <v>259</v>
      </c>
      <c r="C24" s="743">
        <f>+'PRESENTACIÓN 07-25'!O5</f>
        <v>94173205.829999998</v>
      </c>
      <c r="D24" s="742">
        <f>+'Compromisos 07-25'!L3</f>
        <v>18016</v>
      </c>
      <c r="E24" s="742">
        <f>+'Compromisos 07-25'!M3</f>
        <v>0</v>
      </c>
      <c r="F24" s="742">
        <f>+'Compromisos 07-25'!N3</f>
        <v>0</v>
      </c>
      <c r="G24" s="742">
        <f>+'Compromisos 07-25'!O3</f>
        <v>0</v>
      </c>
      <c r="H24" s="742">
        <f>+'Compromisos 07-25'!P3</f>
        <v>0</v>
      </c>
      <c r="I24" s="811">
        <f t="shared" ref="I24:I40" si="2">SUM(C24:H24)</f>
        <v>94191221.829999998</v>
      </c>
    </row>
    <row r="25" spans="2:12" ht="15.6">
      <c r="B25" s="697" t="s">
        <v>260</v>
      </c>
      <c r="C25" s="738">
        <f>+'PRESENTACIÓN 07-25'!O20</f>
        <v>21884665.650000002</v>
      </c>
      <c r="D25" s="739">
        <f>+'Compromisos 07-25'!L13</f>
        <v>103770</v>
      </c>
      <c r="E25" s="739">
        <f>+'Compromisos 07-25'!M13</f>
        <v>1344668.7182191783</v>
      </c>
      <c r="F25" s="739">
        <f>+'Compromisos 07-25'!N13</f>
        <v>713839.21232876717</v>
      </c>
      <c r="G25" s="739">
        <f>+'Compromisos 07-25'!O13</f>
        <v>0</v>
      </c>
      <c r="H25" s="739">
        <f>+'Compromisos 07-25'!P13</f>
        <v>0</v>
      </c>
      <c r="I25" s="809">
        <f t="shared" si="2"/>
        <v>24046943.580547947</v>
      </c>
    </row>
    <row r="26" spans="2:12" ht="15.6">
      <c r="B26" s="697" t="s">
        <v>1292</v>
      </c>
      <c r="C26" s="743">
        <f>+'PRESENTACIÓN 07-25'!O19</f>
        <v>16541486.529999997</v>
      </c>
      <c r="D26" s="742">
        <f>+'Compromisos 07-25'!L104</f>
        <v>2008895</v>
      </c>
      <c r="E26" s="742">
        <f>+'Compromisos 07-25'!M104</f>
        <v>1971958.7</v>
      </c>
      <c r="F26" s="742">
        <f>+'Compromisos 07-25'!N104</f>
        <v>2294877.39</v>
      </c>
      <c r="G26" s="742">
        <f>+'Compromisos 07-25'!O104</f>
        <v>0</v>
      </c>
      <c r="H26" s="742">
        <f>+'Compromisos 07-25'!P104</f>
        <v>0</v>
      </c>
      <c r="I26" s="811">
        <f t="shared" si="2"/>
        <v>22817217.619999997</v>
      </c>
    </row>
    <row r="27" spans="2:12" ht="15.6">
      <c r="B27" s="697" t="s">
        <v>271</v>
      </c>
      <c r="C27" s="738">
        <f>+'PRESENTACIÓN 07-25'!O6</f>
        <v>23422683.949999999</v>
      </c>
      <c r="D27" s="739">
        <f>+'Compromisos 07-25'!L27</f>
        <v>6542049.3500000006</v>
      </c>
      <c r="E27" s="739">
        <f>+'Compromisos 07-25'!M27</f>
        <v>7434330.9700000007</v>
      </c>
      <c r="F27" s="739">
        <f>+'Compromisos 07-25'!N27</f>
        <v>8985014.9299999997</v>
      </c>
      <c r="G27" s="739">
        <f>+'Compromisos 07-25'!O27</f>
        <v>3683734</v>
      </c>
      <c r="H27" s="739">
        <f>+'Compromisos 07-25'!P27</f>
        <v>3382000</v>
      </c>
      <c r="I27" s="809">
        <f t="shared" si="2"/>
        <v>53449813.200000003</v>
      </c>
    </row>
    <row r="28" spans="2:12" ht="15.6">
      <c r="B28" s="697" t="s">
        <v>681</v>
      </c>
      <c r="C28" s="738">
        <f>+'PRESENTACIÓN 07-25'!O7</f>
        <v>0</v>
      </c>
      <c r="D28" s="739">
        <f>+'Compromisos 07-25'!L33</f>
        <v>0</v>
      </c>
      <c r="E28" s="739">
        <f>+'Compromisos 07-25'!M33</f>
        <v>3000000</v>
      </c>
      <c r="F28" s="739">
        <f>+'Compromisos 07-25'!N33</f>
        <v>5700000</v>
      </c>
      <c r="G28" s="739">
        <f>+'Compromisos 07-25'!O33</f>
        <v>5000000</v>
      </c>
      <c r="H28" s="739">
        <f>+'Compromisos 07-25'!P33</f>
        <v>6000000</v>
      </c>
      <c r="I28" s="809">
        <f t="shared" si="2"/>
        <v>19700000</v>
      </c>
    </row>
    <row r="29" spans="2:12" ht="15.6">
      <c r="B29" s="697" t="s">
        <v>682</v>
      </c>
      <c r="C29" s="738">
        <f>+'PRESENTACIÓN 07-25'!O10</f>
        <v>0</v>
      </c>
      <c r="D29" s="739">
        <f>+'Compromisos 07-25'!L44</f>
        <v>447108.54</v>
      </c>
      <c r="E29" s="739">
        <f>+'Compromisos 07-25'!M44</f>
        <v>392700.8</v>
      </c>
      <c r="F29" s="739">
        <f>+'Compromisos 07-25'!N44</f>
        <v>300000</v>
      </c>
      <c r="G29" s="739">
        <f>+'Compromisos 07-25'!O44</f>
        <v>300000</v>
      </c>
      <c r="H29" s="739">
        <f>+'Compromisos 07-25'!P44</f>
        <v>300000</v>
      </c>
      <c r="I29" s="809">
        <f t="shared" si="2"/>
        <v>1739809.3399999999</v>
      </c>
    </row>
    <row r="30" spans="2:12" ht="15.6">
      <c r="B30" s="697" t="s">
        <v>449</v>
      </c>
      <c r="C30" s="743">
        <f>+'PRESENTACIÓN 07-25'!O16</f>
        <v>16712739.210000003</v>
      </c>
      <c r="D30" s="742">
        <f>+'Compromisos 07-25'!L93</f>
        <v>4582303.6591780828</v>
      </c>
      <c r="E30" s="742">
        <f>+'Compromisos 07-25'!M93</f>
        <v>972465.86917808221</v>
      </c>
      <c r="F30" s="742">
        <f>+'Compromisos 07-25'!N93</f>
        <v>524812.21917808219</v>
      </c>
      <c r="G30" s="742">
        <f>+'Compromisos 07-25'!O93</f>
        <v>525308.21917808219</v>
      </c>
      <c r="H30" s="742">
        <f>+'Compromisos 07-25'!P93</f>
        <v>525308.21917808219</v>
      </c>
      <c r="I30" s="811">
        <f t="shared" si="2"/>
        <v>23842937.395890411</v>
      </c>
    </row>
    <row r="31" spans="2:12" s="747" customFormat="1" ht="15.6">
      <c r="B31" s="744" t="s">
        <v>810</v>
      </c>
      <c r="C31" s="746">
        <f>+'PRESENTACIÓN 07-25'!O15</f>
        <v>1066524.1599999999</v>
      </c>
      <c r="D31" s="745">
        <f>+'Compromisos 07-25'!L61</f>
        <v>250000</v>
      </c>
      <c r="E31" s="745">
        <f>+'Compromisos 07-25'!M61</f>
        <v>250000</v>
      </c>
      <c r="F31" s="745">
        <f>+'Compromisos 07-25'!N61</f>
        <v>250000</v>
      </c>
      <c r="G31" s="745">
        <f>+'Compromisos 07-25'!O61</f>
        <v>250000</v>
      </c>
      <c r="H31" s="745">
        <f>+'Compromisos 07-25'!P61</f>
        <v>250000</v>
      </c>
      <c r="I31" s="812">
        <f t="shared" si="2"/>
        <v>2316524.16</v>
      </c>
    </row>
    <row r="32" spans="2:12" s="747" customFormat="1" ht="15.6">
      <c r="B32" s="703" t="s">
        <v>767</v>
      </c>
      <c r="C32" s="749">
        <f>+'PRESENTACIÓN 07-25'!O8</f>
        <v>13835468.57</v>
      </c>
      <c r="D32" s="750">
        <f>+'Compromisos 07-25'!L38</f>
        <v>2722612.53</v>
      </c>
      <c r="E32" s="750">
        <f>+'Compromisos 07-25'!M38</f>
        <v>2471081.42</v>
      </c>
      <c r="F32" s="750">
        <f>+'Compromisos 07-25'!N38</f>
        <v>2360000</v>
      </c>
      <c r="G32" s="750">
        <f>+'Compromisos 07-25'!O38</f>
        <v>2360000</v>
      </c>
      <c r="H32" s="750">
        <f>+'Compromisos 07-25'!P38</f>
        <v>2360000</v>
      </c>
      <c r="I32" s="813">
        <f t="shared" si="2"/>
        <v>26109162.52</v>
      </c>
    </row>
    <row r="33" spans="2:9" s="747" customFormat="1" ht="15.6">
      <c r="B33" s="703" t="s">
        <v>1607</v>
      </c>
      <c r="C33" s="749">
        <v>0</v>
      </c>
      <c r="D33" s="750">
        <f>+'Compromisos 07-25'!L30</f>
        <v>506964.29680000001</v>
      </c>
      <c r="E33" s="750">
        <f>+'Compromisos 07-25'!M30</f>
        <v>506964.29680000001</v>
      </c>
      <c r="F33" s="750">
        <f>+'Compromisos 07-25'!N30</f>
        <v>506964.29680000001</v>
      </c>
      <c r="G33" s="750">
        <f>+'Compromisos 07-25'!O30</f>
        <v>506964.29680000001</v>
      </c>
      <c r="H33" s="750">
        <f>+'Compromisos 07-25'!P30</f>
        <v>506964.29680000001</v>
      </c>
      <c r="I33" s="814">
        <f>SUM(C33:H33)</f>
        <v>2534821.4840000002</v>
      </c>
    </row>
    <row r="34" spans="2:9" s="747" customFormat="1" ht="15.6">
      <c r="B34" s="703" t="s">
        <v>768</v>
      </c>
      <c r="C34" s="748">
        <f>+'PRESENTACIÓN 07-25'!O13</f>
        <v>7241175.9699999997</v>
      </c>
      <c r="D34" s="751">
        <f>+'Compromisos 07-25'!L47</f>
        <v>1770000</v>
      </c>
      <c r="E34" s="751">
        <f>+'Compromisos 07-25'!M47</f>
        <v>1770000</v>
      </c>
      <c r="F34" s="751">
        <f>+'Compromisos 07-25'!N47</f>
        <v>1770000</v>
      </c>
      <c r="G34" s="751">
        <f>+'Compromisos 07-25'!O47</f>
        <v>1770000</v>
      </c>
      <c r="H34" s="751">
        <f>+'Compromisos 07-25'!P47</f>
        <v>1770000</v>
      </c>
      <c r="I34" s="814">
        <f t="shared" si="2"/>
        <v>16091175.969999999</v>
      </c>
    </row>
    <row r="35" spans="2:9" s="747" customFormat="1" ht="15.6">
      <c r="B35" s="703" t="s">
        <v>1451</v>
      </c>
      <c r="C35" s="749">
        <f>+'BCE 07-25'!I21</f>
        <v>6289997.9699999997</v>
      </c>
      <c r="D35" s="750">
        <f>+'Compromisos 07-25'!L51</f>
        <v>941719.5</v>
      </c>
      <c r="E35" s="750">
        <f>+'Compromisos 07-25'!M51</f>
        <v>950000</v>
      </c>
      <c r="F35" s="750">
        <f>+'Compromisos 07-25'!N51</f>
        <v>950000</v>
      </c>
      <c r="G35" s="750">
        <f>+'Compromisos 07-25'!O51</f>
        <v>950000</v>
      </c>
      <c r="H35" s="750">
        <f>+'Compromisos 07-25'!P51</f>
        <v>950000</v>
      </c>
      <c r="I35" s="813">
        <f t="shared" si="2"/>
        <v>11031717.469999999</v>
      </c>
    </row>
    <row r="36" spans="2:9" s="747" customFormat="1" ht="18" customHeight="1">
      <c r="B36" s="752" t="s">
        <v>962</v>
      </c>
      <c r="C36" s="748">
        <f>+'BCE 07-25'!I20</f>
        <v>1534000</v>
      </c>
      <c r="D36" s="751">
        <f>+'Compromisos 07-25'!L56+'Compromisos 07-25'!L50</f>
        <v>1067000</v>
      </c>
      <c r="E36" s="751">
        <f>+'Compromisos 07-25'!M56+'Compromisos 07-25'!M50</f>
        <v>767000</v>
      </c>
      <c r="F36" s="751">
        <f>+'Compromisos 07-25'!N56+'Compromisos 07-25'!N50</f>
        <v>767000</v>
      </c>
      <c r="G36" s="751">
        <f>+'Compromisos 07-25'!O56+'Compromisos 07-25'!O50</f>
        <v>767000</v>
      </c>
      <c r="H36" s="751">
        <f>+'Compromisos 07-25'!P56+'Compromisos 07-25'!P50</f>
        <v>767000</v>
      </c>
      <c r="I36" s="814">
        <f t="shared" si="2"/>
        <v>5669000</v>
      </c>
    </row>
    <row r="37" spans="2:9" ht="15.6">
      <c r="B37" s="752" t="s">
        <v>770</v>
      </c>
      <c r="C37" s="743">
        <f>+'BCE 07-25'!I19-'CXP 07-25'!E42</f>
        <v>5403691.8800000008</v>
      </c>
      <c r="D37" s="742">
        <f>+'Compromisos 07-25'!L49+'Compromisos 07-25'!L52+'Compromisos 07-25'!L53+'Compromisos 07-25'!L54+'Compromisos 07-25'!L55+'Compromisos 07-25'!L57</f>
        <v>12961100.779015999</v>
      </c>
      <c r="E37" s="742">
        <f>+'Compromisos 07-25'!M49+'Compromisos 07-25'!M52+'Compromisos 07-25'!M53+'Compromisos 07-25'!M54+'Compromisos 07-25'!M55+'Compromisos 07-25'!M57</f>
        <v>12195400.000000002</v>
      </c>
      <c r="F37" s="742">
        <f>+'Compromisos 07-25'!N49+'Compromisos 07-25'!N52+'Compromisos 07-25'!N53+'Compromisos 07-25'!N54+'Compromisos 07-25'!N55+'Compromisos 07-25'!N57</f>
        <v>12195400.000000002</v>
      </c>
      <c r="G37" s="742">
        <f>+'Compromisos 07-25'!O49+'Compromisos 07-25'!O52+'Compromisos 07-25'!O53+'Compromisos 07-25'!O54+'Compromisos 07-25'!O55+'Compromisos 07-25'!O57</f>
        <v>12195400.000000002</v>
      </c>
      <c r="H37" s="742">
        <f>+'Compromisos 07-25'!P49+'Compromisos 07-25'!P52+'Compromisos 07-25'!P53+'Compromisos 07-25'!P54+'Compromisos 07-25'!P55+'Compromisos 07-25'!P57</f>
        <v>12195400.000000002</v>
      </c>
      <c r="I37" s="811">
        <f t="shared" si="2"/>
        <v>67146392.659015998</v>
      </c>
    </row>
    <row r="38" spans="2:9" ht="15.6" hidden="1">
      <c r="B38" s="753"/>
      <c r="C38" s="755"/>
      <c r="D38" s="754"/>
      <c r="E38" s="754"/>
      <c r="F38" s="754"/>
      <c r="G38" s="754"/>
      <c r="H38" s="754"/>
      <c r="I38" s="811">
        <f t="shared" si="2"/>
        <v>0</v>
      </c>
    </row>
    <row r="39" spans="2:9" ht="15.6" hidden="1">
      <c r="B39" s="753"/>
      <c r="C39" s="755"/>
      <c r="D39" s="754"/>
      <c r="E39" s="754"/>
      <c r="F39" s="754"/>
      <c r="G39" s="754"/>
      <c r="H39" s="754"/>
      <c r="I39" s="811">
        <f t="shared" si="2"/>
        <v>0</v>
      </c>
    </row>
    <row r="40" spans="2:9" ht="16.2" thickBot="1">
      <c r="B40" s="756" t="s">
        <v>1294</v>
      </c>
      <c r="C40" s="758">
        <f>+'PRESENTACIÓN 07-25'!O21</f>
        <v>0</v>
      </c>
      <c r="D40" s="757">
        <f>+'Compromisos 07-25'!L108</f>
        <v>1169797.55</v>
      </c>
      <c r="E40" s="757">
        <f>((+D21*0.1795)/12)</f>
        <v>1109908.3333333333</v>
      </c>
      <c r="F40" s="757">
        <f>((+E21*0.1795)/12)</f>
        <v>1633450</v>
      </c>
      <c r="G40" s="757">
        <f>((+F21*0.1795)/12)</f>
        <v>1495833.3333333333</v>
      </c>
      <c r="H40" s="757">
        <f>((+G21*0.1795)/12)</f>
        <v>1495833.3333333333</v>
      </c>
      <c r="I40" s="816">
        <f t="shared" si="2"/>
        <v>6904822.5499999998</v>
      </c>
    </row>
    <row r="41" spans="2:9" ht="16.2" thickBot="1">
      <c r="B41" s="759"/>
    </row>
    <row r="42" spans="2:9">
      <c r="B42" s="760" t="s">
        <v>1295</v>
      </c>
      <c r="C42" s="761">
        <v>140500</v>
      </c>
    </row>
    <row r="43" spans="2:9">
      <c r="B43" s="762" t="s">
        <v>1296</v>
      </c>
      <c r="C43" s="763">
        <f>+C42*80</f>
        <v>11240000</v>
      </c>
    </row>
    <row r="44" spans="2:9">
      <c r="B44" s="762" t="s">
        <v>1297</v>
      </c>
      <c r="C44" s="763">
        <f>+C43*0.07</f>
        <v>786800.00000000012</v>
      </c>
      <c r="D44" s="370"/>
    </row>
    <row r="45" spans="2:9">
      <c r="B45" s="762" t="s">
        <v>1298</v>
      </c>
      <c r="C45" s="763">
        <v>62</v>
      </c>
    </row>
    <row r="46" spans="2:9">
      <c r="B46" s="764" t="s">
        <v>1299</v>
      </c>
      <c r="C46" s="765">
        <f>+C44*C45</f>
        <v>48781600.000000007</v>
      </c>
    </row>
    <row r="47" spans="2:9" ht="15" thickBot="1">
      <c r="B47" s="766" t="s">
        <v>1300</v>
      </c>
      <c r="C47" s="767">
        <f>+C46/4</f>
        <v>12195400.000000002</v>
      </c>
    </row>
  </sheetData>
  <pageMargins left="0.7" right="0.7" top="0.75" bottom="0.75" header="0.3" footer="0.3"/>
  <ignoredErrors>
    <ignoredError sqref="I22" formula="1"/>
  </ignoredError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FEB1A-CDEF-46DC-A10D-612FD9D149CC}">
  <sheetPr>
    <tabColor rgb="FF00B0F0"/>
  </sheetPr>
  <dimension ref="B5:I27"/>
  <sheetViews>
    <sheetView topLeftCell="A5" zoomScale="110" zoomScaleNormal="110" workbookViewId="0">
      <selection activeCell="D16" sqref="D16"/>
    </sheetView>
  </sheetViews>
  <sheetFormatPr baseColWidth="10" defaultColWidth="11.44140625" defaultRowHeight="14.4"/>
  <cols>
    <col min="2" max="2" width="32.44140625" customWidth="1"/>
    <col min="3" max="9" width="14.6640625" customWidth="1"/>
  </cols>
  <sheetData>
    <row r="5" spans="2:9" ht="15" thickBot="1">
      <c r="C5" s="731" t="s">
        <v>1286</v>
      </c>
      <c r="D5" s="730"/>
      <c r="E5" s="730"/>
      <c r="F5" s="733" t="s">
        <v>1287</v>
      </c>
      <c r="G5" s="733" t="s">
        <v>1288</v>
      </c>
      <c r="H5" s="730"/>
      <c r="I5" s="731"/>
    </row>
    <row r="6" spans="2:9" ht="31.8" thickBot="1">
      <c r="B6" s="676"/>
      <c r="C6" s="734" t="s">
        <v>1615</v>
      </c>
      <c r="D6" s="735">
        <v>45870</v>
      </c>
      <c r="E6" s="735">
        <v>45901</v>
      </c>
      <c r="F6" s="735">
        <v>45931</v>
      </c>
      <c r="G6" s="735">
        <v>45962</v>
      </c>
      <c r="H6" s="735">
        <v>45992</v>
      </c>
      <c r="I6" s="807" t="s">
        <v>1290</v>
      </c>
    </row>
    <row r="7" spans="2:9" ht="16.2" thickBot="1">
      <c r="B7" s="736" t="s">
        <v>1291</v>
      </c>
      <c r="C7" s="737">
        <v>40123060.399999999</v>
      </c>
      <c r="D7" s="737">
        <v>22480000</v>
      </c>
      <c r="E7" s="737">
        <v>22480000</v>
      </c>
      <c r="F7" s="737">
        <v>22480000</v>
      </c>
      <c r="G7" s="737">
        <v>22480000</v>
      </c>
      <c r="H7" s="737">
        <v>22480000</v>
      </c>
      <c r="I7" s="808">
        <f>SUM(C7:H7)</f>
        <v>152523060.40000001</v>
      </c>
    </row>
    <row r="8" spans="2:9" ht="15.6">
      <c r="B8" s="681" t="s">
        <v>1616</v>
      </c>
      <c r="C8" s="738">
        <v>160000000</v>
      </c>
      <c r="D8" s="739">
        <v>25000000</v>
      </c>
      <c r="E8" s="739">
        <v>50000000</v>
      </c>
      <c r="F8" s="739">
        <v>25000000</v>
      </c>
      <c r="G8" s="739"/>
      <c r="H8" s="739"/>
      <c r="I8" s="809">
        <f>SUM(C8:H8)</f>
        <v>260000000</v>
      </c>
    </row>
    <row r="9" spans="2:9" ht="15.6">
      <c r="B9" s="681" t="s">
        <v>1617</v>
      </c>
      <c r="C9" s="738">
        <v>49200000</v>
      </c>
      <c r="D9" s="738"/>
      <c r="E9" s="738"/>
      <c r="F9" s="738"/>
      <c r="G9" s="738"/>
      <c r="H9" s="739"/>
      <c r="I9" s="809">
        <f>SUM(C9:H9)</f>
        <v>49200000</v>
      </c>
    </row>
    <row r="10" spans="2:9" ht="15.6">
      <c r="B10" s="681" t="s">
        <v>1618</v>
      </c>
      <c r="C10" s="738"/>
      <c r="D10" s="738"/>
      <c r="E10" s="738">
        <v>-15000000</v>
      </c>
      <c r="F10" s="738">
        <v>-34200000</v>
      </c>
      <c r="G10" s="738"/>
      <c r="H10" s="739"/>
      <c r="I10" s="809">
        <f t="shared" ref="I10" si="0">SUM(C10:H10)</f>
        <v>-49200000</v>
      </c>
    </row>
    <row r="11" spans="2:9" ht="15.6" hidden="1">
      <c r="B11" s="681"/>
      <c r="C11" s="738"/>
      <c r="D11" s="739">
        <v>74200000</v>
      </c>
      <c r="E11" s="739">
        <v>109200000</v>
      </c>
      <c r="F11" s="739">
        <v>100000000</v>
      </c>
      <c r="G11" s="739">
        <v>100000000</v>
      </c>
      <c r="H11" s="739"/>
      <c r="I11" s="809"/>
    </row>
    <row r="12" spans="2:9" ht="15.6">
      <c r="B12" s="681" t="s">
        <v>266</v>
      </c>
      <c r="C12" s="738">
        <v>-74524.17999997735</v>
      </c>
      <c r="D12" s="739">
        <v>-8356130.9731780589</v>
      </c>
      <c r="E12" s="739">
        <v>-4441847.9956894778</v>
      </c>
      <c r="F12" s="739">
        <v>-51079002.534867555</v>
      </c>
      <c r="G12" s="739">
        <v>-79994118.087378979</v>
      </c>
      <c r="H12" s="739">
        <v>-109586259.6398904</v>
      </c>
      <c r="I12" s="809">
        <f>+H12</f>
        <v>-109586259.6398904</v>
      </c>
    </row>
    <row r="13" spans="2:9" ht="15.6">
      <c r="B13" s="740" t="s">
        <v>267</v>
      </c>
      <c r="C13" s="741">
        <v>209274524.17999998</v>
      </c>
      <c r="D13" s="741">
        <v>33281606.793178082</v>
      </c>
      <c r="E13" s="741">
        <v>31085717.022511419</v>
      </c>
      <c r="F13" s="741">
        <v>37437154.539178081</v>
      </c>
      <c r="G13" s="741">
        <v>28915115.552511416</v>
      </c>
      <c r="H13" s="741">
        <v>29592141.552511416</v>
      </c>
      <c r="I13" s="810">
        <f>SUM(C13:H13)</f>
        <v>369586259.63989031</v>
      </c>
    </row>
    <row r="14" spans="2:9" ht="15.6">
      <c r="B14" s="694" t="s">
        <v>259</v>
      </c>
      <c r="C14" s="743">
        <v>94191221.829999998</v>
      </c>
      <c r="D14" s="742">
        <v>18016</v>
      </c>
      <c r="E14" s="742">
        <v>0</v>
      </c>
      <c r="F14" s="742">
        <v>0</v>
      </c>
      <c r="G14" s="742">
        <v>0</v>
      </c>
      <c r="H14" s="742">
        <v>0</v>
      </c>
      <c r="I14" s="811">
        <f t="shared" ref="I14:I27" si="1">SUM(C14:H14)</f>
        <v>94209237.829999998</v>
      </c>
    </row>
    <row r="15" spans="2:9" ht="15.6">
      <c r="B15" s="697" t="s">
        <v>260</v>
      </c>
      <c r="C15" s="738">
        <v>22066685.649999999</v>
      </c>
      <c r="D15" s="739">
        <v>182020</v>
      </c>
      <c r="E15" s="739">
        <v>132038.41</v>
      </c>
      <c r="F15" s="739">
        <v>0</v>
      </c>
      <c r="G15" s="739">
        <v>0</v>
      </c>
      <c r="H15" s="739">
        <v>0</v>
      </c>
      <c r="I15" s="811">
        <f t="shared" si="1"/>
        <v>22380744.059999999</v>
      </c>
    </row>
    <row r="16" spans="2:9" ht="15.6">
      <c r="B16" s="697" t="s">
        <v>1292</v>
      </c>
      <c r="C16" s="743">
        <v>16981704.329999998</v>
      </c>
      <c r="D16" s="742">
        <v>2366730</v>
      </c>
      <c r="E16" s="742">
        <v>114123.7</v>
      </c>
      <c r="F16" s="742">
        <v>2294877.39</v>
      </c>
      <c r="G16" s="742">
        <v>0</v>
      </c>
      <c r="H16" s="742">
        <v>0</v>
      </c>
      <c r="I16" s="811">
        <f t="shared" si="1"/>
        <v>21757435.419999998</v>
      </c>
    </row>
    <row r="17" spans="2:9" ht="15.6">
      <c r="B17" s="697" t="s">
        <v>271</v>
      </c>
      <c r="C17" s="738">
        <v>23484010.509999998</v>
      </c>
      <c r="D17" s="739">
        <v>6638380.379999998</v>
      </c>
      <c r="E17" s="739">
        <v>7414623</v>
      </c>
      <c r="F17" s="739">
        <v>8985014.9299999997</v>
      </c>
      <c r="G17" s="739">
        <v>3683734</v>
      </c>
      <c r="H17" s="739">
        <v>3382000</v>
      </c>
      <c r="I17" s="811">
        <f t="shared" si="1"/>
        <v>53587762.82</v>
      </c>
    </row>
    <row r="18" spans="2:9" ht="15.6">
      <c r="B18" s="697" t="s">
        <v>681</v>
      </c>
      <c r="C18" s="738">
        <v>0</v>
      </c>
      <c r="D18" s="739">
        <v>0</v>
      </c>
      <c r="E18" s="739">
        <v>3000000</v>
      </c>
      <c r="F18" s="739">
        <v>5700000</v>
      </c>
      <c r="G18" s="739">
        <v>5000000</v>
      </c>
      <c r="H18" s="739">
        <v>6000000</v>
      </c>
      <c r="I18" s="811">
        <f t="shared" si="1"/>
        <v>19700000</v>
      </c>
    </row>
    <row r="19" spans="2:9" ht="15.6">
      <c r="B19" s="697" t="s">
        <v>682</v>
      </c>
      <c r="C19" s="738">
        <v>0</v>
      </c>
      <c r="D19" s="739">
        <v>447108.54</v>
      </c>
      <c r="E19" s="739">
        <v>392700.8</v>
      </c>
      <c r="F19" s="739">
        <v>300000</v>
      </c>
      <c r="G19" s="739">
        <v>300000</v>
      </c>
      <c r="H19" s="739">
        <v>300000</v>
      </c>
      <c r="I19" s="811">
        <f t="shared" si="1"/>
        <v>1739809.3399999999</v>
      </c>
    </row>
    <row r="20" spans="2:9" ht="15.6">
      <c r="B20" s="697" t="s">
        <v>449</v>
      </c>
      <c r="C20" s="743">
        <v>17180043.309999999</v>
      </c>
      <c r="D20" s="742">
        <v>6043708.5291780829</v>
      </c>
      <c r="E20" s="742">
        <v>912241.3591780822</v>
      </c>
      <c r="F20" s="742">
        <v>624812.21917808219</v>
      </c>
      <c r="G20" s="742">
        <v>536548.21917808219</v>
      </c>
      <c r="H20" s="742">
        <v>515308.21917808219</v>
      </c>
      <c r="I20" s="811">
        <f t="shared" si="1"/>
        <v>25812661.855890404</v>
      </c>
    </row>
    <row r="21" spans="2:9" ht="15.6">
      <c r="B21" s="744" t="s">
        <v>810</v>
      </c>
      <c r="C21" s="746">
        <v>1066524.1599999999</v>
      </c>
      <c r="D21" s="745">
        <v>250000</v>
      </c>
      <c r="E21" s="745">
        <v>250000</v>
      </c>
      <c r="F21" s="745">
        <v>250000</v>
      </c>
      <c r="G21" s="745">
        <v>250000</v>
      </c>
      <c r="H21" s="745">
        <v>250000</v>
      </c>
      <c r="I21" s="810">
        <f t="shared" si="1"/>
        <v>2316524.16</v>
      </c>
    </row>
    <row r="22" spans="2:9" ht="15.6">
      <c r="B22" s="703" t="s">
        <v>767</v>
      </c>
      <c r="C22" s="749">
        <v>13835468.57</v>
      </c>
      <c r="D22" s="750">
        <v>2722612.5300000003</v>
      </c>
      <c r="E22" s="750">
        <v>2471081.42</v>
      </c>
      <c r="F22" s="750">
        <v>2360000</v>
      </c>
      <c r="G22" s="750">
        <v>2360000</v>
      </c>
      <c r="H22" s="750">
        <v>2360000</v>
      </c>
      <c r="I22" s="813">
        <f t="shared" si="1"/>
        <v>26109162.520000003</v>
      </c>
    </row>
    <row r="23" spans="2:9" ht="15.6">
      <c r="B23" s="703" t="s">
        <v>768</v>
      </c>
      <c r="C23" s="748">
        <v>7241175.9699999997</v>
      </c>
      <c r="D23" s="751">
        <v>1770000</v>
      </c>
      <c r="E23" s="751">
        <v>1770000</v>
      </c>
      <c r="F23" s="751">
        <v>1770000</v>
      </c>
      <c r="G23" s="751">
        <v>1770000</v>
      </c>
      <c r="H23" s="751">
        <v>1770000</v>
      </c>
      <c r="I23" s="813">
        <f t="shared" si="1"/>
        <v>16091175.969999999</v>
      </c>
    </row>
    <row r="24" spans="2:9" ht="15.6">
      <c r="B24" s="703" t="s">
        <v>1451</v>
      </c>
      <c r="C24" s="749">
        <v>6289997.9699999997</v>
      </c>
      <c r="D24" s="750">
        <v>941716.5</v>
      </c>
      <c r="E24" s="750">
        <v>950000</v>
      </c>
      <c r="F24" s="750">
        <v>950000</v>
      </c>
      <c r="G24" s="750">
        <v>950000</v>
      </c>
      <c r="H24" s="750">
        <v>950000</v>
      </c>
      <c r="I24" s="813">
        <f t="shared" si="1"/>
        <v>11031714.469999999</v>
      </c>
    </row>
    <row r="25" spans="2:9" ht="15.6">
      <c r="B25" s="752" t="s">
        <v>962</v>
      </c>
      <c r="C25" s="748">
        <v>1534000</v>
      </c>
      <c r="D25" s="751">
        <v>1067000</v>
      </c>
      <c r="E25" s="751">
        <v>767000</v>
      </c>
      <c r="F25" s="751">
        <v>767000</v>
      </c>
      <c r="G25" s="751">
        <v>767000</v>
      </c>
      <c r="H25" s="751">
        <v>767000</v>
      </c>
      <c r="I25" s="813">
        <f t="shared" si="1"/>
        <v>5669000</v>
      </c>
    </row>
    <row r="26" spans="2:9" ht="15.6">
      <c r="B26" s="752" t="s">
        <v>770</v>
      </c>
      <c r="C26" s="743">
        <v>5403691.8800000008</v>
      </c>
      <c r="D26" s="742">
        <v>9664516.7639999986</v>
      </c>
      <c r="E26" s="751">
        <v>11802000.000000002</v>
      </c>
      <c r="F26" s="751">
        <v>11802000.000000002</v>
      </c>
      <c r="G26" s="751">
        <v>11802000.000000002</v>
      </c>
      <c r="H26" s="751">
        <v>11802000.000000002</v>
      </c>
      <c r="I26" s="813">
        <f t="shared" si="1"/>
        <v>62276208.644000001</v>
      </c>
    </row>
    <row r="27" spans="2:9" ht="16.2" thickBot="1">
      <c r="B27" s="756" t="s">
        <v>1294</v>
      </c>
      <c r="C27" s="758">
        <v>0</v>
      </c>
      <c r="D27" s="757">
        <v>1169797.55</v>
      </c>
      <c r="E27" s="757">
        <v>1109908.3333333333</v>
      </c>
      <c r="F27" s="757">
        <v>1633450</v>
      </c>
      <c r="G27" s="757">
        <v>1495833.3333333333</v>
      </c>
      <c r="H27" s="757">
        <v>1495833.3333333333</v>
      </c>
      <c r="I27" s="816">
        <f t="shared" si="1"/>
        <v>6904822.5499999998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6D09-1CE0-4C1E-9655-9B53AA6734BA}">
  <sheetPr>
    <pageSetUpPr autoPageBreaks="0" fitToPage="1"/>
  </sheetPr>
  <dimension ref="B1:O61"/>
  <sheetViews>
    <sheetView showGridLines="0" topLeftCell="A14" zoomScale="80" zoomScaleNormal="80" zoomScalePageLayoutView="125" workbookViewId="0">
      <selection activeCell="D18" sqref="D18"/>
    </sheetView>
  </sheetViews>
  <sheetFormatPr baseColWidth="10" defaultColWidth="2.6640625" defaultRowHeight="13.2"/>
  <cols>
    <col min="1" max="1" width="1.33203125" style="851" customWidth="1"/>
    <col min="2" max="2" width="11.33203125" style="851" customWidth="1"/>
    <col min="3" max="3" width="27" style="851" customWidth="1"/>
    <col min="4" max="4" width="20.6640625" style="851" customWidth="1"/>
    <col min="5" max="5" width="23" style="851" customWidth="1"/>
    <col min="6" max="6" width="17.88671875" style="851" bestFit="1" customWidth="1"/>
    <col min="7" max="8" width="14.88671875" style="851" bestFit="1" customWidth="1"/>
    <col min="9" max="9" width="12.6640625" style="851" bestFit="1" customWidth="1"/>
    <col min="10" max="10" width="2.5546875" style="851" customWidth="1"/>
    <col min="11" max="11" width="4" style="851" customWidth="1"/>
    <col min="12" max="12" width="4.6640625" style="851" bestFit="1" customWidth="1"/>
    <col min="13" max="13" width="17.88671875" style="851" bestFit="1" customWidth="1"/>
    <col min="14" max="14" width="12.6640625" style="851" bestFit="1" customWidth="1"/>
    <col min="15" max="15" width="13.6640625" style="851" bestFit="1" customWidth="1"/>
    <col min="16" max="16" width="13" style="851" bestFit="1" customWidth="1"/>
    <col min="17" max="17" width="12.33203125" style="851" customWidth="1"/>
    <col min="18" max="18" width="9.6640625" style="851" bestFit="1" customWidth="1"/>
    <col min="19" max="19" width="10.33203125" style="851" bestFit="1" customWidth="1"/>
    <col min="20" max="20" width="7" style="851" bestFit="1" customWidth="1"/>
    <col min="21" max="21" width="10.33203125" style="851" bestFit="1" customWidth="1"/>
    <col min="22" max="22" width="13" style="851" bestFit="1" customWidth="1"/>
    <col min="23" max="23" width="13.33203125" style="851" bestFit="1" customWidth="1"/>
    <col min="24" max="24" width="6.33203125" style="851" customWidth="1"/>
    <col min="25" max="16384" width="2.6640625" style="851"/>
  </cols>
  <sheetData>
    <row r="1" spans="2:9" ht="22.2">
      <c r="B1" s="848" t="s">
        <v>1398</v>
      </c>
      <c r="C1" s="849"/>
      <c r="D1" s="849"/>
      <c r="E1" s="849"/>
      <c r="F1" s="849"/>
      <c r="G1" s="849"/>
      <c r="H1" s="849"/>
      <c r="I1" s="850"/>
    </row>
    <row r="3" spans="2:9" ht="15">
      <c r="B3" s="2139" t="s">
        <v>1399</v>
      </c>
      <c r="C3" s="2140"/>
      <c r="D3" s="2140"/>
      <c r="E3" s="2140"/>
      <c r="F3" s="2140"/>
      <c r="G3" s="2140"/>
      <c r="H3" s="2141"/>
    </row>
    <row r="4" spans="2:9" ht="13.8" thickBot="1">
      <c r="C4" s="853" t="s">
        <v>1400</v>
      </c>
      <c r="H4" s="854"/>
    </row>
    <row r="5" spans="2:9" ht="14.4" thickBot="1">
      <c r="C5" s="855" t="s">
        <v>1401</v>
      </c>
      <c r="D5" s="856">
        <v>85.63</v>
      </c>
      <c r="E5" s="857"/>
      <c r="F5" s="858" t="s">
        <v>1402</v>
      </c>
      <c r="G5" s="859"/>
    </row>
    <row r="6" spans="2:9" ht="14.4" thickBot="1">
      <c r="B6" s="863"/>
      <c r="C6" s="864" t="s">
        <v>1403</v>
      </c>
      <c r="D6" s="856"/>
      <c r="E6" s="857"/>
      <c r="F6" s="865" t="s">
        <v>1404</v>
      </c>
      <c r="G6" s="866" t="s">
        <v>1405</v>
      </c>
    </row>
    <row r="7" spans="2:9" ht="14.4" thickBot="1">
      <c r="C7" s="864" t="s">
        <v>1406</v>
      </c>
      <c r="D7" s="870">
        <v>462</v>
      </c>
      <c r="E7" s="871"/>
      <c r="F7" s="865" t="s">
        <v>1407</v>
      </c>
      <c r="G7" s="872"/>
    </row>
    <row r="8" spans="2:9" ht="14.4" thickBot="1">
      <c r="C8" s="864"/>
      <c r="E8" s="874"/>
      <c r="F8" s="858" t="s">
        <v>1408</v>
      </c>
      <c r="G8" s="875" t="s">
        <v>1409</v>
      </c>
    </row>
    <row r="9" spans="2:9" ht="14.4" thickBot="1">
      <c r="B9" s="876" t="s">
        <v>1410</v>
      </c>
      <c r="C9" s="853" t="s">
        <v>271</v>
      </c>
      <c r="D9" s="877" t="s">
        <v>1411</v>
      </c>
      <c r="E9" s="874"/>
      <c r="F9" s="858" t="s">
        <v>1412</v>
      </c>
      <c r="G9" s="878">
        <v>61</v>
      </c>
    </row>
    <row r="10" spans="2:9" ht="14.4" thickBot="1">
      <c r="B10" s="880">
        <f>D10/D10</f>
        <v>1</v>
      </c>
      <c r="C10" s="864" t="s">
        <v>1413</v>
      </c>
      <c r="D10" s="856">
        <v>64535.58</v>
      </c>
      <c r="E10" s="874"/>
      <c r="F10" s="881"/>
      <c r="G10" s="881"/>
      <c r="I10" s="858"/>
    </row>
    <row r="11" spans="2:9" ht="14.4" thickBot="1">
      <c r="B11" s="880">
        <f>D11/D10</f>
        <v>0.61301161312875774</v>
      </c>
      <c r="C11" s="864" t="s">
        <v>1414</v>
      </c>
      <c r="D11" s="1089">
        <v>39561.06</v>
      </c>
      <c r="E11" s="874"/>
      <c r="F11" s="882"/>
      <c r="G11" s="882"/>
    </row>
    <row r="12" spans="2:9" ht="14.4" thickBot="1">
      <c r="B12" s="884">
        <f>D12/D10</f>
        <v>9.4988162053979799E-6</v>
      </c>
      <c r="C12" s="864" t="s">
        <v>1415</v>
      </c>
      <c r="D12" s="885">
        <f>+D11/D10</f>
        <v>0.61301161312875774</v>
      </c>
      <c r="E12" s="874"/>
      <c r="F12" s="886"/>
      <c r="G12" s="887"/>
      <c r="H12" s="867"/>
    </row>
    <row r="13" spans="2:9" ht="13.8">
      <c r="D13" s="874"/>
      <c r="E13" s="874"/>
      <c r="F13" s="888"/>
      <c r="G13" s="882"/>
      <c r="H13" s="867"/>
      <c r="I13" s="889"/>
    </row>
    <row r="14" spans="2:9" ht="13.8">
      <c r="D14" s="874"/>
      <c r="E14" s="874"/>
      <c r="F14" s="888"/>
      <c r="G14" s="891"/>
      <c r="H14" s="867"/>
    </row>
    <row r="15" spans="2:9">
      <c r="D15" s="874"/>
      <c r="E15" s="874"/>
      <c r="F15" s="1125"/>
      <c r="G15" s="882"/>
    </row>
    <row r="16" spans="2:9" ht="19.5" customHeight="1">
      <c r="B16" s="894" t="s">
        <v>22</v>
      </c>
      <c r="C16" s="895"/>
      <c r="D16" s="895"/>
      <c r="E16" s="895"/>
      <c r="F16" s="896"/>
      <c r="G16" s="892"/>
      <c r="H16" s="892"/>
      <c r="I16" s="892"/>
    </row>
    <row r="17" spans="2:15" ht="19.5" customHeight="1">
      <c r="B17" s="901" t="s">
        <v>1421</v>
      </c>
      <c r="C17" s="902" t="s">
        <v>29</v>
      </c>
      <c r="D17" s="903" t="s">
        <v>1422</v>
      </c>
      <c r="E17" s="904" t="s">
        <v>31</v>
      </c>
      <c r="F17" s="904" t="s">
        <v>1423</v>
      </c>
      <c r="G17" s="905" t="s">
        <v>1424</v>
      </c>
      <c r="H17" s="905" t="s">
        <v>1425</v>
      </c>
      <c r="I17" s="905" t="s">
        <v>1426</v>
      </c>
      <c r="J17" s="1118"/>
      <c r="K17" s="1118"/>
      <c r="L17" s="1118"/>
      <c r="M17" s="1119"/>
      <c r="N17" s="1118"/>
      <c r="O17" s="1118" t="s">
        <v>1619</v>
      </c>
    </row>
    <row r="18" spans="2:15" ht="20.100000000000001" customHeight="1">
      <c r="B18" s="911">
        <f>+D18/D10</f>
        <v>1656.9619425439423</v>
      </c>
      <c r="C18" s="912" t="s">
        <v>1428</v>
      </c>
      <c r="D18" s="913">
        <f>+E18*G9</f>
        <v>106933000</v>
      </c>
      <c r="E18" s="914">
        <v>1753000</v>
      </c>
      <c r="F18" s="1092">
        <f>+D18/D7</f>
        <v>231456.70995670996</v>
      </c>
      <c r="G18" s="916">
        <f t="shared" ref="G18:G24" si="0">+D18/$D$25</f>
        <v>4.666193225786712E-2</v>
      </c>
      <c r="H18" s="917">
        <f t="shared" ref="H18:H36" si="1">+D18/$D$37</f>
        <v>3.1809503206714801E-2</v>
      </c>
      <c r="I18" s="918">
        <f>+D18/D50</f>
        <v>2.6065440880204814E-2</v>
      </c>
      <c r="J18" s="975"/>
      <c r="K18" s="975"/>
      <c r="L18" s="975"/>
      <c r="M18" s="1120"/>
      <c r="N18" s="1118"/>
      <c r="O18" s="1118"/>
    </row>
    <row r="19" spans="2:15" ht="20.100000000000001" customHeight="1">
      <c r="B19" s="924">
        <v>7279.51</v>
      </c>
      <c r="C19" s="851" t="s">
        <v>35</v>
      </c>
      <c r="D19" s="925">
        <f>+B19*D10</f>
        <v>469787399.96580005</v>
      </c>
      <c r="E19" s="867">
        <f>+D19/$G$9</f>
        <v>7701432.7863245914</v>
      </c>
      <c r="F19" s="926">
        <f>+D19/D7</f>
        <v>1016855.8440818182</v>
      </c>
      <c r="G19" s="927">
        <f t="shared" si="0"/>
        <v>0.20499927835938098</v>
      </c>
      <c r="H19" s="928">
        <f t="shared" si="1"/>
        <v>0.13974828916879098</v>
      </c>
      <c r="I19" s="929">
        <f>+D19/$D$50</f>
        <v>0.11451297260970601</v>
      </c>
      <c r="J19" s="975"/>
      <c r="K19" s="975"/>
      <c r="L19" s="975"/>
      <c r="M19" s="1118"/>
      <c r="N19" s="1118"/>
      <c r="O19" s="1118" t="s">
        <v>1620</v>
      </c>
    </row>
    <row r="20" spans="2:15" ht="20.100000000000001" customHeight="1">
      <c r="B20" s="924">
        <v>38361.334999999999</v>
      </c>
      <c r="C20" s="851" t="s">
        <v>38</v>
      </c>
      <c r="D20" s="925">
        <f>+B20*D11</f>
        <v>1517615075.6150999</v>
      </c>
      <c r="E20" s="867">
        <f t="shared" ref="E20:E37" si="2">+D20/$G$9</f>
        <v>24878935.66582131</v>
      </c>
      <c r="F20" s="926">
        <f>+D20/D7</f>
        <v>3284881.1160499998</v>
      </c>
      <c r="G20" s="927">
        <f t="shared" si="0"/>
        <v>0.66223571630712386</v>
      </c>
      <c r="H20" s="928">
        <f t="shared" si="1"/>
        <v>0.45144699591648274</v>
      </c>
      <c r="I20" s="929">
        <f>+D20/D50</f>
        <v>0.36992608486017359</v>
      </c>
      <c r="J20" s="975"/>
      <c r="K20" s="975"/>
      <c r="L20" s="975"/>
      <c r="M20" s="1118"/>
      <c r="N20" s="1118"/>
      <c r="O20" s="1118"/>
    </row>
    <row r="21" spans="2:15" ht="20.100000000000001" customHeight="1">
      <c r="B21" s="935">
        <v>0.1</v>
      </c>
      <c r="C21" s="851" t="s">
        <v>148</v>
      </c>
      <c r="D21" s="936">
        <f>+(D19+D20)*B21</f>
        <v>198740247.55809</v>
      </c>
      <c r="E21" s="937">
        <f t="shared" si="2"/>
        <v>3258036.84521459</v>
      </c>
      <c r="F21" s="926">
        <f>+D21/D7</f>
        <v>430173.69601318182</v>
      </c>
      <c r="G21" s="927">
        <f t="shared" si="0"/>
        <v>8.6723499466650492E-2</v>
      </c>
      <c r="H21" s="928">
        <f t="shared" si="1"/>
        <v>5.9119528508527371E-2</v>
      </c>
      <c r="I21" s="929">
        <f>+D21/D50</f>
        <v>4.844390574698796E-2</v>
      </c>
      <c r="J21" s="975"/>
      <c r="K21" s="975"/>
      <c r="L21" s="975"/>
      <c r="M21" s="1118"/>
      <c r="N21" s="1118"/>
      <c r="O21" s="1118" t="s">
        <v>1621</v>
      </c>
    </row>
    <row r="22" spans="2:15" ht="20.100000000000001" customHeight="1">
      <c r="B22" s="935">
        <v>8.9899999999999997E-3</v>
      </c>
      <c r="C22" s="851" t="s">
        <v>1607</v>
      </c>
      <c r="D22" s="936">
        <f>+(D19+D20)*B22</f>
        <v>17866748.255472291</v>
      </c>
      <c r="E22" s="937">
        <f t="shared" si="2"/>
        <v>292897.51238479168</v>
      </c>
      <c r="F22" s="926">
        <f>+D22/D7</f>
        <v>38672.615271585048</v>
      </c>
      <c r="G22" s="927">
        <f t="shared" si="0"/>
        <v>7.7964426020518786E-3</v>
      </c>
      <c r="H22" s="928">
        <f t="shared" si="1"/>
        <v>5.314845612916611E-3</v>
      </c>
      <c r="I22" s="929">
        <f>+D22/D50</f>
        <v>4.3551071266542179E-3</v>
      </c>
      <c r="J22" s="975"/>
      <c r="K22" s="975"/>
      <c r="L22" s="975"/>
      <c r="M22" s="1118"/>
      <c r="N22" s="1118"/>
      <c r="O22" s="1118"/>
    </row>
    <row r="23" spans="2:15" ht="20.100000000000001" customHeight="1">
      <c r="B23" s="935">
        <v>2.41E-2</v>
      </c>
      <c r="C23" s="851" t="s">
        <v>1429</v>
      </c>
      <c r="D23" s="936">
        <f>+B23*(D19+D20)</f>
        <v>47896399.661499687</v>
      </c>
      <c r="E23" s="937">
        <f t="shared" si="2"/>
        <v>785186.87969671621</v>
      </c>
      <c r="F23" s="926">
        <f>+D23/D7</f>
        <v>103671.86073917682</v>
      </c>
      <c r="G23" s="927">
        <f t="shared" si="0"/>
        <v>2.0900363371462765E-2</v>
      </c>
      <c r="H23" s="928">
        <f t="shared" si="1"/>
        <v>1.4247806370555095E-2</v>
      </c>
      <c r="I23" s="929">
        <f>+D23/D50</f>
        <v>1.1674981285024099E-2</v>
      </c>
      <c r="J23" s="975"/>
      <c r="K23" s="975"/>
      <c r="L23" s="975"/>
      <c r="M23" s="1118"/>
      <c r="N23" s="1118"/>
      <c r="O23" s="1118" t="s">
        <v>1622</v>
      </c>
    </row>
    <row r="24" spans="2:15" ht="20.100000000000001" customHeight="1">
      <c r="B24" s="935">
        <v>0.02</v>
      </c>
      <c r="C24" s="851" t="s">
        <v>764</v>
      </c>
      <c r="D24" s="936">
        <f>+B24*(D19+D20)</f>
        <v>39748049.511618003</v>
      </c>
      <c r="E24" s="937">
        <f>+D24/$G$9</f>
        <v>651607.36904291809</v>
      </c>
      <c r="F24" s="926">
        <f>+D24/D7</f>
        <v>86034.739202636367</v>
      </c>
      <c r="G24" s="927">
        <f t="shared" si="0"/>
        <v>1.7344699893330099E-2</v>
      </c>
      <c r="H24" s="928">
        <f t="shared" si="1"/>
        <v>1.1823905701705476E-2</v>
      </c>
      <c r="I24" s="929">
        <f>+D24/D50</f>
        <v>9.6887811493975937E-3</v>
      </c>
      <c r="N24" s="1091"/>
      <c r="O24" s="893"/>
    </row>
    <row r="25" spans="2:15" ht="20.100000000000001" customHeight="1">
      <c r="B25" s="943"/>
      <c r="C25" s="944" t="s">
        <v>41</v>
      </c>
      <c r="D25" s="945">
        <f>+D19+D20+D21+D22+D23+D24</f>
        <v>2291653920.5675797</v>
      </c>
      <c r="E25" s="946">
        <f t="shared" si="2"/>
        <v>37568097.058484912</v>
      </c>
      <c r="F25" s="947">
        <f>+F19+F20+F21+F23+F24</f>
        <v>4921617.2560868133</v>
      </c>
      <c r="G25" s="948"/>
      <c r="H25" s="949">
        <f t="shared" si="1"/>
        <v>0.68170137127897823</v>
      </c>
      <c r="I25" s="950">
        <f>+D25/D50</f>
        <v>0.5586018327779434</v>
      </c>
      <c r="J25" s="892"/>
      <c r="K25" s="892"/>
      <c r="L25" s="892"/>
      <c r="M25" s="1091"/>
      <c r="O25" s="1091"/>
    </row>
    <row r="26" spans="2:15" ht="20.100000000000001" customHeight="1">
      <c r="B26" s="952">
        <v>0.08</v>
      </c>
      <c r="C26" s="953" t="s">
        <v>42</v>
      </c>
      <c r="D26" s="925">
        <f>+B26*(D19+D20)</f>
        <v>158992198.04647201</v>
      </c>
      <c r="E26" s="867">
        <f t="shared" si="2"/>
        <v>2606429.4761716723</v>
      </c>
      <c r="F26" s="954">
        <f>+D26/D7</f>
        <v>344138.95681054547</v>
      </c>
      <c r="G26" s="955">
        <f>+D26/$D$31</f>
        <v>0.24143060914602524</v>
      </c>
      <c r="H26" s="928">
        <f t="shared" si="1"/>
        <v>4.7295622806821903E-2</v>
      </c>
      <c r="I26" s="956">
        <f>+D26/D50</f>
        <v>3.8755124597590375E-2</v>
      </c>
      <c r="J26" s="892"/>
      <c r="K26" s="892"/>
      <c r="L26" s="892"/>
      <c r="M26" s="1090"/>
    </row>
    <row r="27" spans="2:15" ht="20.100000000000001" customHeight="1">
      <c r="B27" s="935">
        <v>0.16600000000000001</v>
      </c>
      <c r="C27" s="851" t="s">
        <v>43</v>
      </c>
      <c r="D27" s="936">
        <f>+B27*(D20+D19)</f>
        <v>329908810.94642943</v>
      </c>
      <c r="E27" s="937">
        <f t="shared" si="2"/>
        <v>5408341.1630562199</v>
      </c>
      <c r="F27" s="926">
        <f>+D27/$D$7</f>
        <v>714088.33538188192</v>
      </c>
      <c r="G27" s="927">
        <f>+D27/$D$31</f>
        <v>0.50096851397800235</v>
      </c>
      <c r="H27" s="928">
        <f t="shared" si="1"/>
        <v>9.8138417324155444E-2</v>
      </c>
      <c r="I27" s="929">
        <f>+D27/D50</f>
        <v>8.0416883540000025E-2</v>
      </c>
      <c r="J27" s="958"/>
      <c r="K27" s="892"/>
      <c r="L27" s="892"/>
      <c r="M27" s="892"/>
    </row>
    <row r="28" spans="2:15" ht="20.100000000000001" customHeight="1">
      <c r="B28" s="935">
        <v>3.5000000000000003E-2</v>
      </c>
      <c r="C28" s="851" t="s">
        <v>672</v>
      </c>
      <c r="D28" s="936">
        <f>+D25*B28</f>
        <v>80207887.219865292</v>
      </c>
      <c r="E28" s="937">
        <f t="shared" si="2"/>
        <v>1314883.3970469721</v>
      </c>
      <c r="F28" s="926">
        <f>+D28/$D$7</f>
        <v>173610.14549754391</v>
      </c>
      <c r="G28" s="927">
        <f>+D28/$D$31</f>
        <v>0.12179615923133322</v>
      </c>
      <c r="H28" s="928">
        <f t="shared" si="1"/>
        <v>2.3859547994764238E-2</v>
      </c>
      <c r="I28" s="929">
        <f>+D28/D50</f>
        <v>1.9551064147228021E-2</v>
      </c>
      <c r="J28" s="958"/>
      <c r="K28" s="892"/>
      <c r="L28" s="892"/>
      <c r="M28" s="1093"/>
    </row>
    <row r="29" spans="2:15" ht="20.100000000000001" customHeight="1">
      <c r="B29" s="935">
        <v>3.5000000000000003E-2</v>
      </c>
      <c r="C29" s="851" t="s">
        <v>45</v>
      </c>
      <c r="D29" s="936">
        <f>+(D19+D20)*B29</f>
        <v>69559086.645331502</v>
      </c>
      <c r="E29" s="937">
        <f t="shared" si="2"/>
        <v>1140312.8958251067</v>
      </c>
      <c r="F29" s="926">
        <f>+D29/$D$7</f>
        <v>150560.79360461363</v>
      </c>
      <c r="G29" s="927">
        <f>+D29/$D$31</f>
        <v>0.10562589150138604</v>
      </c>
      <c r="H29" s="928">
        <f t="shared" si="1"/>
        <v>2.0691834977984581E-2</v>
      </c>
      <c r="I29" s="929">
        <f>+D29/D50</f>
        <v>1.6955367011445788E-2</v>
      </c>
      <c r="J29" s="892"/>
      <c r="K29" s="958"/>
      <c r="L29" s="892"/>
      <c r="M29" s="892"/>
    </row>
    <row r="30" spans="2:15" ht="20.100000000000001" customHeight="1">
      <c r="B30" s="935">
        <v>0.01</v>
      </c>
      <c r="C30" s="851" t="s">
        <v>46</v>
      </c>
      <c r="D30" s="925">
        <f>+B30*(D19+D20)</f>
        <v>19874024.755809002</v>
      </c>
      <c r="E30" s="867">
        <f t="shared" si="2"/>
        <v>325803.68452145904</v>
      </c>
      <c r="F30" s="926">
        <f>+D30/$D$7</f>
        <v>43017.369601318183</v>
      </c>
      <c r="G30" s="927">
        <f>+D30/$D$31</f>
        <v>3.0178826143253155E-2</v>
      </c>
      <c r="H30" s="928">
        <f t="shared" si="1"/>
        <v>5.9119528508527379E-3</v>
      </c>
      <c r="I30" s="929">
        <f>+D30/D50</f>
        <v>4.8443905746987969E-3</v>
      </c>
      <c r="J30" s="892"/>
      <c r="K30" s="892"/>
      <c r="L30" s="892"/>
      <c r="M30" s="960"/>
    </row>
    <row r="31" spans="2:15" ht="20.100000000000001" customHeight="1">
      <c r="B31" s="943"/>
      <c r="C31" s="944" t="s">
        <v>47</v>
      </c>
      <c r="D31" s="945">
        <f>+D26+D27+D28+D29+D30</f>
        <v>658542007.61390722</v>
      </c>
      <c r="E31" s="945">
        <f>+E26+E27+E28+E29+E30</f>
        <v>10795770.616621431</v>
      </c>
      <c r="F31" s="947">
        <f>+F26+F27+F28+F29+F30</f>
        <v>1425415.6008959031</v>
      </c>
      <c r="G31" s="961"/>
      <c r="H31" s="949">
        <f t="shared" si="1"/>
        <v>0.1958973759545789</v>
      </c>
      <c r="I31" s="950">
        <f>+D31/D50</f>
        <v>0.160522829870963</v>
      </c>
      <c r="J31" s="892"/>
      <c r="K31" s="892"/>
      <c r="L31" s="892"/>
      <c r="M31"/>
    </row>
    <row r="32" spans="2:15" ht="20.100000000000001" customHeight="1">
      <c r="B32" s="952"/>
      <c r="C32" s="953" t="s">
        <v>48</v>
      </c>
      <c r="D32" s="925">
        <v>30500000</v>
      </c>
      <c r="E32" s="867">
        <f>+D32/$G$9</f>
        <v>500000</v>
      </c>
      <c r="F32" s="926">
        <f>+D32/$D$7</f>
        <v>66017.316017316014</v>
      </c>
      <c r="G32" s="955">
        <f>+D32/$D$36</f>
        <v>0.10015123926887812</v>
      </c>
      <c r="H32" s="928">
        <f t="shared" si="1"/>
        <v>9.0728759859426134E-3</v>
      </c>
      <c r="I32" s="956">
        <f>+D32/D50</f>
        <v>7.4345239247589311E-3</v>
      </c>
      <c r="J32" s="892"/>
      <c r="K32" s="892"/>
      <c r="L32" s="892"/>
      <c r="M32" s="960"/>
    </row>
    <row r="33" spans="2:9" ht="20.100000000000001" customHeight="1">
      <c r="B33" s="924"/>
      <c r="C33" s="851" t="s">
        <v>49</v>
      </c>
      <c r="D33" s="925">
        <v>25000000</v>
      </c>
      <c r="E33" s="867">
        <f t="shared" si="2"/>
        <v>409836.06557377049</v>
      </c>
      <c r="F33" s="926">
        <f>+D33/$D$7</f>
        <v>54112.554112554113</v>
      </c>
      <c r="G33" s="927">
        <f>+D33/$D$36</f>
        <v>8.209117972858862E-2</v>
      </c>
      <c r="H33" s="928">
        <f t="shared" si="1"/>
        <v>7.4367835950349291E-3</v>
      </c>
      <c r="I33" s="929">
        <f>+D33/D50</f>
        <v>6.0938720694745339E-3</v>
      </c>
    </row>
    <row r="34" spans="2:9" ht="20.100000000000001" customHeight="1">
      <c r="B34" s="935">
        <v>0.1</v>
      </c>
      <c r="C34" s="851" t="s">
        <v>50</v>
      </c>
      <c r="D34" s="925">
        <f>+B34*D25</f>
        <v>229165392.05675799</v>
      </c>
      <c r="E34" s="867">
        <f t="shared" si="2"/>
        <v>3756809.7058484918</v>
      </c>
      <c r="F34" s="926">
        <f>+D34/$D$7</f>
        <v>496028.98713583982</v>
      </c>
      <c r="G34" s="927">
        <f>+D34/$D$36</f>
        <v>0.75249829547615177</v>
      </c>
      <c r="H34" s="928">
        <f t="shared" si="1"/>
        <v>6.8170137127897823E-2</v>
      </c>
      <c r="I34" s="928">
        <f>+D34/D50</f>
        <v>5.5860183277794344E-2</v>
      </c>
    </row>
    <row r="35" spans="2:9" ht="20.100000000000001" customHeight="1">
      <c r="B35" s="935">
        <v>0.01</v>
      </c>
      <c r="C35" s="851" t="s">
        <v>51</v>
      </c>
      <c r="D35" s="925">
        <f>+B35*(D19+D20)</f>
        <v>19874024.755809002</v>
      </c>
      <c r="E35" s="867">
        <f t="shared" si="2"/>
        <v>325803.68452145904</v>
      </c>
      <c r="F35" s="926">
        <f>+D35/$D$7</f>
        <v>43017.369601318183</v>
      </c>
      <c r="G35" s="927">
        <f>+D35/$D$36</f>
        <v>6.5259285526381453E-2</v>
      </c>
      <c r="H35" s="928">
        <f t="shared" si="1"/>
        <v>5.9119528508527379E-3</v>
      </c>
      <c r="I35" s="928">
        <f>+D35/D50</f>
        <v>4.8443905746987969E-3</v>
      </c>
    </row>
    <row r="36" spans="2:9" ht="20.100000000000001" customHeight="1">
      <c r="B36" s="962"/>
      <c r="C36" s="944" t="s">
        <v>52</v>
      </c>
      <c r="D36" s="945">
        <f>+D32+D33+D34+D35</f>
        <v>304539416.812567</v>
      </c>
      <c r="E36" s="946">
        <f t="shared" si="2"/>
        <v>4992449.4559437213</v>
      </c>
      <c r="F36" s="963">
        <f>+F32+F33+F34+F35</f>
        <v>659176.22686702805</v>
      </c>
      <c r="G36" s="927">
        <f>+D36/$D$36</f>
        <v>1</v>
      </c>
      <c r="H36" s="949">
        <f t="shared" si="1"/>
        <v>9.059174955972811E-2</v>
      </c>
      <c r="I36" s="964">
        <f>+D36/D50</f>
        <v>7.4232969846726615E-2</v>
      </c>
    </row>
    <row r="37" spans="2:9" ht="20.100000000000001" customHeight="1">
      <c r="B37" s="965"/>
      <c r="C37" s="966" t="s">
        <v>53</v>
      </c>
      <c r="D37" s="967">
        <f>+D18+D25+D31+D36</f>
        <v>3361668344.9940538</v>
      </c>
      <c r="E37" s="968">
        <f t="shared" si="2"/>
        <v>55109317.131050065</v>
      </c>
      <c r="F37" s="969">
        <f>+F18+F25+F31+F36</f>
        <v>7237665.7938064542</v>
      </c>
      <c r="G37" s="970"/>
      <c r="H37" s="971"/>
      <c r="I37" s="918">
        <f>+D37/D50</f>
        <v>0.81942307337583786</v>
      </c>
    </row>
    <row r="38" spans="2:9" ht="13.8">
      <c r="C38" s="1121">
        <v>-4303023.9335705638</v>
      </c>
      <c r="D38" s="925">
        <f>+D37-D34</f>
        <v>3132502952.9372959</v>
      </c>
      <c r="E38" s="883"/>
    </row>
    <row r="39" spans="2:9" ht="19.5" customHeight="1">
      <c r="D39" s="972">
        <v>-7648095.4337053299</v>
      </c>
      <c r="E39" s="883"/>
    </row>
    <row r="40" spans="2:9" ht="19.5" customHeight="1">
      <c r="B40" s="973"/>
      <c r="C40" s="894" t="s">
        <v>1430</v>
      </c>
      <c r="D40" s="895"/>
      <c r="E40" s="974"/>
      <c r="F40" s="896"/>
    </row>
    <row r="41" spans="2:9" ht="19.5" customHeight="1">
      <c r="B41" s="975"/>
      <c r="C41" s="976" t="s">
        <v>1431</v>
      </c>
      <c r="D41" s="903" t="s">
        <v>1422</v>
      </c>
      <c r="E41" s="977" t="str">
        <f>+E17</f>
        <v>US $</v>
      </c>
      <c r="F41" s="978" t="s">
        <v>1432</v>
      </c>
      <c r="H41" s="936"/>
    </row>
    <row r="42" spans="2:9" ht="19.5" customHeight="1">
      <c r="B42" s="980"/>
      <c r="C42" s="981" t="s">
        <v>33</v>
      </c>
      <c r="D42" s="982">
        <f>+D18</f>
        <v>106933000</v>
      </c>
      <c r="E42" s="983">
        <f t="shared" ref="E42:E47" si="3">+D42/$G$9</f>
        <v>1753000</v>
      </c>
      <c r="F42" s="984">
        <f>+D42/$D$11</f>
        <v>2702.9862192772389</v>
      </c>
    </row>
    <row r="43" spans="2:9" ht="13.8">
      <c r="B43" s="980">
        <v>6</v>
      </c>
      <c r="C43" s="985" t="s">
        <v>1433</v>
      </c>
      <c r="D43" s="986">
        <f>+D25</f>
        <v>2291653920.5675797</v>
      </c>
      <c r="E43" s="987">
        <f t="shared" si="3"/>
        <v>37568097.058484912</v>
      </c>
      <c r="F43" s="988">
        <f>+D43/$D$11</f>
        <v>57927.010059072731</v>
      </c>
    </row>
    <row r="44" spans="2:9" ht="13.8">
      <c r="B44" s="989"/>
      <c r="C44" s="985" t="s">
        <v>1434</v>
      </c>
      <c r="D44" s="986">
        <f>+D31</f>
        <v>658542007.61390722</v>
      </c>
      <c r="E44" s="987">
        <f t="shared" si="3"/>
        <v>10795770.616621429</v>
      </c>
      <c r="F44" s="988">
        <f>+D44/$D$11</f>
        <v>16646.217457618863</v>
      </c>
    </row>
    <row r="45" spans="2:9" ht="13.8">
      <c r="B45" s="990"/>
      <c r="C45" s="991" t="s">
        <v>1435</v>
      </c>
      <c r="D45" s="992">
        <f>+D36</f>
        <v>304539416.812567</v>
      </c>
      <c r="E45" s="993">
        <f t="shared" si="3"/>
        <v>4992449.4559437213</v>
      </c>
      <c r="F45" s="994">
        <f>+D45/$D$11</f>
        <v>7697.9589731055494</v>
      </c>
    </row>
    <row r="46" spans="2:9" ht="20.399999999999999">
      <c r="B46" s="980">
        <v>16</v>
      </c>
      <c r="C46" s="976" t="s">
        <v>1436</v>
      </c>
      <c r="D46" s="995">
        <f>+D42+D43+D44+D45</f>
        <v>3361668344.9940538</v>
      </c>
      <c r="E46" s="996">
        <f t="shared" si="3"/>
        <v>55109317.131050065</v>
      </c>
      <c r="F46" s="995">
        <f>+F42+F43+F44+F45</f>
        <v>84974.172709074381</v>
      </c>
    </row>
    <row r="47" spans="2:9" ht="13.8">
      <c r="B47" s="997"/>
      <c r="C47" s="985" t="s">
        <v>1437</v>
      </c>
      <c r="D47" s="986">
        <f>+D46/D7</f>
        <v>7276338.4090780383</v>
      </c>
      <c r="E47" s="984">
        <f t="shared" si="3"/>
        <v>119284.23621439407</v>
      </c>
      <c r="F47" s="998"/>
    </row>
    <row r="48" spans="2:9" ht="13.8">
      <c r="B48" s="997"/>
      <c r="C48" s="991" t="s">
        <v>1438</v>
      </c>
      <c r="D48" s="992">
        <f>+D47/D5</f>
        <v>84974.172709074381</v>
      </c>
      <c r="E48" s="994">
        <f>+E47/D5</f>
        <v>1393.0192247389241</v>
      </c>
    </row>
    <row r="50" spans="2:7" ht="17.399999999999999">
      <c r="B50" s="997"/>
      <c r="C50" s="999" t="s">
        <v>1439</v>
      </c>
      <c r="D50" s="995">
        <f>+F50*D11</f>
        <v>4102481921.9999995</v>
      </c>
      <c r="E50" s="996">
        <f>+D50/G9</f>
        <v>67253801.999999985</v>
      </c>
      <c r="F50" s="1000">
        <f>+F51*G9</f>
        <v>103700</v>
      </c>
    </row>
    <row r="51" spans="2:7" ht="13.8">
      <c r="C51" s="1001" t="s">
        <v>1440</v>
      </c>
      <c r="D51" s="1002">
        <f>+D50/D7</f>
        <v>8879830.9999999981</v>
      </c>
      <c r="E51" s="1003">
        <f>+D51/$G$9</f>
        <v>145570.99999999997</v>
      </c>
      <c r="F51" s="883">
        <v>1700</v>
      </c>
    </row>
    <row r="52" spans="2:7" ht="19.5" customHeight="1">
      <c r="C52" s="854"/>
      <c r="D52" s="854"/>
      <c r="E52" s="1004"/>
      <c r="F52" s="854"/>
    </row>
    <row r="53" spans="2:7" ht="19.5" customHeight="1">
      <c r="C53" s="1005" t="s">
        <v>1441</v>
      </c>
      <c r="D53" s="1123" t="s">
        <v>1422</v>
      </c>
      <c r="E53" s="1007" t="str">
        <f>+E41</f>
        <v>US $</v>
      </c>
      <c r="F53" s="1008"/>
    </row>
    <row r="54" spans="2:7" ht="13.8">
      <c r="C54" s="981" t="s">
        <v>1442</v>
      </c>
      <c r="D54" s="1009">
        <f>+D50-D46</f>
        <v>740813577.00594568</v>
      </c>
      <c r="E54" s="987">
        <f>+D54/$G$9</f>
        <v>12144484.868949929</v>
      </c>
      <c r="F54" s="984">
        <f>+E54/D7</f>
        <v>26286.763785605908</v>
      </c>
      <c r="G54" s="874" t="s">
        <v>1443</v>
      </c>
    </row>
    <row r="55" spans="2:7" ht="13.8">
      <c r="B55" s="1010">
        <f>+(E50-E46)/E50</f>
        <v>0.18057692662416205</v>
      </c>
      <c r="C55" s="991" t="s">
        <v>1444</v>
      </c>
      <c r="D55" s="1011">
        <f>+D54/D18</f>
        <v>6.9278293604962515</v>
      </c>
      <c r="E55" s="1012"/>
      <c r="F55" s="1013">
        <f>+E54/D11</f>
        <v>306.98077526107568</v>
      </c>
      <c r="G55" s="874" t="s">
        <v>1432</v>
      </c>
    </row>
    <row r="56" spans="2:7">
      <c r="D56" s="1014"/>
      <c r="E56" s="1014"/>
      <c r="F56" s="979"/>
      <c r="G56" s="979"/>
    </row>
    <row r="57" spans="2:7" ht="14.4">
      <c r="B57"/>
      <c r="C57"/>
      <c r="D57" s="851" t="s">
        <v>1623</v>
      </c>
    </row>
    <row r="58" spans="2:7" ht="14.4">
      <c r="B58"/>
      <c r="C58"/>
      <c r="D58" s="1124">
        <v>-75166014.000000477</v>
      </c>
      <c r="E58" s="1015" t="s">
        <v>1624</v>
      </c>
      <c r="F58" s="108"/>
      <c r="G58"/>
    </row>
    <row r="59" spans="2:7" ht="14.4">
      <c r="B59"/>
      <c r="C59"/>
      <c r="D59" s="1121">
        <f>+D39</f>
        <v>-7648095.4337053299</v>
      </c>
      <c r="E59" s="12" t="s">
        <v>1625</v>
      </c>
      <c r="F59"/>
      <c r="G59"/>
    </row>
    <row r="60" spans="2:7" ht="14.4">
      <c r="B60"/>
      <c r="C60"/>
      <c r="D60" s="1122">
        <v>0</v>
      </c>
      <c r="E60" s="851" t="s">
        <v>1626</v>
      </c>
      <c r="G60" s="1016"/>
    </row>
    <row r="61" spans="2:7" ht="14.4">
      <c r="B61"/>
      <c r="C61"/>
      <c r="D61" s="1124">
        <v>-67517918.566295147</v>
      </c>
      <c r="E61" t="s">
        <v>1627</v>
      </c>
      <c r="F61"/>
      <c r="G61"/>
    </row>
  </sheetData>
  <mergeCells count="1">
    <mergeCell ref="B3:H3"/>
  </mergeCells>
  <dataValidations count="7">
    <dataValidation allowBlank="1" showInputMessage="1" showErrorMessage="1" promptTitle="COSTO" prompt="M2 DE VIVIENDA" sqref="B20" xr:uid="{A3E3F69E-F468-47DA-A9E2-E59F116F9B45}"/>
    <dataValidation allowBlank="1" showInputMessage="1" showErrorMessage="1" promptTitle="REGISTRO DE DATOS:" prompt="INDIQUE ÁREA DE CONSTRUCCIÓN" sqref="D5:E5" xr:uid="{71362564-AC26-4521-87DF-AE03F551AEFA}"/>
    <dataValidation allowBlank="1" showInputMessage="1" showErrorMessage="1" promptTitle="REGISTRO DE DATOS:" prompt="INDIQUE PARCELA BÁSICA" sqref="D6:E6" xr:uid="{BC8F9D91-B51E-4820-BC2C-C8D9AF1B2393}"/>
    <dataValidation allowBlank="1" showInputMessage="1" showErrorMessage="1" promptTitle="REGISTRO DE DATOS:" prompt="INDIQUE CANTIDAD DE VIVIENDAS" sqref="D7:E7" xr:uid="{52948FAA-F1BD-4EC7-85D3-D9D252CE57FD}"/>
    <dataValidation allowBlank="1" showInputMessage="1" showErrorMessage="1" promptTitle="REGISTRO DE DATOS:" prompt="INDIQUE M2 PARCELAS ADICIONALES" sqref="D12" xr:uid="{22DEF40D-8CDB-4BA3-ACD3-398CB8CE07F7}"/>
    <dataValidation allowBlank="1" showInputMessage="1" showErrorMessage="1" promptTitle="REGISTRO DE DATOS:" prompt="Indique unidad en M2 del Parcelamiento" sqref="B33 B18" xr:uid="{BEB54E89-D2FA-41AB-A5B9-907504910D3A}"/>
    <dataValidation allowBlank="1" showInputMessage="1" showErrorMessage="1" promptTitle="COSTO" prompt="M2 DE URBANISMO" sqref="B19" xr:uid="{B1EF1C25-9D29-4544-BE37-FFE628E33004}"/>
  </dataValidations>
  <pageMargins left="0.5" right="0.69" top="0.92" bottom="1" header="0" footer="0"/>
  <pageSetup scale="38" orientation="landscape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D412B-3F1C-49B2-9757-22F43DE1D30B}">
  <dimension ref="A1:E86"/>
  <sheetViews>
    <sheetView showGridLines="0" topLeftCell="A12" zoomScaleNormal="100" workbookViewId="0">
      <selection activeCell="E31" sqref="E31"/>
    </sheetView>
  </sheetViews>
  <sheetFormatPr baseColWidth="10" defaultColWidth="8" defaultRowHeight="11.4"/>
  <cols>
    <col min="1" max="1" width="78.6640625" style="408" customWidth="1"/>
    <col min="2" max="2" width="12.6640625" style="408" customWidth="1"/>
    <col min="3" max="3" width="11.44140625" style="408" customWidth="1"/>
    <col min="4" max="4" width="17.6640625" style="408" customWidth="1"/>
    <col min="5" max="5" width="11.44140625" style="408" customWidth="1"/>
    <col min="6" max="16384" width="8" style="408"/>
  </cols>
  <sheetData>
    <row r="1" spans="1:5" s="405" customFormat="1" ht="16.649999999999999" customHeight="1">
      <c r="A1" s="404" t="s">
        <v>771</v>
      </c>
      <c r="B1" s="404"/>
      <c r="C1" s="404"/>
      <c r="D1" s="404"/>
      <c r="E1" s="404"/>
    </row>
    <row r="2" spans="1:5" s="407" customFormat="1" ht="14.4" customHeight="1">
      <c r="A2" s="406" t="s">
        <v>236</v>
      </c>
      <c r="B2" s="406"/>
      <c r="C2" s="406"/>
      <c r="D2" s="406"/>
      <c r="E2" s="406"/>
    </row>
    <row r="3" spans="1:5" s="407" customFormat="1" ht="14.4" customHeight="1">
      <c r="A3" s="406" t="s">
        <v>1628</v>
      </c>
      <c r="B3" s="406"/>
      <c r="C3" s="406"/>
      <c r="D3" s="406"/>
      <c r="E3" s="406"/>
    </row>
    <row r="4" spans="1:5" s="407" customFormat="1" ht="14.4" customHeight="1">
      <c r="A4" s="406" t="s">
        <v>724</v>
      </c>
      <c r="B4" s="406"/>
      <c r="C4" s="406"/>
      <c r="D4" s="406"/>
      <c r="E4" s="406"/>
    </row>
    <row r="5" spans="1:5" ht="13.35" customHeight="1"/>
    <row r="6" spans="1:5" s="412" customFormat="1" ht="12.15" customHeight="1">
      <c r="A6" s="410" t="s">
        <v>690</v>
      </c>
      <c r="B6" s="410" t="s">
        <v>689</v>
      </c>
      <c r="C6" s="410" t="s">
        <v>823</v>
      </c>
      <c r="D6" s="410" t="s">
        <v>773</v>
      </c>
      <c r="E6" s="411" t="s">
        <v>164</v>
      </c>
    </row>
    <row r="7" spans="1:5" ht="10.95" customHeight="1">
      <c r="A7" s="421" t="s">
        <v>715</v>
      </c>
      <c r="B7" s="429">
        <v>45900</v>
      </c>
      <c r="C7" s="429">
        <v>45900</v>
      </c>
      <c r="D7" s="421" t="s">
        <v>1467</v>
      </c>
      <c r="E7" s="422">
        <v>3303807.2</v>
      </c>
    </row>
    <row r="8" spans="1:5" ht="10.95" customHeight="1">
      <c r="A8" s="416" t="s">
        <v>164</v>
      </c>
      <c r="B8" s="416"/>
      <c r="C8" s="416"/>
      <c r="D8" s="416"/>
      <c r="E8" s="417">
        <f>E7</f>
        <v>3303807.2</v>
      </c>
    </row>
    <row r="9" spans="1:5" ht="13.35" customHeight="1"/>
    <row r="10" spans="1:5" s="412" customFormat="1" ht="12.15" customHeight="1">
      <c r="A10" s="409" t="s">
        <v>867</v>
      </c>
      <c r="B10" s="409"/>
      <c r="C10" s="409"/>
      <c r="D10" s="409"/>
      <c r="E10" s="409"/>
    </row>
    <row r="11" spans="1:5" ht="10.95" customHeight="1">
      <c r="A11" s="421" t="s">
        <v>301</v>
      </c>
      <c r="B11" s="429">
        <v>45888</v>
      </c>
      <c r="C11" s="429">
        <v>45891</v>
      </c>
      <c r="D11" s="421" t="s">
        <v>1629</v>
      </c>
      <c r="E11" s="422">
        <v>1427678.42</v>
      </c>
    </row>
    <row r="12" spans="1:5" ht="10.95" customHeight="1">
      <c r="A12" s="414" t="s">
        <v>735</v>
      </c>
      <c r="B12" s="430">
        <v>45889</v>
      </c>
      <c r="C12" s="430">
        <v>45889</v>
      </c>
      <c r="D12" s="414" t="s">
        <v>1630</v>
      </c>
      <c r="E12" s="415">
        <v>62050</v>
      </c>
    </row>
    <row r="13" spans="1:5" ht="10.95" customHeight="1">
      <c r="A13" s="414" t="s">
        <v>1631</v>
      </c>
      <c r="B13" s="430">
        <v>45894</v>
      </c>
      <c r="C13" s="430">
        <v>45894</v>
      </c>
      <c r="D13" s="414" t="s">
        <v>1632</v>
      </c>
      <c r="E13" s="415">
        <v>67708.399999999994</v>
      </c>
    </row>
    <row r="14" spans="1:5" ht="10.95" customHeight="1">
      <c r="A14" s="416" t="s">
        <v>890</v>
      </c>
      <c r="B14" s="416"/>
      <c r="C14" s="416"/>
      <c r="D14" s="416"/>
      <c r="E14" s="417">
        <f>SUM(E11:E13)</f>
        <v>1557436.8199999998</v>
      </c>
    </row>
    <row r="15" spans="1:5" ht="13.35" customHeight="1"/>
    <row r="16" spans="1:5" s="412" customFormat="1" ht="12.15" customHeight="1">
      <c r="A16" s="409" t="s">
        <v>1027</v>
      </c>
      <c r="B16" s="409"/>
      <c r="C16" s="409"/>
      <c r="D16" s="409"/>
      <c r="E16" s="409"/>
    </row>
    <row r="17" spans="1:5" ht="10.95" customHeight="1">
      <c r="A17" s="421" t="s">
        <v>317</v>
      </c>
      <c r="B17" s="429">
        <v>45825</v>
      </c>
      <c r="C17" s="429">
        <v>45869</v>
      </c>
      <c r="D17" s="421" t="s">
        <v>1468</v>
      </c>
      <c r="E17" s="422">
        <v>405023.2</v>
      </c>
    </row>
    <row r="18" spans="1:5" ht="10.95" customHeight="1">
      <c r="A18" s="414" t="s">
        <v>317</v>
      </c>
      <c r="B18" s="430">
        <v>45845</v>
      </c>
      <c r="C18" s="430">
        <v>45856</v>
      </c>
      <c r="D18" s="414" t="s">
        <v>1469</v>
      </c>
      <c r="E18" s="415">
        <v>487071.07</v>
      </c>
    </row>
    <row r="19" spans="1:5" ht="10.95" customHeight="1">
      <c r="A19" s="414" t="s">
        <v>317</v>
      </c>
      <c r="B19" s="430">
        <v>45873</v>
      </c>
      <c r="C19" s="430">
        <v>45903</v>
      </c>
      <c r="D19" s="414" t="s">
        <v>1633</v>
      </c>
      <c r="E19" s="415">
        <v>469430.56</v>
      </c>
    </row>
    <row r="20" spans="1:5" ht="10.95" customHeight="1">
      <c r="A20" s="414" t="s">
        <v>1111</v>
      </c>
      <c r="B20" s="430">
        <v>45881</v>
      </c>
      <c r="C20" s="430">
        <v>45881</v>
      </c>
      <c r="D20" s="414" t="s">
        <v>1634</v>
      </c>
      <c r="E20" s="415">
        <v>275627.24</v>
      </c>
    </row>
    <row r="21" spans="1:5" ht="10.95" customHeight="1">
      <c r="A21" s="421" t="s">
        <v>715</v>
      </c>
      <c r="B21" s="429">
        <v>45866</v>
      </c>
      <c r="C21" s="429">
        <v>45877</v>
      </c>
      <c r="D21" s="421" t="s">
        <v>1470</v>
      </c>
      <c r="E21" s="422">
        <f>312386.33-304755.19</f>
        <v>7631.140000000014</v>
      </c>
    </row>
    <row r="22" spans="1:5" ht="10.95" customHeight="1">
      <c r="A22" s="421" t="s">
        <v>715</v>
      </c>
      <c r="B22" s="429">
        <v>45832</v>
      </c>
      <c r="C22" s="429">
        <v>45838</v>
      </c>
      <c r="D22" s="421" t="s">
        <v>1305</v>
      </c>
      <c r="E22" s="422">
        <v>401816.36</v>
      </c>
    </row>
    <row r="23" spans="1:5" ht="10.95" customHeight="1">
      <c r="A23" s="416" t="s">
        <v>1034</v>
      </c>
      <c r="B23" s="416"/>
      <c r="C23" s="416"/>
      <c r="D23" s="416"/>
      <c r="E23" s="417">
        <f>SUM(E17:E22)</f>
        <v>2046599.5699999998</v>
      </c>
    </row>
    <row r="24" spans="1:5" ht="13.35" customHeight="1"/>
    <row r="25" spans="1:5" s="412" customFormat="1" ht="12.15" customHeight="1">
      <c r="A25" s="409" t="s">
        <v>878</v>
      </c>
      <c r="B25" s="409"/>
      <c r="C25" s="409"/>
      <c r="D25" s="409"/>
      <c r="E25" s="409"/>
    </row>
    <row r="26" spans="1:5" ht="10.95" customHeight="1">
      <c r="A26" s="421" t="s">
        <v>715</v>
      </c>
      <c r="B26" s="429">
        <v>45876</v>
      </c>
      <c r="C26" s="429">
        <v>45876</v>
      </c>
      <c r="D26" s="421" t="s">
        <v>1635</v>
      </c>
      <c r="E26" s="422">
        <v>2360000</v>
      </c>
    </row>
    <row r="27" spans="1:5" ht="10.95" customHeight="1">
      <c r="A27" s="421"/>
      <c r="B27" s="429"/>
      <c r="C27" s="429"/>
      <c r="D27" s="1142" t="s">
        <v>1636</v>
      </c>
      <c r="E27" s="422">
        <v>2360000</v>
      </c>
    </row>
    <row r="28" spans="1:5" ht="10.95" customHeight="1">
      <c r="A28" s="421" t="s">
        <v>715</v>
      </c>
      <c r="B28" s="429">
        <v>45866</v>
      </c>
      <c r="C28" s="429">
        <v>45877</v>
      </c>
      <c r="D28" s="421" t="s">
        <v>1470</v>
      </c>
      <c r="E28" s="422">
        <v>304755.19</v>
      </c>
    </row>
    <row r="29" spans="1:5" ht="10.95" customHeight="1">
      <c r="A29" s="421" t="s">
        <v>715</v>
      </c>
      <c r="B29" s="429">
        <v>45832</v>
      </c>
      <c r="C29" s="429">
        <v>45838</v>
      </c>
      <c r="D29" s="421" t="s">
        <v>1305</v>
      </c>
      <c r="E29" s="422">
        <v>57857.34</v>
      </c>
    </row>
    <row r="30" spans="1:5" ht="10.95" customHeight="1">
      <c r="A30" s="416" t="s">
        <v>1038</v>
      </c>
      <c r="B30" s="416"/>
      <c r="C30" s="416"/>
      <c r="D30" s="416"/>
      <c r="E30" s="417">
        <f>SUM(E26:E29)</f>
        <v>5082612.53</v>
      </c>
    </row>
    <row r="31" spans="1:5" ht="13.35" customHeight="1"/>
    <row r="32" spans="1:5" s="412" customFormat="1" ht="12.15" customHeight="1">
      <c r="A32" s="409" t="s">
        <v>1306</v>
      </c>
      <c r="B32" s="409"/>
      <c r="C32" s="409"/>
      <c r="D32" s="409"/>
      <c r="E32" s="409"/>
    </row>
    <row r="33" spans="1:5" ht="10.95" customHeight="1">
      <c r="A33" s="421" t="s">
        <v>1045</v>
      </c>
      <c r="B33" s="429">
        <v>45838</v>
      </c>
      <c r="C33" s="429">
        <v>45838</v>
      </c>
      <c r="D33" s="421" t="s">
        <v>1307</v>
      </c>
      <c r="E33" s="422">
        <v>92323.199999999997</v>
      </c>
    </row>
    <row r="34" spans="1:5" ht="10.95" customHeight="1">
      <c r="A34" s="414" t="s">
        <v>1045</v>
      </c>
      <c r="B34" s="430">
        <v>45869</v>
      </c>
      <c r="C34" s="430">
        <v>45900</v>
      </c>
      <c r="D34" s="414" t="s">
        <v>1472</v>
      </c>
      <c r="E34" s="415">
        <v>92700.800000000003</v>
      </c>
    </row>
    <row r="35" spans="1:5" ht="10.95" customHeight="1">
      <c r="A35" s="414" t="s">
        <v>1045</v>
      </c>
      <c r="B35" s="430">
        <v>45900</v>
      </c>
      <c r="C35" s="430">
        <v>45900</v>
      </c>
      <c r="D35" s="414" t="s">
        <v>1637</v>
      </c>
      <c r="E35" s="415">
        <v>96854.399999999994</v>
      </c>
    </row>
    <row r="36" spans="1:5" ht="10.95" customHeight="1">
      <c r="A36" s="421" t="s">
        <v>715</v>
      </c>
      <c r="B36" s="429">
        <v>45832</v>
      </c>
      <c r="C36" s="429">
        <v>45838</v>
      </c>
      <c r="D36" s="421" t="s">
        <v>1309</v>
      </c>
      <c r="E36" s="422">
        <v>54785.34</v>
      </c>
    </row>
    <row r="37" spans="1:5" ht="10.95" customHeight="1">
      <c r="A37" s="416" t="s">
        <v>1311</v>
      </c>
      <c r="B37" s="416"/>
      <c r="C37" s="416"/>
      <c r="D37" s="416"/>
      <c r="E37" s="417">
        <f>SUM(E33:E36)</f>
        <v>336663.74</v>
      </c>
    </row>
    <row r="38" spans="1:5" ht="13.35" customHeight="1"/>
    <row r="39" spans="1:5" s="412" customFormat="1" ht="12.15" customHeight="1">
      <c r="A39" s="409" t="s">
        <v>1638</v>
      </c>
      <c r="B39" s="409"/>
      <c r="C39" s="409"/>
      <c r="D39" s="409"/>
      <c r="E39" s="409"/>
    </row>
    <row r="40" spans="1:5" ht="10.95" customHeight="1">
      <c r="A40" s="421" t="s">
        <v>295</v>
      </c>
      <c r="B40" s="429">
        <v>45875</v>
      </c>
      <c r="C40" s="429">
        <v>45875</v>
      </c>
      <c r="D40" s="421" t="s">
        <v>1639</v>
      </c>
      <c r="E40" s="422">
        <v>1770000</v>
      </c>
    </row>
    <row r="41" spans="1:5" ht="10.95" customHeight="1">
      <c r="A41" s="416" t="s">
        <v>1640</v>
      </c>
      <c r="B41" s="416"/>
      <c r="C41" s="416"/>
      <c r="D41" s="416"/>
      <c r="E41" s="417">
        <f>E40</f>
        <v>1770000</v>
      </c>
    </row>
    <row r="42" spans="1:5" ht="13.35" customHeight="1"/>
    <row r="43" spans="1:5" s="412" customFormat="1" ht="12.15" customHeight="1">
      <c r="A43" s="409" t="s">
        <v>1312</v>
      </c>
      <c r="B43" s="409"/>
      <c r="C43" s="409"/>
      <c r="D43" s="409"/>
      <c r="E43" s="409"/>
    </row>
    <row r="44" spans="1:5" ht="10.95" customHeight="1">
      <c r="A44" s="421" t="s">
        <v>389</v>
      </c>
      <c r="B44" s="429">
        <v>45814</v>
      </c>
      <c r="C44" s="429">
        <v>45814</v>
      </c>
      <c r="D44" s="421" t="s">
        <v>1313</v>
      </c>
      <c r="E44" s="422">
        <v>300000</v>
      </c>
    </row>
    <row r="45" spans="1:5" ht="10.95" customHeight="1">
      <c r="A45" s="414" t="s">
        <v>1043</v>
      </c>
      <c r="B45" s="430">
        <v>45824</v>
      </c>
      <c r="C45" s="430">
        <v>45824</v>
      </c>
      <c r="D45" s="414" t="s">
        <v>1324</v>
      </c>
      <c r="E45" s="415">
        <v>12867.27</v>
      </c>
    </row>
    <row r="46" spans="1:5" ht="10.95" customHeight="1">
      <c r="A46" s="414" t="s">
        <v>1043</v>
      </c>
      <c r="B46" s="430">
        <v>45832</v>
      </c>
      <c r="C46" s="430">
        <v>45862</v>
      </c>
      <c r="D46" s="414" t="s">
        <v>1326</v>
      </c>
      <c r="E46" s="415">
        <v>14528.58</v>
      </c>
    </row>
    <row r="47" spans="1:5" ht="10.95" customHeight="1">
      <c r="A47" s="414" t="s">
        <v>914</v>
      </c>
      <c r="B47" s="430">
        <v>45863</v>
      </c>
      <c r="C47" s="430">
        <v>45877</v>
      </c>
      <c r="D47" s="414" t="s">
        <v>1474</v>
      </c>
      <c r="E47" s="415">
        <v>586949.81000000006</v>
      </c>
    </row>
    <row r="48" spans="1:5" ht="10.95" customHeight="1">
      <c r="A48" s="414" t="s">
        <v>1569</v>
      </c>
      <c r="B48" s="430">
        <v>45873</v>
      </c>
      <c r="C48" s="430">
        <v>45888</v>
      </c>
      <c r="D48" s="414" t="s">
        <v>1641</v>
      </c>
      <c r="E48" s="415">
        <v>6059720.1399999997</v>
      </c>
    </row>
    <row r="49" spans="1:5" ht="10.95" customHeight="1">
      <c r="A49" s="414" t="s">
        <v>389</v>
      </c>
      <c r="B49" s="430">
        <v>45874</v>
      </c>
      <c r="C49" s="430">
        <v>45874</v>
      </c>
      <c r="D49" s="414" t="s">
        <v>1642</v>
      </c>
      <c r="E49" s="415">
        <v>767000</v>
      </c>
    </row>
    <row r="50" spans="1:5" ht="10.95" customHeight="1">
      <c r="A50" s="414" t="s">
        <v>778</v>
      </c>
      <c r="B50" s="430">
        <v>45874</v>
      </c>
      <c r="C50" s="430">
        <v>45874</v>
      </c>
      <c r="D50" s="414" t="s">
        <v>1643</v>
      </c>
      <c r="E50" s="415">
        <v>941719.5</v>
      </c>
    </row>
    <row r="51" spans="1:5" ht="10.95" customHeight="1">
      <c r="A51" s="414" t="s">
        <v>914</v>
      </c>
      <c r="B51" s="430">
        <v>45877</v>
      </c>
      <c r="C51" s="430">
        <v>45891</v>
      </c>
      <c r="D51" s="414" t="s">
        <v>1644</v>
      </c>
      <c r="E51" s="415">
        <v>3806961.31</v>
      </c>
    </row>
    <row r="52" spans="1:5" ht="10.95" customHeight="1">
      <c r="A52" s="414" t="s">
        <v>389</v>
      </c>
      <c r="B52" s="430">
        <v>45880</v>
      </c>
      <c r="C52" s="430">
        <v>45895</v>
      </c>
      <c r="D52" s="414" t="s">
        <v>1645</v>
      </c>
      <c r="E52" s="415">
        <v>1006538.05</v>
      </c>
    </row>
    <row r="53" spans="1:5" ht="10.95" customHeight="1">
      <c r="A53" s="414" t="s">
        <v>1043</v>
      </c>
      <c r="B53" s="430">
        <v>45881</v>
      </c>
      <c r="C53" s="430">
        <v>45900</v>
      </c>
      <c r="D53" s="414" t="s">
        <v>1646</v>
      </c>
      <c r="E53" s="415">
        <v>15056.19</v>
      </c>
    </row>
    <row r="54" spans="1:5" ht="10.95" customHeight="1">
      <c r="A54" s="414" t="s">
        <v>1569</v>
      </c>
      <c r="B54" s="430">
        <v>45884</v>
      </c>
      <c r="C54" s="430">
        <v>45899</v>
      </c>
      <c r="D54" s="414" t="s">
        <v>1647</v>
      </c>
      <c r="E54" s="415">
        <v>1503157.03</v>
      </c>
    </row>
    <row r="55" spans="1:5" ht="10.95" customHeight="1">
      <c r="A55" s="414" t="s">
        <v>914</v>
      </c>
      <c r="B55" s="430">
        <v>45894</v>
      </c>
      <c r="C55" s="430">
        <v>45910</v>
      </c>
      <c r="D55" s="414" t="s">
        <v>1648</v>
      </c>
      <c r="E55" s="415">
        <v>2015503.6</v>
      </c>
    </row>
    <row r="56" spans="1:5" ht="10.95" customHeight="1">
      <c r="A56" s="414" t="s">
        <v>1043</v>
      </c>
      <c r="B56" s="430">
        <v>45897</v>
      </c>
      <c r="C56" s="430">
        <v>45897</v>
      </c>
      <c r="D56" s="414" t="s">
        <v>1649</v>
      </c>
      <c r="E56" s="415">
        <v>14804.6</v>
      </c>
    </row>
    <row r="57" spans="1:5" ht="10.95" customHeight="1">
      <c r="A57" s="414" t="s">
        <v>1045</v>
      </c>
      <c r="B57" s="430">
        <v>45900</v>
      </c>
      <c r="C57" s="430">
        <v>45900</v>
      </c>
      <c r="D57" s="414" t="s">
        <v>1650</v>
      </c>
      <c r="E57" s="415">
        <v>36249.599999999999</v>
      </c>
    </row>
    <row r="58" spans="1:5" ht="10.95" customHeight="1">
      <c r="A58" s="421" t="s">
        <v>715</v>
      </c>
      <c r="B58" s="429">
        <v>45832</v>
      </c>
      <c r="C58" s="429">
        <v>45838</v>
      </c>
      <c r="D58" s="421" t="s">
        <v>1309</v>
      </c>
      <c r="E58" s="422">
        <v>258175.66</v>
      </c>
    </row>
    <row r="59" spans="1:5" ht="10.95" customHeight="1">
      <c r="A59" s="416" t="s">
        <v>1315</v>
      </c>
      <c r="B59" s="416"/>
      <c r="C59" s="416"/>
      <c r="D59" s="416"/>
      <c r="E59" s="417">
        <f>SUM(E44:E58)</f>
        <v>17339231.340000004</v>
      </c>
    </row>
    <row r="60" spans="1:5" ht="13.35" customHeight="1"/>
    <row r="61" spans="1:5" s="412" customFormat="1" ht="12.15" customHeight="1">
      <c r="A61" s="409" t="s">
        <v>864</v>
      </c>
      <c r="B61" s="409"/>
      <c r="C61" s="409"/>
      <c r="D61" s="409"/>
      <c r="E61" s="409"/>
    </row>
    <row r="62" spans="1:5" ht="10.95" customHeight="1">
      <c r="A62" s="421" t="s">
        <v>856</v>
      </c>
      <c r="B62" s="429">
        <v>45727</v>
      </c>
      <c r="C62" s="429">
        <v>45731</v>
      </c>
      <c r="D62" s="421" t="s">
        <v>1318</v>
      </c>
      <c r="E62" s="422">
        <v>826</v>
      </c>
    </row>
    <row r="63" spans="1:5" ht="10.95" customHeight="1">
      <c r="A63" s="414" t="s">
        <v>1207</v>
      </c>
      <c r="B63" s="430">
        <v>45805</v>
      </c>
      <c r="C63" s="430">
        <v>45835</v>
      </c>
      <c r="D63" s="414" t="s">
        <v>1209</v>
      </c>
      <c r="E63" s="415">
        <v>44132</v>
      </c>
    </row>
    <row r="64" spans="1:5" ht="10.95" customHeight="1">
      <c r="A64" s="414" t="s">
        <v>935</v>
      </c>
      <c r="B64" s="430">
        <v>45821</v>
      </c>
      <c r="C64" s="430">
        <v>45838</v>
      </c>
      <c r="D64" s="414" t="s">
        <v>1322</v>
      </c>
      <c r="E64" s="415">
        <v>337480</v>
      </c>
    </row>
    <row r="65" spans="1:5" ht="10.95" customHeight="1">
      <c r="A65" s="414" t="s">
        <v>746</v>
      </c>
      <c r="B65" s="430">
        <v>45824</v>
      </c>
      <c r="C65" s="430">
        <v>45832</v>
      </c>
      <c r="D65" s="414" t="s">
        <v>1325</v>
      </c>
      <c r="E65" s="415">
        <v>972</v>
      </c>
    </row>
    <row r="66" spans="1:5" ht="10.95" customHeight="1">
      <c r="A66" s="414" t="s">
        <v>1207</v>
      </c>
      <c r="B66" s="430">
        <v>45834</v>
      </c>
      <c r="C66" s="430">
        <v>45864</v>
      </c>
      <c r="D66" s="414" t="s">
        <v>1327</v>
      </c>
      <c r="E66" s="415">
        <v>44132</v>
      </c>
    </row>
    <row r="67" spans="1:5" ht="10.95" customHeight="1">
      <c r="A67" s="414" t="s">
        <v>1254</v>
      </c>
      <c r="B67" s="430">
        <v>45841</v>
      </c>
      <c r="C67" s="430">
        <v>45849</v>
      </c>
      <c r="D67" s="414" t="s">
        <v>1477</v>
      </c>
      <c r="E67" s="415">
        <v>143586.5</v>
      </c>
    </row>
    <row r="68" spans="1:5" ht="10.95" customHeight="1">
      <c r="A68" s="414" t="s">
        <v>1367</v>
      </c>
      <c r="B68" s="430">
        <v>45856</v>
      </c>
      <c r="C68" s="430">
        <v>45856</v>
      </c>
      <c r="D68" s="414" t="s">
        <v>1479</v>
      </c>
      <c r="E68" s="415">
        <v>427632</v>
      </c>
    </row>
    <row r="69" spans="1:5" ht="10.95" customHeight="1">
      <c r="A69" s="414" t="s">
        <v>1367</v>
      </c>
      <c r="B69" s="430">
        <v>45856</v>
      </c>
      <c r="C69" s="430">
        <v>45856</v>
      </c>
      <c r="D69" s="414" t="s">
        <v>1480</v>
      </c>
      <c r="E69" s="415">
        <v>707362.8</v>
      </c>
    </row>
    <row r="70" spans="1:5" ht="10.95" customHeight="1">
      <c r="A70" s="414" t="s">
        <v>1367</v>
      </c>
      <c r="B70" s="430">
        <v>45859</v>
      </c>
      <c r="C70" s="430">
        <v>45859</v>
      </c>
      <c r="D70" s="414" t="s">
        <v>1481</v>
      </c>
      <c r="E70" s="415">
        <v>118000</v>
      </c>
    </row>
    <row r="71" spans="1:5" ht="10.95" customHeight="1">
      <c r="A71" s="414" t="s">
        <v>1207</v>
      </c>
      <c r="B71" s="430">
        <v>45869</v>
      </c>
      <c r="C71" s="430">
        <v>45898</v>
      </c>
      <c r="D71" s="414" t="s">
        <v>1482</v>
      </c>
      <c r="E71" s="415">
        <v>44132</v>
      </c>
    </row>
    <row r="72" spans="1:5" ht="10.95" customHeight="1">
      <c r="A72" s="414" t="s">
        <v>746</v>
      </c>
      <c r="B72" s="430">
        <v>45870</v>
      </c>
      <c r="C72" s="430">
        <v>45896</v>
      </c>
      <c r="D72" s="414" t="s">
        <v>1651</v>
      </c>
      <c r="E72" s="415">
        <v>21240</v>
      </c>
    </row>
    <row r="73" spans="1:5" ht="10.95" customHeight="1">
      <c r="A73" s="414" t="s">
        <v>1591</v>
      </c>
      <c r="B73" s="430">
        <v>45870</v>
      </c>
      <c r="C73" s="430">
        <v>45883</v>
      </c>
      <c r="D73" s="414" t="s">
        <v>1652</v>
      </c>
      <c r="E73" s="415">
        <v>29358.400000000001</v>
      </c>
    </row>
    <row r="74" spans="1:5" ht="10.95" customHeight="1">
      <c r="A74" s="414" t="s">
        <v>389</v>
      </c>
      <c r="B74" s="430">
        <v>45874</v>
      </c>
      <c r="C74" s="430">
        <v>45874</v>
      </c>
      <c r="D74" s="414" t="s">
        <v>1653</v>
      </c>
      <c r="E74" s="415">
        <v>144698.68</v>
      </c>
    </row>
    <row r="75" spans="1:5" ht="10.95" customHeight="1">
      <c r="A75" s="414" t="s">
        <v>1367</v>
      </c>
      <c r="B75" s="430">
        <v>45875</v>
      </c>
      <c r="C75" s="430">
        <v>45889</v>
      </c>
      <c r="D75" s="414" t="s">
        <v>1654</v>
      </c>
      <c r="E75" s="415">
        <v>870840</v>
      </c>
    </row>
    <row r="76" spans="1:5" ht="10.95" customHeight="1">
      <c r="A76" s="414" t="s">
        <v>756</v>
      </c>
      <c r="B76" s="430">
        <v>45876</v>
      </c>
      <c r="C76" s="430">
        <v>45890</v>
      </c>
      <c r="D76" s="414" t="s">
        <v>1655</v>
      </c>
      <c r="E76" s="415">
        <v>88264</v>
      </c>
    </row>
    <row r="77" spans="1:5" ht="10.95" customHeight="1">
      <c r="A77" s="416" t="s">
        <v>895</v>
      </c>
      <c r="B77" s="416"/>
      <c r="C77" s="416"/>
      <c r="D77" s="416"/>
      <c r="E77" s="417">
        <f>SUM(E62:E76)</f>
        <v>3022656.38</v>
      </c>
    </row>
    <row r="78" spans="1:5" ht="13.35" customHeight="1"/>
    <row r="79" spans="1:5" s="412" customFormat="1" ht="12.15" customHeight="1">
      <c r="A79" s="409" t="s">
        <v>916</v>
      </c>
      <c r="B79" s="409"/>
      <c r="C79" s="409"/>
      <c r="D79" s="409"/>
      <c r="E79" s="409"/>
    </row>
    <row r="80" spans="1:5" ht="10.95" customHeight="1">
      <c r="A80" s="421" t="s">
        <v>1656</v>
      </c>
      <c r="B80" s="429">
        <v>45889</v>
      </c>
      <c r="C80" s="429">
        <v>45900</v>
      </c>
      <c r="D80" s="421" t="s">
        <v>1657</v>
      </c>
      <c r="E80" s="422">
        <v>82600</v>
      </c>
    </row>
    <row r="81" spans="1:5" ht="10.95" customHeight="1">
      <c r="A81" s="421" t="s">
        <v>715</v>
      </c>
      <c r="B81" s="429">
        <v>45832</v>
      </c>
      <c r="C81" s="429">
        <v>45838</v>
      </c>
      <c r="D81" s="421" t="s">
        <v>1305</v>
      </c>
      <c r="E81" s="422">
        <v>88500</v>
      </c>
    </row>
    <row r="82" spans="1:5" ht="10.95" customHeight="1">
      <c r="A82" s="416" t="s">
        <v>920</v>
      </c>
      <c r="B82" s="416"/>
      <c r="C82" s="416"/>
      <c r="D82" s="416"/>
      <c r="E82" s="417">
        <f>SUM(E80:E81)</f>
        <v>171100</v>
      </c>
    </row>
    <row r="83" spans="1:5" ht="13.35" customHeight="1"/>
    <row r="84" spans="1:5" ht="10.95" customHeight="1">
      <c r="A84" s="419" t="s">
        <v>164</v>
      </c>
      <c r="B84" s="419"/>
      <c r="C84" s="419"/>
      <c r="D84" s="419"/>
      <c r="E84" s="420">
        <f>SUM(E8,E14,E23,E30,E37,E41,E59,E77,E82)</f>
        <v>34630107.580000006</v>
      </c>
    </row>
    <row r="85" spans="1:5" ht="13.35" customHeight="1">
      <c r="E85" s="820">
        <f>+E8</f>
        <v>3303807.2</v>
      </c>
    </row>
    <row r="86" spans="1:5">
      <c r="E86" s="425">
        <f>+E84-E85</f>
        <v>31326300.380000006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024A7-6AFC-43FD-AF1E-21898FBE5D0B}">
  <dimension ref="A1:G9"/>
  <sheetViews>
    <sheetView workbookViewId="0">
      <selection activeCell="D7" sqref="D7"/>
    </sheetView>
  </sheetViews>
  <sheetFormatPr baseColWidth="10" defaultColWidth="11.44140625" defaultRowHeight="14.4"/>
  <cols>
    <col min="1" max="1" width="44.6640625" bestFit="1" customWidth="1"/>
    <col min="2" max="2" width="11" bestFit="1" customWidth="1"/>
    <col min="3" max="3" width="12.6640625" style="370" bestFit="1" customWidth="1"/>
    <col min="4" max="4" width="14.5546875" style="370" customWidth="1"/>
    <col min="5" max="5" width="32.5546875" customWidth="1"/>
    <col min="6" max="6" width="32.109375" bestFit="1" customWidth="1"/>
    <col min="7" max="7" width="33.6640625" bestFit="1" customWidth="1"/>
  </cols>
  <sheetData>
    <row r="1" spans="1:7">
      <c r="A1" t="s">
        <v>707</v>
      </c>
      <c r="B1" t="s">
        <v>708</v>
      </c>
      <c r="C1" s="370" t="s">
        <v>164</v>
      </c>
      <c r="D1" s="370" t="s">
        <v>709</v>
      </c>
      <c r="E1" t="s">
        <v>817</v>
      </c>
      <c r="F1" t="s">
        <v>710</v>
      </c>
      <c r="G1" t="s">
        <v>852</v>
      </c>
    </row>
    <row r="2" spans="1:7">
      <c r="A2" t="s">
        <v>737</v>
      </c>
      <c r="B2" s="193">
        <v>45429</v>
      </c>
      <c r="C2" s="370">
        <v>40000</v>
      </c>
      <c r="D2" s="370">
        <v>40000</v>
      </c>
      <c r="E2" t="s">
        <v>738</v>
      </c>
      <c r="F2" t="s">
        <v>853</v>
      </c>
      <c r="G2" t="s">
        <v>853</v>
      </c>
    </row>
    <row r="3" spans="1:7">
      <c r="A3" t="s">
        <v>369</v>
      </c>
      <c r="B3" s="193">
        <v>45266</v>
      </c>
      <c r="C3" s="370">
        <v>273000</v>
      </c>
      <c r="D3" s="370">
        <v>273000</v>
      </c>
      <c r="E3" t="s">
        <v>911</v>
      </c>
      <c r="F3" t="s">
        <v>853</v>
      </c>
      <c r="G3" t="s">
        <v>853</v>
      </c>
    </row>
    <row r="4" spans="1:7">
      <c r="A4" t="s">
        <v>715</v>
      </c>
      <c r="B4" s="193">
        <v>45771</v>
      </c>
      <c r="C4" s="370">
        <v>3200000</v>
      </c>
      <c r="D4" s="370">
        <f>3200000-2575040</f>
        <v>624960</v>
      </c>
      <c r="E4" t="s">
        <v>1023</v>
      </c>
      <c r="F4" t="s">
        <v>1024</v>
      </c>
      <c r="G4" t="s">
        <v>1025</v>
      </c>
    </row>
    <row r="5" spans="1:7">
      <c r="A5" t="s">
        <v>1084</v>
      </c>
      <c r="B5" s="193">
        <v>45805</v>
      </c>
      <c r="C5" s="370">
        <v>5000000</v>
      </c>
      <c r="D5" s="370">
        <v>5000000</v>
      </c>
      <c r="E5" t="s">
        <v>1189</v>
      </c>
      <c r="F5" t="s">
        <v>1024</v>
      </c>
      <c r="G5" t="s">
        <v>1025</v>
      </c>
    </row>
    <row r="6" spans="1:7">
      <c r="A6" t="s">
        <v>1084</v>
      </c>
      <c r="B6" s="193">
        <v>45826</v>
      </c>
      <c r="C6" s="370">
        <v>5000000</v>
      </c>
      <c r="D6" s="370">
        <v>5000000</v>
      </c>
      <c r="E6" t="s">
        <v>1189</v>
      </c>
      <c r="F6" t="s">
        <v>1024</v>
      </c>
      <c r="G6" t="s">
        <v>1025</v>
      </c>
    </row>
    <row r="7" spans="1:7">
      <c r="A7" t="s">
        <v>1453</v>
      </c>
      <c r="B7" s="193">
        <v>45809</v>
      </c>
      <c r="C7" s="370">
        <v>29859.9</v>
      </c>
      <c r="D7" s="370">
        <v>29859.9</v>
      </c>
      <c r="E7" t="s">
        <v>1454</v>
      </c>
      <c r="F7" t="s">
        <v>854</v>
      </c>
      <c r="G7" t="s">
        <v>858</v>
      </c>
    </row>
    <row r="8" spans="1:7">
      <c r="A8" t="s">
        <v>795</v>
      </c>
      <c r="B8" s="193">
        <v>45887</v>
      </c>
      <c r="C8" s="370">
        <v>284315</v>
      </c>
      <c r="D8" s="370">
        <v>284315</v>
      </c>
      <c r="E8" t="s">
        <v>1658</v>
      </c>
      <c r="F8" t="s">
        <v>1659</v>
      </c>
      <c r="G8" t="s">
        <v>1660</v>
      </c>
    </row>
    <row r="9" spans="1:7">
      <c r="D9" s="432">
        <f>SUM(D2:D8)</f>
        <v>11252134.9</v>
      </c>
    </row>
  </sheetData>
  <autoFilter ref="A1:G1" xr:uid="{8F833D8D-E3A2-49C0-BA28-FAE8897AAB0B}">
    <sortState xmlns:xlrd2="http://schemas.microsoft.com/office/spreadsheetml/2017/richdata2" ref="A2:G5">
      <sortCondition ref="G1"/>
    </sortState>
  </autoFilter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C3221-7BF9-4595-9B07-DC29EF307363}">
  <dimension ref="A1:I18"/>
  <sheetViews>
    <sheetView workbookViewId="0">
      <selection activeCell="G4" sqref="G4"/>
    </sheetView>
  </sheetViews>
  <sheetFormatPr baseColWidth="10" defaultColWidth="11.44140625" defaultRowHeight="14.4"/>
  <cols>
    <col min="1" max="1" width="35.109375" bestFit="1" customWidth="1"/>
    <col min="2" max="2" width="21.109375" style="370" customWidth="1"/>
    <col min="3" max="3" width="18.33203125" style="370" customWidth="1"/>
    <col min="4" max="4" width="21.6640625" style="370" bestFit="1" customWidth="1"/>
    <col min="5" max="5" width="19.109375" style="370" customWidth="1"/>
    <col min="6" max="6" width="17.33203125" style="370" customWidth="1"/>
    <col min="7" max="7" width="19.6640625" style="370" customWidth="1"/>
    <col min="8" max="8" width="15" customWidth="1"/>
    <col min="9" max="9" width="15" bestFit="1" customWidth="1"/>
  </cols>
  <sheetData>
    <row r="1" spans="1:8" s="1126" customFormat="1" ht="43.2">
      <c r="A1" s="1126" t="s">
        <v>1661</v>
      </c>
      <c r="B1" s="446" t="s">
        <v>788</v>
      </c>
      <c r="C1" s="446" t="s">
        <v>848</v>
      </c>
      <c r="D1" s="446" t="s">
        <v>885</v>
      </c>
      <c r="E1" s="446" t="s">
        <v>849</v>
      </c>
      <c r="F1" s="446" t="s">
        <v>850</v>
      </c>
      <c r="G1" s="446" t="s">
        <v>851</v>
      </c>
      <c r="H1" s="1126" t="s">
        <v>851</v>
      </c>
    </row>
    <row r="2" spans="1:8">
      <c r="A2" t="s">
        <v>65</v>
      </c>
      <c r="B2" s="525">
        <v>103385169</v>
      </c>
      <c r="C2" s="525">
        <v>3547831</v>
      </c>
      <c r="D2" s="525">
        <v>106933000</v>
      </c>
      <c r="E2" s="525">
        <v>106933000</v>
      </c>
      <c r="F2" s="525">
        <v>264445080.16</v>
      </c>
      <c r="G2" s="525">
        <v>264443901.16</v>
      </c>
      <c r="H2" s="370"/>
    </row>
    <row r="3" spans="1:8">
      <c r="A3" t="s">
        <v>1662</v>
      </c>
      <c r="B3" s="525">
        <v>20789999.999999996</v>
      </c>
      <c r="C3" s="525">
        <v>4210000</v>
      </c>
      <c r="D3" s="525">
        <v>25000000</v>
      </c>
      <c r="E3" s="525">
        <v>25000000</v>
      </c>
      <c r="F3" s="525">
        <v>24423885.879999999</v>
      </c>
      <c r="G3" s="525">
        <v>23589221.989999998</v>
      </c>
      <c r="H3" s="370">
        <v>278099.52</v>
      </c>
    </row>
    <row r="4" spans="1:8">
      <c r="A4" t="s">
        <v>78</v>
      </c>
      <c r="B4" s="525">
        <v>451758999.99999994</v>
      </c>
      <c r="C4" s="525">
        <v>18028395.510000084</v>
      </c>
      <c r="D4" s="525">
        <v>469787395.51000005</v>
      </c>
      <c r="E4" s="525">
        <v>469787395.51000005</v>
      </c>
      <c r="F4" s="525">
        <v>42282308.519999996</v>
      </c>
      <c r="G4" s="525">
        <v>30734433.749999993</v>
      </c>
      <c r="H4" s="370">
        <v>14291211.33</v>
      </c>
    </row>
    <row r="5" spans="1:8">
      <c r="A5" t="s">
        <v>90</v>
      </c>
      <c r="B5" s="525">
        <v>1265953920</v>
      </c>
      <c r="C5" s="525">
        <v>251661155.75000012</v>
      </c>
      <c r="D5" s="525">
        <v>1517615075.7500005</v>
      </c>
      <c r="E5" s="525">
        <v>1517615075.7500005</v>
      </c>
      <c r="F5" s="525">
        <v>0</v>
      </c>
      <c r="G5" s="525">
        <v>0</v>
      </c>
      <c r="H5" s="370"/>
    </row>
    <row r="6" spans="1:8">
      <c r="A6" t="s">
        <v>105</v>
      </c>
      <c r="B6" s="525">
        <v>171771292</v>
      </c>
      <c r="C6" s="525">
        <v>26968955.960000001</v>
      </c>
      <c r="D6" s="525">
        <v>198740247.96000001</v>
      </c>
      <c r="E6" s="525">
        <v>198740247.96000001</v>
      </c>
      <c r="F6" s="525">
        <f>16669162.52+2360000</f>
        <v>19029162.52</v>
      </c>
      <c r="G6" s="525">
        <f>16558081.1+2360000</f>
        <v>18918081.100000001</v>
      </c>
      <c r="H6" s="370"/>
    </row>
    <row r="7" spans="1:8">
      <c r="A7" t="s">
        <v>108</v>
      </c>
      <c r="B7" s="525">
        <v>34354258</v>
      </c>
      <c r="C7" s="525">
        <v>13542141.74</v>
      </c>
      <c r="D7" s="525">
        <v>47896399.740000002</v>
      </c>
      <c r="E7" s="525">
        <v>47896399.740000002</v>
      </c>
      <c r="F7" s="525">
        <v>336663.74</v>
      </c>
      <c r="G7" s="525">
        <v>336663.74</v>
      </c>
      <c r="H7" s="370"/>
    </row>
    <row r="8" spans="1:8">
      <c r="A8" t="s">
        <v>816</v>
      </c>
      <c r="B8" s="525">
        <v>0</v>
      </c>
      <c r="C8" s="525">
        <v>39748049.590000004</v>
      </c>
      <c r="D8" s="525">
        <v>39748049.590000004</v>
      </c>
      <c r="E8" s="525">
        <v>39748049.590000004</v>
      </c>
      <c r="F8" s="525">
        <v>0</v>
      </c>
      <c r="G8" s="525">
        <v>0</v>
      </c>
      <c r="H8" s="370"/>
    </row>
    <row r="9" spans="1:8">
      <c r="A9" t="s">
        <v>1458</v>
      </c>
      <c r="B9" s="525">
        <v>0</v>
      </c>
      <c r="C9" s="525">
        <v>17866748.260000002</v>
      </c>
      <c r="D9" s="525">
        <v>17866748.260000002</v>
      </c>
      <c r="E9" s="525">
        <v>17866748.260000002</v>
      </c>
      <c r="F9" s="525">
        <v>17866748.260000002</v>
      </c>
      <c r="G9" s="525">
        <v>0</v>
      </c>
      <c r="H9" s="370"/>
    </row>
    <row r="10" spans="1:8">
      <c r="A10" t="s">
        <v>112</v>
      </c>
      <c r="B10" s="525">
        <v>137417034</v>
      </c>
      <c r="C10" s="525">
        <v>21575164.370000001</v>
      </c>
      <c r="D10" s="525">
        <v>158992198.37</v>
      </c>
      <c r="E10" s="525">
        <v>158992198.37</v>
      </c>
      <c r="F10" s="525">
        <v>10781175.970000001</v>
      </c>
      <c r="G10" s="525">
        <v>9011175.9700000007</v>
      </c>
      <c r="H10" s="370"/>
    </row>
    <row r="11" spans="1:8">
      <c r="A11" t="s">
        <v>115</v>
      </c>
      <c r="B11" s="525">
        <v>281704919</v>
      </c>
      <c r="C11" s="525">
        <v>48203892.240000002</v>
      </c>
      <c r="D11" s="525">
        <v>329908811.24000001</v>
      </c>
      <c r="E11" s="525">
        <v>329908811.24000001</v>
      </c>
      <c r="F11" s="525">
        <v>41709484.07</v>
      </c>
      <c r="G11" s="525">
        <v>30565900.670000002</v>
      </c>
      <c r="H11" s="370"/>
    </row>
    <row r="12" spans="1:8">
      <c r="A12" t="s">
        <v>119</v>
      </c>
      <c r="B12" s="525">
        <v>67334346</v>
      </c>
      <c r="C12" s="525">
        <v>12873540.76</v>
      </c>
      <c r="D12" s="525">
        <v>80207886.760000005</v>
      </c>
      <c r="E12" s="525">
        <v>80207886.760000005</v>
      </c>
      <c r="F12" s="525">
        <v>1568621.83</v>
      </c>
      <c r="G12" s="525">
        <v>1294927.1399999999</v>
      </c>
      <c r="H12" s="370"/>
    </row>
    <row r="13" spans="1:8">
      <c r="A13" t="s">
        <v>122</v>
      </c>
      <c r="B13" s="525">
        <v>51531387.949999996</v>
      </c>
      <c r="C13" s="525">
        <v>18027698.82</v>
      </c>
      <c r="D13" s="525">
        <v>69559086.769999996</v>
      </c>
      <c r="E13" s="525">
        <v>69559086.769999996</v>
      </c>
      <c r="F13" s="525">
        <f>22399972.99-2000000</f>
        <v>20399972.989999998</v>
      </c>
      <c r="G13" s="525">
        <f>21655186.77-2000000</f>
        <v>19655186.77</v>
      </c>
      <c r="H13" s="370"/>
    </row>
    <row r="14" spans="1:8">
      <c r="A14" t="s">
        <v>126</v>
      </c>
      <c r="B14" s="525">
        <v>19238385</v>
      </c>
      <c r="C14" s="525">
        <v>635636.47999999998</v>
      </c>
      <c r="D14" s="525">
        <v>19874021.48</v>
      </c>
      <c r="E14" s="525">
        <v>19874021.48</v>
      </c>
      <c r="F14" s="525">
        <v>0</v>
      </c>
      <c r="G14" s="525">
        <v>0</v>
      </c>
      <c r="H14" s="370"/>
    </row>
    <row r="15" spans="1:8">
      <c r="A15" t="s">
        <v>193</v>
      </c>
      <c r="B15" s="525">
        <v>15000000</v>
      </c>
      <c r="C15" s="525">
        <v>15500000</v>
      </c>
      <c r="D15" s="525">
        <v>30500000</v>
      </c>
      <c r="E15" s="525">
        <v>30500000</v>
      </c>
      <c r="F15" s="525">
        <f>19428768+2000000</f>
        <v>21428768</v>
      </c>
      <c r="G15" s="525">
        <f>15283526.86+2000000</f>
        <v>17283526.859999999</v>
      </c>
      <c r="H15" s="370"/>
    </row>
    <row r="16" spans="1:8">
      <c r="A16" t="s">
        <v>136</v>
      </c>
      <c r="B16" s="525">
        <v>192383847</v>
      </c>
      <c r="C16" s="525">
        <v>36781545.310000002</v>
      </c>
      <c r="D16" s="525">
        <v>229165392.31</v>
      </c>
      <c r="E16" s="525">
        <v>229165392.31</v>
      </c>
      <c r="F16" s="525">
        <v>1169797.55</v>
      </c>
      <c r="G16" s="525">
        <v>0</v>
      </c>
      <c r="H16" s="370"/>
    </row>
    <row r="17" spans="1:9">
      <c r="A17" t="s">
        <v>1663</v>
      </c>
      <c r="B17" s="525">
        <v>19238385</v>
      </c>
      <c r="C17" s="525">
        <v>635639.48</v>
      </c>
      <c r="D17" s="525">
        <v>19874024.48</v>
      </c>
      <c r="E17" s="525">
        <v>19874024.48</v>
      </c>
      <c r="F17" s="525">
        <v>0</v>
      </c>
      <c r="G17" s="525">
        <v>0</v>
      </c>
      <c r="H17" s="370"/>
    </row>
    <row r="18" spans="1:9" s="433" customFormat="1">
      <c r="B18" s="432">
        <f t="shared" ref="B18:H18" si="0">SUM(B2:B17)</f>
        <v>2831861942.9499998</v>
      </c>
      <c r="C18" s="432">
        <f t="shared" si="0"/>
        <v>529806395.27000022</v>
      </c>
      <c r="D18" s="432">
        <f t="shared" si="0"/>
        <v>3361668338.2200003</v>
      </c>
      <c r="E18" s="432">
        <f>SUM(E2:E17)</f>
        <v>3361668338.2200003</v>
      </c>
      <c r="F18" s="432">
        <f>SUM(F2:F17)</f>
        <v>465441669.49000001</v>
      </c>
      <c r="G18" s="432">
        <f t="shared" si="0"/>
        <v>415833019.15000004</v>
      </c>
      <c r="H18" s="432">
        <f t="shared" si="0"/>
        <v>14569310.85</v>
      </c>
      <c r="I18" s="1174">
        <f>+G18-H18</f>
        <v>401263708.30000001</v>
      </c>
    </row>
  </sheetData>
  <autoFilter ref="A1:H1" xr:uid="{0557D9D3-FB06-485C-84AC-F100A837A6A2}"/>
  <pageMargins left="0.7" right="0.7" top="0.75" bottom="0.75" header="0.3" footer="0.3"/>
  <legacy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2BF81-8C70-412B-9B16-48053FA51550}">
  <dimension ref="A1:F55"/>
  <sheetViews>
    <sheetView showGridLines="0" topLeftCell="A14" zoomScaleNormal="100" workbookViewId="0">
      <selection activeCell="E35" sqref="E35:E36"/>
    </sheetView>
  </sheetViews>
  <sheetFormatPr baseColWidth="10" defaultColWidth="8" defaultRowHeight="11.4"/>
  <cols>
    <col min="1" max="1" width="17" style="1069" customWidth="1"/>
    <col min="2" max="2" width="49.5546875" style="1069" customWidth="1"/>
    <col min="3" max="3" width="21.33203125" style="1069" bestFit="1" customWidth="1"/>
    <col min="4" max="4" width="9.109375" style="1069" bestFit="1" customWidth="1"/>
    <col min="5" max="5" width="12.33203125" style="1069" bestFit="1" customWidth="1"/>
    <col min="6" max="6" width="49.33203125" style="1069" customWidth="1"/>
    <col min="7" max="16384" width="8" style="1069"/>
  </cols>
  <sheetData>
    <row r="1" spans="1:6" s="1077" customFormat="1" ht="16.649999999999999" customHeight="1">
      <c r="A1" s="1950" t="s">
        <v>1483</v>
      </c>
      <c r="B1" s="1950"/>
      <c r="C1" s="1950"/>
      <c r="D1" s="1950"/>
      <c r="E1" s="1950"/>
      <c r="F1" s="1950"/>
    </row>
    <row r="2" spans="1:6" s="1076" customFormat="1" ht="14.4" customHeight="1">
      <c r="A2" s="1951" t="s">
        <v>236</v>
      </c>
      <c r="B2" s="1951"/>
      <c r="C2" s="1951"/>
      <c r="D2" s="1951"/>
      <c r="E2" s="1951"/>
      <c r="F2" s="1951"/>
    </row>
    <row r="3" spans="1:6" s="1076" customFormat="1" ht="14.4" customHeight="1">
      <c r="A3" s="1951" t="s">
        <v>1484</v>
      </c>
      <c r="B3" s="1951"/>
      <c r="C3" s="1951"/>
      <c r="D3" s="1951"/>
      <c r="E3" s="1951"/>
      <c r="F3" s="1951"/>
    </row>
    <row r="4" spans="1:6" ht="13.35" customHeight="1"/>
    <row r="5" spans="1:6" s="1073" customFormat="1" ht="12.15" customHeight="1">
      <c r="A5" s="1952" t="s">
        <v>1485</v>
      </c>
      <c r="B5" s="1952" t="s">
        <v>817</v>
      </c>
      <c r="C5" s="1952" t="s">
        <v>691</v>
      </c>
      <c r="D5" s="1952" t="s">
        <v>1486</v>
      </c>
      <c r="E5" s="1953" t="s">
        <v>666</v>
      </c>
      <c r="F5" s="1952" t="s">
        <v>862</v>
      </c>
    </row>
    <row r="6" spans="1:6" s="1073" customFormat="1" ht="12.15" customHeight="1">
      <c r="A6" s="1954" t="s">
        <v>1487</v>
      </c>
      <c r="B6" s="1954"/>
      <c r="C6" s="1954"/>
      <c r="D6" s="1954"/>
      <c r="E6" s="1954"/>
      <c r="F6" s="1954"/>
    </row>
    <row r="7" spans="1:6" ht="10.95" customHeight="1">
      <c r="A7" s="1075">
        <v>45799</v>
      </c>
      <c r="B7" s="1074" t="s">
        <v>1488</v>
      </c>
      <c r="C7" s="1074" t="s">
        <v>1197</v>
      </c>
      <c r="D7" s="1074" t="s">
        <v>30</v>
      </c>
      <c r="E7" s="1127">
        <v>18016</v>
      </c>
      <c r="F7" s="1074" t="s">
        <v>1388</v>
      </c>
    </row>
    <row r="8" spans="1:6" ht="10.95" customHeight="1">
      <c r="A8" s="1955" t="s">
        <v>1489</v>
      </c>
      <c r="B8" s="1955"/>
      <c r="C8" s="1955"/>
      <c r="D8" s="1955"/>
      <c r="E8" s="1956">
        <f>E7</f>
        <v>18016</v>
      </c>
      <c r="F8" s="1955"/>
    </row>
    <row r="9" spans="1:6" ht="13.35" customHeight="1"/>
    <row r="10" spans="1:6" s="1073" customFormat="1" ht="12.15" customHeight="1">
      <c r="A10" s="1954" t="s">
        <v>1490</v>
      </c>
      <c r="B10" s="1954"/>
      <c r="C10" s="1954"/>
      <c r="D10" s="1954"/>
      <c r="E10" s="1954"/>
      <c r="F10" s="1954"/>
    </row>
    <row r="11" spans="1:6" ht="10.95" customHeight="1">
      <c r="A11" s="1072">
        <v>45429</v>
      </c>
      <c r="B11" s="1070" t="s">
        <v>1491</v>
      </c>
      <c r="C11" s="1070" t="s">
        <v>738</v>
      </c>
      <c r="D11" s="1070" t="s">
        <v>30</v>
      </c>
      <c r="E11" s="1071">
        <v>40000</v>
      </c>
      <c r="F11" s="1070" t="s">
        <v>1389</v>
      </c>
    </row>
    <row r="12" spans="1:6" ht="10.95" customHeight="1">
      <c r="A12" s="1072">
        <v>45469</v>
      </c>
      <c r="B12" s="1070" t="s">
        <v>1492</v>
      </c>
      <c r="C12" s="1070" t="s">
        <v>821</v>
      </c>
      <c r="D12" s="1070" t="s">
        <v>30</v>
      </c>
      <c r="E12" s="1071">
        <v>38250</v>
      </c>
      <c r="F12" s="1070" t="s">
        <v>1389</v>
      </c>
    </row>
    <row r="13" spans="1:6" ht="10.95" customHeight="1">
      <c r="A13" s="1072">
        <v>45778</v>
      </c>
      <c r="B13" s="1070" t="s">
        <v>1493</v>
      </c>
      <c r="C13" s="1070" t="s">
        <v>1494</v>
      </c>
      <c r="D13" s="1070" t="s">
        <v>30</v>
      </c>
      <c r="E13" s="1071">
        <v>53100</v>
      </c>
      <c r="F13" s="1070" t="s">
        <v>1389</v>
      </c>
    </row>
    <row r="14" spans="1:6" ht="10.95" customHeight="1">
      <c r="A14" s="1072">
        <v>45791</v>
      </c>
      <c r="B14" s="1070" t="s">
        <v>1493</v>
      </c>
      <c r="C14" s="1070" t="s">
        <v>1201</v>
      </c>
      <c r="D14" s="1070" t="s">
        <v>30</v>
      </c>
      <c r="E14" s="1071">
        <v>25335</v>
      </c>
      <c r="F14" s="1070" t="s">
        <v>1389</v>
      </c>
    </row>
    <row r="15" spans="1:6" ht="10.95" customHeight="1">
      <c r="A15" s="1072">
        <v>45799</v>
      </c>
      <c r="B15" s="1070" t="s">
        <v>1493</v>
      </c>
      <c r="C15" s="1070" t="s">
        <v>1201</v>
      </c>
      <c r="D15" s="1070" t="s">
        <v>30</v>
      </c>
      <c r="E15" s="1071">
        <v>25335</v>
      </c>
      <c r="F15" s="1070" t="s">
        <v>1389</v>
      </c>
    </row>
    <row r="16" spans="1:6" ht="10.95" customHeight="1">
      <c r="A16" s="1955" t="s">
        <v>1495</v>
      </c>
      <c r="B16" s="1955"/>
      <c r="C16" s="1955"/>
      <c r="D16" s="1955"/>
      <c r="E16" s="1956">
        <f>SUM(E11:E15)</f>
        <v>182020</v>
      </c>
      <c r="F16" s="1955"/>
    </row>
    <row r="18" spans="1:6" s="1073" customFormat="1" ht="12.15" customHeight="1">
      <c r="A18" s="1954" t="s">
        <v>1024</v>
      </c>
      <c r="B18" s="1954"/>
      <c r="C18" s="1954"/>
      <c r="D18" s="1954"/>
      <c r="E18" s="1954"/>
      <c r="F18" s="1954"/>
    </row>
    <row r="19" spans="1:6" ht="10.95" customHeight="1">
      <c r="A19" s="1072">
        <v>45812</v>
      </c>
      <c r="B19" s="1070" t="s">
        <v>1496</v>
      </c>
      <c r="C19" s="1070" t="s">
        <v>1203</v>
      </c>
      <c r="D19" s="1070" t="s">
        <v>30</v>
      </c>
      <c r="E19" s="1071">
        <v>50122.86</v>
      </c>
      <c r="F19" s="1070" t="s">
        <v>1025</v>
      </c>
    </row>
    <row r="20" spans="1:6" ht="10.95" customHeight="1">
      <c r="A20" s="1072">
        <v>45856</v>
      </c>
      <c r="B20" s="1070" t="s">
        <v>1497</v>
      </c>
      <c r="C20" s="1070" t="s">
        <v>1498</v>
      </c>
      <c r="D20" s="1070" t="s">
        <v>30</v>
      </c>
      <c r="E20" s="1071">
        <v>11203.7</v>
      </c>
      <c r="F20" s="1070" t="s">
        <v>1025</v>
      </c>
    </row>
    <row r="21" spans="1:6" ht="10.95" customHeight="1">
      <c r="A21" s="1955" t="s">
        <v>1499</v>
      </c>
      <c r="B21" s="1955"/>
      <c r="C21" s="1955"/>
      <c r="D21" s="1955"/>
      <c r="E21" s="1956">
        <f>SUM(E19:E20)</f>
        <v>61326.559999999998</v>
      </c>
      <c r="F21" s="1955"/>
    </row>
    <row r="22" spans="1:6" ht="13.35" customHeight="1"/>
    <row r="23" spans="1:6" s="1073" customFormat="1" ht="12.15" customHeight="1">
      <c r="A23" s="1954" t="s">
        <v>854</v>
      </c>
      <c r="B23" s="1954"/>
      <c r="C23" s="1954"/>
      <c r="D23" s="1954"/>
      <c r="E23" s="1954"/>
      <c r="F23" s="1954"/>
    </row>
    <row r="24" spans="1:6" ht="10.95" customHeight="1">
      <c r="A24" s="1075">
        <v>45653</v>
      </c>
      <c r="B24" s="1074" t="s">
        <v>1500</v>
      </c>
      <c r="C24" s="1074" t="s">
        <v>1317</v>
      </c>
      <c r="D24" s="1074" t="s">
        <v>30</v>
      </c>
      <c r="E24" s="1127">
        <v>16250</v>
      </c>
      <c r="F24" s="1074" t="s">
        <v>858</v>
      </c>
    </row>
    <row r="25" spans="1:6" ht="10.95" customHeight="1">
      <c r="A25" s="1072">
        <v>45785</v>
      </c>
      <c r="B25" s="1070" t="s">
        <v>1501</v>
      </c>
      <c r="C25" s="1070" t="s">
        <v>1206</v>
      </c>
      <c r="D25" s="1070" t="s">
        <v>30</v>
      </c>
      <c r="E25" s="1071">
        <v>47329.17</v>
      </c>
      <c r="F25" s="1070" t="s">
        <v>858</v>
      </c>
    </row>
    <row r="26" spans="1:6" ht="10.95" customHeight="1">
      <c r="A26" s="1072">
        <v>45800</v>
      </c>
      <c r="B26" s="1070" t="s">
        <v>1501</v>
      </c>
      <c r="C26" s="1070" t="s">
        <v>1206</v>
      </c>
      <c r="D26" s="1070" t="s">
        <v>30</v>
      </c>
      <c r="E26" s="1071">
        <v>31552.79</v>
      </c>
      <c r="F26" s="1070" t="s">
        <v>858</v>
      </c>
    </row>
    <row r="27" spans="1:6" ht="10.95" customHeight="1">
      <c r="A27" s="1072">
        <v>45809</v>
      </c>
      <c r="B27" s="1070" t="s">
        <v>1502</v>
      </c>
      <c r="C27" s="1070" t="s">
        <v>1503</v>
      </c>
      <c r="D27" s="1070" t="s">
        <v>30</v>
      </c>
      <c r="E27" s="1071">
        <v>29859.9</v>
      </c>
      <c r="F27" s="1070" t="s">
        <v>858</v>
      </c>
    </row>
    <row r="28" spans="1:6" ht="10.95" customHeight="1">
      <c r="A28" s="1072">
        <v>45812</v>
      </c>
      <c r="B28" s="1070" t="s">
        <v>1501</v>
      </c>
      <c r="C28" s="1070" t="s">
        <v>1504</v>
      </c>
      <c r="D28" s="1070" t="s">
        <v>30</v>
      </c>
      <c r="E28" s="1071">
        <v>48000</v>
      </c>
      <c r="F28" s="1070" t="s">
        <v>858</v>
      </c>
    </row>
    <row r="29" spans="1:6" ht="10.95" customHeight="1">
      <c r="A29" s="1072">
        <v>45812</v>
      </c>
      <c r="B29" s="1070" t="s">
        <v>1505</v>
      </c>
      <c r="C29" s="1070" t="s">
        <v>1211</v>
      </c>
      <c r="D29" s="1070" t="s">
        <v>30</v>
      </c>
      <c r="E29" s="1071">
        <v>12761.28</v>
      </c>
      <c r="F29" s="1070" t="s">
        <v>942</v>
      </c>
    </row>
    <row r="30" spans="1:6" ht="10.95" customHeight="1">
      <c r="A30" s="1072">
        <v>45812</v>
      </c>
      <c r="B30" s="1070" t="s">
        <v>1506</v>
      </c>
      <c r="C30" s="1070" t="s">
        <v>1205</v>
      </c>
      <c r="D30" s="1070" t="s">
        <v>30</v>
      </c>
      <c r="E30" s="1071">
        <v>21240</v>
      </c>
      <c r="F30" s="1070" t="s">
        <v>858</v>
      </c>
    </row>
    <row r="31" spans="1:6" ht="10.95" customHeight="1">
      <c r="A31" s="1072">
        <v>45821</v>
      </c>
      <c r="B31" s="1070" t="s">
        <v>1501</v>
      </c>
      <c r="C31" s="1070" t="s">
        <v>1328</v>
      </c>
      <c r="D31" s="1070" t="s">
        <v>30</v>
      </c>
      <c r="E31" s="1071">
        <v>93546.76</v>
      </c>
      <c r="F31" s="1070" t="s">
        <v>858</v>
      </c>
    </row>
    <row r="32" spans="1:6" ht="10.95" customHeight="1">
      <c r="A32" s="1072">
        <v>45826</v>
      </c>
      <c r="B32" s="1070" t="s">
        <v>1507</v>
      </c>
      <c r="C32" s="1070" t="s">
        <v>1319</v>
      </c>
      <c r="D32" s="1070" t="s">
        <v>30</v>
      </c>
      <c r="E32" s="1071">
        <v>135978.59</v>
      </c>
      <c r="F32" s="1070" t="s">
        <v>855</v>
      </c>
    </row>
    <row r="33" spans="1:6" ht="10.95" customHeight="1">
      <c r="A33" s="1072">
        <v>45834</v>
      </c>
      <c r="B33" s="1070" t="s">
        <v>1501</v>
      </c>
      <c r="C33" s="1070" t="s">
        <v>1328</v>
      </c>
      <c r="D33" s="1070" t="s">
        <v>30</v>
      </c>
      <c r="E33" s="1071">
        <v>62363.360000000001</v>
      </c>
      <c r="F33" s="1070" t="s">
        <v>858</v>
      </c>
    </row>
    <row r="34" spans="1:6" ht="10.95" customHeight="1">
      <c r="A34" s="1072">
        <v>45846</v>
      </c>
      <c r="B34" s="1070" t="s">
        <v>1501</v>
      </c>
      <c r="C34" s="1070" t="s">
        <v>1504</v>
      </c>
      <c r="D34" s="1070" t="s">
        <v>30</v>
      </c>
      <c r="E34" s="1071">
        <v>32000</v>
      </c>
      <c r="F34" s="1070" t="s">
        <v>858</v>
      </c>
    </row>
    <row r="35" spans="1:6" ht="10.95" customHeight="1">
      <c r="A35" s="1072">
        <v>45853</v>
      </c>
      <c r="B35" s="1070" t="s">
        <v>1508</v>
      </c>
      <c r="C35" s="1070" t="s">
        <v>1509</v>
      </c>
      <c r="D35" s="1070" t="s">
        <v>30</v>
      </c>
      <c r="E35" s="1113">
        <v>50400</v>
      </c>
      <c r="F35" s="1070" t="s">
        <v>858</v>
      </c>
    </row>
    <row r="36" spans="1:6" ht="10.95" customHeight="1">
      <c r="A36" s="1072">
        <v>45853</v>
      </c>
      <c r="B36" s="1088" t="s">
        <v>1510</v>
      </c>
      <c r="C36" s="1070" t="s">
        <v>1511</v>
      </c>
      <c r="D36" s="1070" t="s">
        <v>30</v>
      </c>
      <c r="E36" s="1113">
        <v>1134994.8</v>
      </c>
      <c r="F36" s="1070" t="s">
        <v>858</v>
      </c>
    </row>
    <row r="37" spans="1:6" ht="10.95" customHeight="1">
      <c r="A37" s="1072">
        <v>45860</v>
      </c>
      <c r="B37" s="1070" t="s">
        <v>1507</v>
      </c>
      <c r="C37" s="1088" t="s">
        <v>1512</v>
      </c>
      <c r="D37" s="1070" t="s">
        <v>30</v>
      </c>
      <c r="E37" s="1071">
        <v>171165.39</v>
      </c>
      <c r="F37" s="1070" t="s">
        <v>855</v>
      </c>
    </row>
    <row r="38" spans="1:6" ht="10.95" customHeight="1">
      <c r="A38" s="1072">
        <v>45869</v>
      </c>
      <c r="B38" s="1088" t="s">
        <v>1513</v>
      </c>
      <c r="C38" s="1088" t="s">
        <v>1514</v>
      </c>
      <c r="D38" s="1070" t="s">
        <v>30</v>
      </c>
      <c r="E38" s="1071">
        <v>20000</v>
      </c>
      <c r="F38" s="1070" t="s">
        <v>858</v>
      </c>
    </row>
    <row r="39" spans="1:6" ht="10.95" customHeight="1">
      <c r="A39" s="1072">
        <v>45894</v>
      </c>
      <c r="B39" s="1070" t="s">
        <v>1507</v>
      </c>
      <c r="C39" s="1088" t="s">
        <v>1664</v>
      </c>
      <c r="D39" s="1070" t="s">
        <v>30</v>
      </c>
      <c r="E39" s="1071">
        <v>189666.62</v>
      </c>
      <c r="F39" s="1070" t="s">
        <v>855</v>
      </c>
    </row>
    <row r="40" spans="1:6" ht="10.95" customHeight="1">
      <c r="A40" s="1128">
        <v>45874</v>
      </c>
      <c r="B40" s="455" t="s">
        <v>1665</v>
      </c>
      <c r="C40" s="455" t="s">
        <v>1666</v>
      </c>
      <c r="D40" s="1070"/>
      <c r="E40" s="1071">
        <v>95674.4</v>
      </c>
      <c r="F40" s="1070" t="s">
        <v>858</v>
      </c>
    </row>
    <row r="41" spans="1:6" ht="10.95" customHeight="1">
      <c r="A41" s="1955" t="s">
        <v>1515</v>
      </c>
      <c r="B41" s="1955"/>
      <c r="C41" s="1955"/>
      <c r="D41" s="1955"/>
      <c r="E41" s="1956">
        <f>SUM(E24:E40)</f>
        <v>2192783.06</v>
      </c>
      <c r="F41" s="1955"/>
    </row>
    <row r="42" spans="1:6" ht="13.35" customHeight="1"/>
    <row r="43" spans="1:6" s="1073" customFormat="1" ht="12.15" customHeight="1">
      <c r="A43" s="1954" t="s">
        <v>859</v>
      </c>
      <c r="B43" s="1954"/>
      <c r="C43" s="1954"/>
      <c r="D43" s="1954"/>
      <c r="E43" s="1954"/>
      <c r="F43" s="1954"/>
    </row>
    <row r="44" spans="1:6" ht="10.95" customHeight="1">
      <c r="A44" s="1072">
        <v>45747</v>
      </c>
      <c r="B44" s="1070" t="s">
        <v>1516</v>
      </c>
      <c r="C44" s="1070" t="s">
        <v>1517</v>
      </c>
      <c r="D44" s="1070" t="s">
        <v>30</v>
      </c>
      <c r="E44" s="1071">
        <v>5000</v>
      </c>
      <c r="F44" s="1070" t="s">
        <v>860</v>
      </c>
    </row>
    <row r="45" spans="1:6" ht="10.95" customHeight="1">
      <c r="A45" s="1072">
        <v>45747</v>
      </c>
      <c r="B45" s="1070" t="s">
        <v>1516</v>
      </c>
      <c r="C45" s="1070" t="s">
        <v>1518</v>
      </c>
      <c r="D45" s="1070" t="s">
        <v>30</v>
      </c>
      <c r="E45" s="1071">
        <v>5000</v>
      </c>
      <c r="F45" s="1070" t="s">
        <v>860</v>
      </c>
    </row>
    <row r="46" spans="1:6" ht="10.95" customHeight="1">
      <c r="A46" s="1072">
        <v>45783</v>
      </c>
      <c r="B46" s="1070" t="s">
        <v>1519</v>
      </c>
      <c r="C46" s="1070" t="s">
        <v>1329</v>
      </c>
      <c r="D46" s="1070" t="s">
        <v>30</v>
      </c>
      <c r="E46" s="1071">
        <v>77442</v>
      </c>
      <c r="F46" s="1070" t="s">
        <v>860</v>
      </c>
    </row>
    <row r="47" spans="1:6" ht="10.95" customHeight="1">
      <c r="A47" s="1072">
        <v>45826</v>
      </c>
      <c r="B47" s="1070" t="s">
        <v>1520</v>
      </c>
      <c r="C47" s="1070" t="s">
        <v>1330</v>
      </c>
      <c r="D47" s="1070" t="s">
        <v>30</v>
      </c>
      <c r="E47" s="1071">
        <v>352775.8</v>
      </c>
      <c r="F47" s="1070" t="s">
        <v>860</v>
      </c>
    </row>
    <row r="48" spans="1:6" ht="10.95" customHeight="1">
      <c r="A48" s="1072">
        <v>45883</v>
      </c>
      <c r="B48" s="1070" t="s">
        <v>1667</v>
      </c>
      <c r="C48" s="1070" t="s">
        <v>1668</v>
      </c>
      <c r="D48" s="1070" t="s">
        <v>30</v>
      </c>
      <c r="E48" s="1071">
        <v>21660</v>
      </c>
      <c r="F48" s="1070" t="s">
        <v>860</v>
      </c>
    </row>
    <row r="49" spans="1:6" ht="10.95" customHeight="1">
      <c r="A49" s="1072">
        <v>45883</v>
      </c>
      <c r="B49" s="1070" t="s">
        <v>1669</v>
      </c>
      <c r="C49" s="1070" t="s">
        <v>1670</v>
      </c>
      <c r="D49" s="1070" t="s">
        <v>30</v>
      </c>
      <c r="E49" s="1071">
        <v>1425.03</v>
      </c>
      <c r="F49" s="1070" t="s">
        <v>860</v>
      </c>
    </row>
    <row r="50" spans="1:6" ht="10.95" customHeight="1">
      <c r="A50" s="1072">
        <v>45887</v>
      </c>
      <c r="B50" s="1070" t="s">
        <v>1520</v>
      </c>
      <c r="C50" s="1070" t="s">
        <v>1671</v>
      </c>
      <c r="D50" s="1070" t="s">
        <v>30</v>
      </c>
      <c r="E50" s="1071">
        <v>42225</v>
      </c>
      <c r="F50" s="1070" t="s">
        <v>860</v>
      </c>
    </row>
    <row r="51" spans="1:6" ht="10.95" customHeight="1">
      <c r="A51" s="1072">
        <v>45887</v>
      </c>
      <c r="B51" s="1070" t="s">
        <v>1520</v>
      </c>
      <c r="C51" s="1070" t="s">
        <v>1671</v>
      </c>
      <c r="D51" s="1070" t="s">
        <v>30</v>
      </c>
      <c r="E51" s="1071">
        <v>59818.75</v>
      </c>
      <c r="F51" s="1070" t="s">
        <v>860</v>
      </c>
    </row>
    <row r="52" spans="1:6" ht="10.95" customHeight="1">
      <c r="A52" s="1072">
        <v>45887</v>
      </c>
      <c r="B52" s="1070" t="s">
        <v>1672</v>
      </c>
      <c r="C52" s="1070" t="s">
        <v>1673</v>
      </c>
      <c r="D52" s="1070" t="s">
        <v>30</v>
      </c>
      <c r="E52" s="1071">
        <v>284315</v>
      </c>
      <c r="F52" s="1070" t="s">
        <v>860</v>
      </c>
    </row>
    <row r="53" spans="1:6" ht="10.95" customHeight="1">
      <c r="A53" s="1955" t="s">
        <v>1521</v>
      </c>
      <c r="B53" s="1955"/>
      <c r="C53" s="1955"/>
      <c r="D53" s="1955"/>
      <c r="E53" s="1956">
        <f>SUM(E44:E52)</f>
        <v>849661.58000000007</v>
      </c>
      <c r="F53" s="1955"/>
    </row>
    <row r="54" spans="1:6" ht="13.35" customHeight="1"/>
    <row r="55" spans="1:6" ht="10.95" customHeight="1">
      <c r="A55" s="1957" t="s">
        <v>164</v>
      </c>
      <c r="B55" s="1957"/>
      <c r="C55" s="1957"/>
      <c r="D55" s="1957"/>
      <c r="E55" s="1959">
        <f>+E8+E16+E21+E41+E53</f>
        <v>3303807.2</v>
      </c>
      <c r="F55" s="1957"/>
    </row>
  </sheetData>
  <pageMargins left="0.7" right="0.7" top="0.75" bottom="0.75" header="0.3" footer="0.3"/>
  <pageSetup paperSize="9" fitToWidth="0" fitToHeight="0"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62FA5-A763-4982-A315-BA125E406009}">
  <dimension ref="A1:S132"/>
  <sheetViews>
    <sheetView zoomScale="120" zoomScaleNormal="120" workbookViewId="0">
      <pane ySplit="1" topLeftCell="A34" activePane="bottomLeft" state="frozen"/>
      <selection activeCell="B1" sqref="B1"/>
      <selection pane="bottomLeft" activeCell="A87" sqref="A87:XFD90"/>
    </sheetView>
  </sheetViews>
  <sheetFormatPr baseColWidth="10" defaultColWidth="8.88671875" defaultRowHeight="10.199999999999999"/>
  <cols>
    <col min="1" max="1" width="12.6640625" style="373" customWidth="1"/>
    <col min="2" max="2" width="22.33203125" style="373" hidden="1" customWidth="1"/>
    <col min="3" max="3" width="30.6640625" style="373" customWidth="1"/>
    <col min="4" max="4" width="7.6640625" style="373" customWidth="1"/>
    <col min="5" max="5" width="17.6640625" style="373" customWidth="1"/>
    <col min="6" max="6" width="12" style="1129" hidden="1" customWidth="1"/>
    <col min="7" max="7" width="11.88671875" style="1132" hidden="1" customWidth="1"/>
    <col min="8" max="8" width="14.6640625" style="778" customWidth="1"/>
    <col min="9" max="9" width="10.109375" style="778" hidden="1" customWidth="1"/>
    <col min="10" max="10" width="11.33203125" style="778" hidden="1" customWidth="1"/>
    <col min="11" max="11" width="11.5546875" style="778" hidden="1" customWidth="1"/>
    <col min="12" max="12" width="9.109375" style="778" hidden="1" customWidth="1"/>
    <col min="13" max="13" width="13" style="778" bestFit="1" customWidth="1"/>
    <col min="14" max="14" width="12.88671875" style="778" customWidth="1"/>
    <col min="15" max="15" width="11" style="778" bestFit="1" customWidth="1"/>
    <col min="16" max="16" width="10.5546875" style="778" bestFit="1" customWidth="1"/>
    <col min="17" max="19" width="9.6640625" style="778" bestFit="1" customWidth="1"/>
    <col min="20" max="20" width="10.44140625" style="373" bestFit="1" customWidth="1"/>
    <col min="21" max="16384" width="8.88671875" style="373"/>
  </cols>
  <sheetData>
    <row r="1" spans="1:19">
      <c r="A1" s="377" t="s">
        <v>1052</v>
      </c>
      <c r="B1" s="377" t="s">
        <v>1053</v>
      </c>
      <c r="C1" s="377" t="s">
        <v>1054</v>
      </c>
      <c r="D1" s="377" t="s">
        <v>1055</v>
      </c>
      <c r="E1" s="377" t="s">
        <v>1056</v>
      </c>
      <c r="F1" s="377" t="s">
        <v>1057</v>
      </c>
      <c r="G1" s="1131" t="s">
        <v>1058</v>
      </c>
      <c r="H1" s="1136" t="s">
        <v>1674</v>
      </c>
      <c r="I1" s="1136" t="s">
        <v>1675</v>
      </c>
      <c r="J1" s="1136" t="s">
        <v>1676</v>
      </c>
      <c r="K1" s="1136" t="s">
        <v>1677</v>
      </c>
      <c r="L1" s="1136" t="s">
        <v>1678</v>
      </c>
      <c r="M1" s="1136" t="s">
        <v>1679</v>
      </c>
      <c r="N1" s="1136" t="s">
        <v>1680</v>
      </c>
      <c r="O1" s="1139">
        <v>45901</v>
      </c>
      <c r="P1" s="1139">
        <v>45931</v>
      </c>
      <c r="Q1" s="1139">
        <v>45962</v>
      </c>
      <c r="R1" s="1139">
        <v>45992</v>
      </c>
      <c r="S1" s="1139">
        <v>46023</v>
      </c>
    </row>
    <row r="2" spans="1:19">
      <c r="A2" s="373" t="s">
        <v>480</v>
      </c>
      <c r="B2" s="373" t="s">
        <v>1216</v>
      </c>
      <c r="C2" s="373" t="s">
        <v>1681</v>
      </c>
      <c r="D2" s="373" t="s">
        <v>1682</v>
      </c>
      <c r="E2" s="373" t="s">
        <v>1683</v>
      </c>
      <c r="F2" s="1129">
        <v>1180</v>
      </c>
      <c r="H2" s="778">
        <v>1180</v>
      </c>
      <c r="I2" s="778">
        <v>1180</v>
      </c>
      <c r="J2" s="778">
        <v>0</v>
      </c>
      <c r="K2" s="778" t="s">
        <v>1684</v>
      </c>
      <c r="L2" s="1137">
        <f>+M2/H2</f>
        <v>0</v>
      </c>
      <c r="N2" s="778">
        <f>+H2-M2</f>
        <v>1180</v>
      </c>
      <c r="O2" s="1138">
        <v>1180</v>
      </c>
    </row>
    <row r="3" spans="1:19" s="1134" customFormat="1">
      <c r="A3" s="1134" t="s">
        <v>259</v>
      </c>
      <c r="E3" s="1135"/>
      <c r="F3" s="1135">
        <f>SUM(F2:F2)</f>
        <v>1180</v>
      </c>
      <c r="G3" s="1135">
        <f>SUM(G2:G2)</f>
        <v>0</v>
      </c>
      <c r="H3" s="1135">
        <f>SUM(H2:H2)</f>
        <v>1180</v>
      </c>
      <c r="I3" s="1135">
        <f t="shared" ref="I3:S3" si="0">SUM(I2:I2)</f>
        <v>1180</v>
      </c>
      <c r="J3" s="1135">
        <f t="shared" si="0"/>
        <v>0</v>
      </c>
      <c r="K3" s="1135">
        <f t="shared" si="0"/>
        <v>0</v>
      </c>
      <c r="L3" s="1135">
        <f t="shared" si="0"/>
        <v>0</v>
      </c>
      <c r="M3" s="1135">
        <f t="shared" si="0"/>
        <v>0</v>
      </c>
      <c r="N3" s="1135">
        <f t="shared" si="0"/>
        <v>1180</v>
      </c>
      <c r="O3" s="1135">
        <f t="shared" si="0"/>
        <v>1180</v>
      </c>
      <c r="P3" s="1135">
        <f t="shared" si="0"/>
        <v>0</v>
      </c>
      <c r="Q3" s="1135">
        <f t="shared" si="0"/>
        <v>0</v>
      </c>
      <c r="R3" s="1135">
        <f t="shared" si="0"/>
        <v>0</v>
      </c>
      <c r="S3" s="1135">
        <f t="shared" si="0"/>
        <v>0</v>
      </c>
    </row>
    <row r="4" spans="1:19">
      <c r="L4" s="1137"/>
      <c r="O4" s="769"/>
    </row>
    <row r="5" spans="1:19">
      <c r="A5" s="373" t="s">
        <v>490</v>
      </c>
      <c r="B5" s="373" t="s">
        <v>1063</v>
      </c>
      <c r="C5" s="373" t="s">
        <v>1631</v>
      </c>
      <c r="D5" s="373" t="s">
        <v>1685</v>
      </c>
      <c r="E5" s="373" t="s">
        <v>1686</v>
      </c>
      <c r="F5" s="1129">
        <v>67708.399999999994</v>
      </c>
      <c r="H5" s="778">
        <v>67708.399999999994</v>
      </c>
      <c r="I5" s="778">
        <v>67708.399999999994</v>
      </c>
      <c r="J5" s="778">
        <v>0</v>
      </c>
      <c r="K5" s="778" t="s">
        <v>1687</v>
      </c>
      <c r="L5" s="1137">
        <f t="shared" ref="L5:L12" si="1">+M5/H5</f>
        <v>0</v>
      </c>
      <c r="N5" s="778">
        <f t="shared" ref="N5:N101" si="2">+H5-M5</f>
        <v>67708.399999999994</v>
      </c>
      <c r="O5" s="1138">
        <v>67708.399999999994</v>
      </c>
    </row>
    <row r="6" spans="1:19">
      <c r="A6" s="373" t="s">
        <v>490</v>
      </c>
      <c r="B6" s="373" t="s">
        <v>1063</v>
      </c>
      <c r="C6" s="373" t="s">
        <v>1631</v>
      </c>
      <c r="D6" s="373" t="s">
        <v>1688</v>
      </c>
      <c r="E6" s="373" t="s">
        <v>1686</v>
      </c>
      <c r="F6" s="1129">
        <v>87792</v>
      </c>
      <c r="H6" s="778">
        <v>87792</v>
      </c>
      <c r="I6" s="778">
        <v>87792</v>
      </c>
      <c r="J6" s="778">
        <v>0</v>
      </c>
      <c r="K6" s="778" t="s">
        <v>1689</v>
      </c>
      <c r="L6" s="1137">
        <f t="shared" si="1"/>
        <v>0</v>
      </c>
      <c r="N6" s="778">
        <f t="shared" si="2"/>
        <v>87792</v>
      </c>
      <c r="O6" s="1138">
        <v>41887.199999999997</v>
      </c>
      <c r="P6" s="778">
        <v>45904.800000000003</v>
      </c>
    </row>
    <row r="7" spans="1:19">
      <c r="A7" s="373" t="s">
        <v>490</v>
      </c>
      <c r="B7" s="373" t="s">
        <v>1063</v>
      </c>
      <c r="C7" s="373" t="s">
        <v>369</v>
      </c>
      <c r="D7" s="373" t="s">
        <v>367</v>
      </c>
      <c r="E7" s="373" t="s">
        <v>368</v>
      </c>
      <c r="F7" s="1129">
        <v>278099.52</v>
      </c>
      <c r="H7" s="778">
        <v>278099.52</v>
      </c>
      <c r="I7" s="778">
        <v>278099.52</v>
      </c>
      <c r="J7" s="778">
        <v>0</v>
      </c>
      <c r="L7" s="1137">
        <f t="shared" si="1"/>
        <v>0.98166296727157232</v>
      </c>
      <c r="M7" s="778">
        <v>273000</v>
      </c>
      <c r="N7" s="778">
        <f t="shared" si="2"/>
        <v>5099.5200000000186</v>
      </c>
      <c r="P7" s="778">
        <v>5099.5200000000004</v>
      </c>
    </row>
    <row r="8" spans="1:19">
      <c r="A8" s="373" t="s">
        <v>493</v>
      </c>
      <c r="B8" s="373" t="s">
        <v>1064</v>
      </c>
      <c r="C8" s="373" t="s">
        <v>737</v>
      </c>
      <c r="D8" s="373" t="s">
        <v>738</v>
      </c>
      <c r="E8" s="373" t="s">
        <v>1065</v>
      </c>
      <c r="F8" s="1129">
        <v>104888.89</v>
      </c>
      <c r="H8" s="778">
        <v>104888.89</v>
      </c>
      <c r="I8" s="778">
        <v>0</v>
      </c>
      <c r="J8" s="778">
        <v>104888.89</v>
      </c>
      <c r="L8" s="1137">
        <f t="shared" si="1"/>
        <v>0.38135592816360248</v>
      </c>
      <c r="M8" s="778">
        <v>40000</v>
      </c>
      <c r="N8" s="778">
        <f t="shared" si="2"/>
        <v>64888.89</v>
      </c>
      <c r="P8" s="778">
        <v>64888.89</v>
      </c>
    </row>
    <row r="9" spans="1:19">
      <c r="A9" s="373" t="s">
        <v>493</v>
      </c>
      <c r="B9" s="373" t="s">
        <v>1064</v>
      </c>
      <c r="C9" s="373" t="s">
        <v>301</v>
      </c>
      <c r="D9" s="373" t="s">
        <v>1690</v>
      </c>
      <c r="E9" s="373" t="s">
        <v>1691</v>
      </c>
      <c r="F9" s="1129">
        <v>1427678.42</v>
      </c>
      <c r="H9" s="778">
        <v>1427678.42</v>
      </c>
      <c r="I9" s="778">
        <v>1427678.42</v>
      </c>
      <c r="J9" s="778">
        <v>0</v>
      </c>
      <c r="L9" s="1137">
        <f t="shared" si="1"/>
        <v>0</v>
      </c>
      <c r="N9" s="778">
        <f t="shared" si="2"/>
        <v>1427678.42</v>
      </c>
      <c r="P9" s="778">
        <v>713839.21</v>
      </c>
      <c r="Q9" s="778">
        <v>713839.21</v>
      </c>
    </row>
    <row r="10" spans="1:19">
      <c r="A10" s="373" t="s">
        <v>496</v>
      </c>
      <c r="B10" s="373" t="s">
        <v>1068</v>
      </c>
      <c r="C10" s="373" t="s">
        <v>735</v>
      </c>
      <c r="D10" s="373" t="s">
        <v>821</v>
      </c>
      <c r="E10" s="373" t="s">
        <v>1069</v>
      </c>
      <c r="F10" s="1129">
        <v>100300</v>
      </c>
      <c r="H10" s="778">
        <v>100300</v>
      </c>
      <c r="I10" s="778">
        <v>100300</v>
      </c>
      <c r="J10" s="778">
        <v>0</v>
      </c>
      <c r="K10" s="778" t="s">
        <v>1692</v>
      </c>
      <c r="L10" s="1137">
        <f t="shared" si="1"/>
        <v>0.61864406779661019</v>
      </c>
      <c r="M10" s="778">
        <v>62050</v>
      </c>
      <c r="N10" s="778">
        <f t="shared" si="2"/>
        <v>38250</v>
      </c>
      <c r="O10" s="778">
        <v>38250</v>
      </c>
    </row>
    <row r="11" spans="1:19">
      <c r="A11" s="373" t="s">
        <v>496</v>
      </c>
      <c r="B11" s="373" t="s">
        <v>1068</v>
      </c>
      <c r="C11" s="373" t="s">
        <v>330</v>
      </c>
      <c r="D11" s="373" t="s">
        <v>1545</v>
      </c>
      <c r="E11" s="373" t="s">
        <v>1546</v>
      </c>
      <c r="F11" s="1129">
        <v>206500</v>
      </c>
      <c r="H11" s="778">
        <v>206500</v>
      </c>
      <c r="I11" s="778">
        <v>0</v>
      </c>
      <c r="J11" s="778">
        <v>206500</v>
      </c>
      <c r="L11" s="1137">
        <f t="shared" si="1"/>
        <v>0</v>
      </c>
      <c r="N11" s="778">
        <f t="shared" si="2"/>
        <v>206500</v>
      </c>
      <c r="P11" s="778">
        <v>206500</v>
      </c>
    </row>
    <row r="12" spans="1:19">
      <c r="A12" s="373" t="s">
        <v>496</v>
      </c>
      <c r="B12" s="373" t="s">
        <v>1068</v>
      </c>
      <c r="C12" s="373" t="s">
        <v>327</v>
      </c>
      <c r="D12" s="373" t="s">
        <v>1693</v>
      </c>
      <c r="E12" s="373" t="s">
        <v>1694</v>
      </c>
      <c r="F12" s="1129">
        <v>435483</v>
      </c>
      <c r="H12" s="778">
        <v>435483</v>
      </c>
      <c r="I12" s="778">
        <v>0</v>
      </c>
      <c r="J12" s="778">
        <v>435483</v>
      </c>
      <c r="L12" s="1137">
        <f t="shared" si="1"/>
        <v>0</v>
      </c>
      <c r="N12" s="778">
        <f t="shared" si="2"/>
        <v>435483</v>
      </c>
      <c r="P12" s="778">
        <v>435483</v>
      </c>
    </row>
    <row r="13" spans="1:19" s="1134" customFormat="1">
      <c r="A13" s="1134" t="s">
        <v>298</v>
      </c>
      <c r="E13" s="1135">
        <f>SUM(E5:E12)</f>
        <v>0</v>
      </c>
      <c r="F13" s="1135">
        <f t="shared" ref="F13:S13" si="3">SUM(F5:F12)</f>
        <v>2708450.23</v>
      </c>
      <c r="G13" s="1135">
        <f t="shared" si="3"/>
        <v>0</v>
      </c>
      <c r="H13" s="1135">
        <f t="shared" si="3"/>
        <v>2708450.23</v>
      </c>
      <c r="I13" s="1135">
        <f t="shared" si="3"/>
        <v>1961578.3399999999</v>
      </c>
      <c r="J13" s="1135">
        <f t="shared" si="3"/>
        <v>746871.89</v>
      </c>
      <c r="K13" s="1135">
        <f t="shared" si="3"/>
        <v>0</v>
      </c>
      <c r="L13" s="1135">
        <f t="shared" si="3"/>
        <v>1.981662963231785</v>
      </c>
      <c r="M13" s="1135">
        <f t="shared" si="3"/>
        <v>375050</v>
      </c>
      <c r="N13" s="1135">
        <f t="shared" si="3"/>
        <v>2333400.23</v>
      </c>
      <c r="O13" s="1135">
        <f t="shared" si="3"/>
        <v>147845.59999999998</v>
      </c>
      <c r="P13" s="1135">
        <f t="shared" si="3"/>
        <v>1471715.42</v>
      </c>
      <c r="Q13" s="1135">
        <f t="shared" si="3"/>
        <v>713839.21</v>
      </c>
      <c r="R13" s="1135">
        <f t="shared" si="3"/>
        <v>0</v>
      </c>
      <c r="S13" s="1135">
        <f t="shared" si="3"/>
        <v>0</v>
      </c>
    </row>
    <row r="14" spans="1:19">
      <c r="L14" s="1137"/>
    </row>
    <row r="15" spans="1:19">
      <c r="A15" s="373" t="s">
        <v>1071</v>
      </c>
      <c r="B15" s="373" t="s">
        <v>1072</v>
      </c>
      <c r="C15" s="373" t="s">
        <v>1031</v>
      </c>
      <c r="D15" s="373" t="s">
        <v>1075</v>
      </c>
      <c r="E15" s="373" t="s">
        <v>1076</v>
      </c>
      <c r="F15" s="1129">
        <v>27446.2</v>
      </c>
      <c r="H15" s="778">
        <v>27446.2</v>
      </c>
      <c r="I15" s="778">
        <v>27446.2</v>
      </c>
      <c r="J15" s="778">
        <v>0</v>
      </c>
      <c r="L15" s="1137">
        <f t="shared" ref="L15:L27" si="4">+M15/H15</f>
        <v>0</v>
      </c>
      <c r="N15" s="778">
        <f t="shared" si="2"/>
        <v>27446.2</v>
      </c>
      <c r="O15" s="778">
        <v>27446.2</v>
      </c>
    </row>
    <row r="16" spans="1:19">
      <c r="A16" s="373" t="s">
        <v>1071</v>
      </c>
      <c r="B16" s="373" t="s">
        <v>1072</v>
      </c>
      <c r="C16" s="373" t="s">
        <v>1043</v>
      </c>
      <c r="D16" s="373" t="s">
        <v>1695</v>
      </c>
      <c r="E16" s="373" t="s">
        <v>1696</v>
      </c>
      <c r="F16" s="1129">
        <v>20520</v>
      </c>
      <c r="H16" s="778">
        <v>20520</v>
      </c>
      <c r="I16" s="778">
        <v>0</v>
      </c>
      <c r="J16" s="778">
        <v>20520</v>
      </c>
      <c r="L16" s="1137">
        <f t="shared" si="4"/>
        <v>0</v>
      </c>
      <c r="N16" s="778">
        <f t="shared" si="2"/>
        <v>20520</v>
      </c>
      <c r="O16" s="778">
        <v>20520</v>
      </c>
    </row>
    <row r="17" spans="1:19">
      <c r="A17" s="373" t="s">
        <v>508</v>
      </c>
      <c r="B17" s="373" t="s">
        <v>1079</v>
      </c>
      <c r="C17" s="373" t="s">
        <v>1031</v>
      </c>
      <c r="D17" s="373" t="s">
        <v>1075</v>
      </c>
      <c r="E17" s="373" t="s">
        <v>1076</v>
      </c>
      <c r="F17" s="1129">
        <v>60000</v>
      </c>
      <c r="H17" s="778">
        <v>60000</v>
      </c>
      <c r="I17" s="778">
        <v>60000</v>
      </c>
      <c r="J17" s="778">
        <v>0</v>
      </c>
      <c r="L17" s="1137">
        <f t="shared" si="4"/>
        <v>0</v>
      </c>
      <c r="N17" s="778">
        <f t="shared" si="2"/>
        <v>60000</v>
      </c>
      <c r="O17" s="778">
        <v>60000</v>
      </c>
    </row>
    <row r="18" spans="1:19">
      <c r="A18" s="373" t="s">
        <v>508</v>
      </c>
      <c r="B18" s="373" t="s">
        <v>1079</v>
      </c>
      <c r="C18" s="373" t="s">
        <v>715</v>
      </c>
      <c r="D18" s="373" t="s">
        <v>1080</v>
      </c>
      <c r="E18" s="373" t="s">
        <v>1081</v>
      </c>
      <c r="F18" s="1129">
        <v>3209516.66</v>
      </c>
      <c r="G18" s="1132">
        <v>107489.81</v>
      </c>
      <c r="H18" s="778">
        <v>3317006.47</v>
      </c>
      <c r="I18" s="778">
        <v>3317006.47</v>
      </c>
      <c r="J18" s="778">
        <v>626845.52</v>
      </c>
      <c r="K18" s="778" t="s">
        <v>1697</v>
      </c>
      <c r="L18" s="1137">
        <f t="shared" si="4"/>
        <v>0.96472528134682833</v>
      </c>
      <c r="M18" s="778">
        <v>3200000</v>
      </c>
      <c r="N18" s="778">
        <f t="shared" si="2"/>
        <v>117006.4700000002</v>
      </c>
      <c r="O18" s="778">
        <v>117006.4700000002</v>
      </c>
    </row>
    <row r="19" spans="1:19">
      <c r="A19" s="373" t="s">
        <v>1331</v>
      </c>
      <c r="B19" s="373" t="s">
        <v>1332</v>
      </c>
      <c r="C19" s="373" t="s">
        <v>317</v>
      </c>
      <c r="D19" s="373" t="s">
        <v>1698</v>
      </c>
      <c r="E19" s="373" t="s">
        <v>1699</v>
      </c>
      <c r="F19" s="1129">
        <v>342033.18</v>
      </c>
      <c r="H19" s="778">
        <v>342033.18</v>
      </c>
      <c r="I19" s="778">
        <v>342033.18</v>
      </c>
      <c r="J19" s="778">
        <v>0</v>
      </c>
      <c r="L19" s="1137">
        <f t="shared" si="4"/>
        <v>0</v>
      </c>
      <c r="N19" s="778">
        <f t="shared" si="2"/>
        <v>342033.18</v>
      </c>
      <c r="P19" s="778">
        <v>342033.18</v>
      </c>
    </row>
    <row r="20" spans="1:19">
      <c r="A20" s="373" t="s">
        <v>1331</v>
      </c>
      <c r="B20" s="373" t="s">
        <v>1332</v>
      </c>
      <c r="C20" s="373" t="s">
        <v>317</v>
      </c>
      <c r="D20" s="373" t="s">
        <v>1333</v>
      </c>
      <c r="E20" s="373" t="s">
        <v>1551</v>
      </c>
      <c r="F20" s="1129">
        <v>405023.2</v>
      </c>
      <c r="H20" s="778">
        <v>405023.2</v>
      </c>
      <c r="I20" s="778">
        <v>405023.2</v>
      </c>
      <c r="J20" s="778">
        <v>0</v>
      </c>
      <c r="K20" s="778" t="s">
        <v>1684</v>
      </c>
      <c r="L20" s="1137">
        <f t="shared" si="4"/>
        <v>0</v>
      </c>
      <c r="N20" s="778">
        <f t="shared" si="2"/>
        <v>405023.2</v>
      </c>
      <c r="O20" s="1138">
        <v>405023.2</v>
      </c>
    </row>
    <row r="21" spans="1:19">
      <c r="A21" s="373" t="s">
        <v>1331</v>
      </c>
      <c r="B21" s="373" t="s">
        <v>1332</v>
      </c>
      <c r="C21" s="373" t="s">
        <v>317</v>
      </c>
      <c r="D21" s="373" t="s">
        <v>1552</v>
      </c>
      <c r="E21" s="373" t="s">
        <v>1553</v>
      </c>
      <c r="F21" s="1129">
        <v>487071.07</v>
      </c>
      <c r="H21" s="778">
        <v>487071.07</v>
      </c>
      <c r="I21" s="778">
        <v>487071.07</v>
      </c>
      <c r="J21" s="778">
        <v>0</v>
      </c>
      <c r="L21" s="1137">
        <f t="shared" si="4"/>
        <v>0</v>
      </c>
      <c r="N21" s="778">
        <f t="shared" si="2"/>
        <v>487071.07</v>
      </c>
      <c r="O21" s="778">
        <v>487071.07</v>
      </c>
    </row>
    <row r="22" spans="1:19">
      <c r="A22" s="373" t="s">
        <v>1331</v>
      </c>
      <c r="B22" s="373" t="s">
        <v>1332</v>
      </c>
      <c r="C22" s="373" t="s">
        <v>317</v>
      </c>
      <c r="D22" s="373" t="s">
        <v>1549</v>
      </c>
      <c r="E22" s="373" t="s">
        <v>1550</v>
      </c>
      <c r="F22" s="1129">
        <v>469430.56</v>
      </c>
      <c r="H22" s="778">
        <v>469430.56</v>
      </c>
      <c r="I22" s="778">
        <v>469430.56</v>
      </c>
      <c r="J22" s="778">
        <v>0</v>
      </c>
      <c r="L22" s="1137">
        <f t="shared" si="4"/>
        <v>0</v>
      </c>
      <c r="N22" s="778">
        <f t="shared" si="2"/>
        <v>469430.56</v>
      </c>
      <c r="P22" s="778">
        <v>469430.56</v>
      </c>
    </row>
    <row r="23" spans="1:19">
      <c r="A23" s="373" t="s">
        <v>1095</v>
      </c>
      <c r="B23" s="373" t="s">
        <v>1096</v>
      </c>
      <c r="C23" s="373" t="s">
        <v>715</v>
      </c>
      <c r="D23" s="373" t="s">
        <v>1097</v>
      </c>
      <c r="E23" s="373" t="s">
        <v>1098</v>
      </c>
      <c r="F23" s="1129">
        <v>213877.56</v>
      </c>
      <c r="G23" s="1132">
        <v>167734.70000000001</v>
      </c>
      <c r="H23" s="778">
        <v>381612.26</v>
      </c>
      <c r="I23" s="778">
        <v>250795.93</v>
      </c>
      <c r="J23" s="778">
        <v>130816.33</v>
      </c>
      <c r="L23" s="1137">
        <f t="shared" si="4"/>
        <v>0</v>
      </c>
      <c r="N23" s="778">
        <f t="shared" si="2"/>
        <v>381612.26</v>
      </c>
      <c r="O23" s="778">
        <v>381612.26</v>
      </c>
    </row>
    <row r="24" spans="1:19">
      <c r="A24" s="373" t="s">
        <v>1095</v>
      </c>
      <c r="B24" s="373" t="s">
        <v>1096</v>
      </c>
      <c r="C24" s="373" t="s">
        <v>1700</v>
      </c>
      <c r="D24" s="373" t="s">
        <v>1701</v>
      </c>
      <c r="E24" s="373" t="s">
        <v>1702</v>
      </c>
      <c r="F24" s="1129">
        <v>85550</v>
      </c>
      <c r="H24" s="778">
        <v>85550</v>
      </c>
      <c r="I24" s="778">
        <v>0</v>
      </c>
      <c r="J24" s="778">
        <v>85550</v>
      </c>
      <c r="L24" s="1137">
        <f t="shared" si="4"/>
        <v>0</v>
      </c>
      <c r="N24" s="778">
        <f t="shared" si="2"/>
        <v>85550</v>
      </c>
      <c r="O24" s="778">
        <v>85550</v>
      </c>
    </row>
    <row r="25" spans="1:19">
      <c r="A25" s="373" t="s">
        <v>1105</v>
      </c>
      <c r="B25" s="373" t="s">
        <v>1106</v>
      </c>
      <c r="C25" s="373" t="s">
        <v>715</v>
      </c>
      <c r="D25" s="373" t="s">
        <v>1097</v>
      </c>
      <c r="E25" s="373" t="s">
        <v>1098</v>
      </c>
      <c r="F25" s="1129">
        <v>163265.32</v>
      </c>
      <c r="G25" s="1132">
        <v>28571.439999999999</v>
      </c>
      <c r="H25" s="778">
        <v>191836.76</v>
      </c>
      <c r="I25" s="778">
        <v>151020.43</v>
      </c>
      <c r="J25" s="778">
        <v>40816.33</v>
      </c>
      <c r="L25" s="1137">
        <f t="shared" si="4"/>
        <v>0</v>
      </c>
      <c r="N25" s="778">
        <f t="shared" si="2"/>
        <v>191836.76</v>
      </c>
      <c r="O25" s="778">
        <v>191836.76</v>
      </c>
    </row>
    <row r="26" spans="1:19">
      <c r="A26" s="373" t="s">
        <v>1107</v>
      </c>
      <c r="B26" s="373" t="s">
        <v>1108</v>
      </c>
      <c r="C26" s="373" t="s">
        <v>1084</v>
      </c>
      <c r="D26" s="373" t="s">
        <v>1085</v>
      </c>
      <c r="E26" s="373" t="s">
        <v>1086</v>
      </c>
      <c r="F26" s="1129">
        <v>24485014.929999996</v>
      </c>
      <c r="H26" s="778">
        <v>24485014.929999996</v>
      </c>
      <c r="I26" s="778">
        <v>14291211.33</v>
      </c>
      <c r="J26" s="778">
        <v>0</v>
      </c>
      <c r="L26" s="1137">
        <f t="shared" si="4"/>
        <v>0.40841306523965437</v>
      </c>
      <c r="M26" s="778">
        <v>10000000</v>
      </c>
      <c r="N26" s="778">
        <f t="shared" si="2"/>
        <v>14485014.929999996</v>
      </c>
      <c r="O26" s="1138">
        <v>5000000</v>
      </c>
      <c r="P26" s="778">
        <v>5000000</v>
      </c>
      <c r="Q26" s="778">
        <v>4485014.93</v>
      </c>
      <c r="R26" s="778">
        <v>0</v>
      </c>
    </row>
    <row r="27" spans="1:19">
      <c r="A27" s="373" t="s">
        <v>1109</v>
      </c>
      <c r="B27" s="373" t="s">
        <v>1110</v>
      </c>
      <c r="C27" s="373" t="s">
        <v>1111</v>
      </c>
      <c r="D27" s="373" t="s">
        <v>1112</v>
      </c>
      <c r="E27" s="373" t="s">
        <v>1113</v>
      </c>
      <c r="F27" s="1129">
        <v>879749.12</v>
      </c>
      <c r="G27" s="1132">
        <v>2604.7600000000002</v>
      </c>
      <c r="H27" s="778">
        <v>882353.88</v>
      </c>
      <c r="I27" s="778">
        <v>882353.88</v>
      </c>
      <c r="J27" s="778">
        <v>0</v>
      </c>
      <c r="K27" s="778" t="s">
        <v>1703</v>
      </c>
      <c r="L27" s="1137">
        <f t="shared" si="4"/>
        <v>0.68762279370268087</v>
      </c>
      <c r="M27" s="778">
        <v>606726.64</v>
      </c>
      <c r="N27" s="778">
        <f t="shared" si="2"/>
        <v>275627.24</v>
      </c>
      <c r="O27" s="778">
        <v>275627.24</v>
      </c>
    </row>
    <row r="28" spans="1:19">
      <c r="E28" s="1385" t="s">
        <v>1226</v>
      </c>
      <c r="F28" s="1386"/>
      <c r="G28" s="1387"/>
      <c r="H28" s="1388">
        <v>5283734</v>
      </c>
      <c r="I28" s="1388"/>
      <c r="J28" s="1388"/>
      <c r="K28" s="1388"/>
      <c r="L28" s="1389"/>
      <c r="M28" s="1388"/>
      <c r="N28" s="1388">
        <f t="shared" si="2"/>
        <v>5283734</v>
      </c>
      <c r="O28" s="1388"/>
      <c r="P28" s="1388">
        <v>1500000</v>
      </c>
      <c r="Q28" s="1388">
        <v>2000000</v>
      </c>
      <c r="R28" s="1388">
        <v>1183734</v>
      </c>
      <c r="S28" s="1388">
        <v>600000</v>
      </c>
    </row>
    <row r="29" spans="1:19">
      <c r="E29" s="1385" t="s">
        <v>1227</v>
      </c>
      <c r="F29" s="1386"/>
      <c r="G29" s="1387"/>
      <c r="H29" s="1388">
        <v>7782000</v>
      </c>
      <c r="I29" s="1388"/>
      <c r="J29" s="1388"/>
      <c r="K29" s="1388"/>
      <c r="L29" s="1389"/>
      <c r="M29" s="1388"/>
      <c r="N29" s="1388">
        <f t="shared" si="2"/>
        <v>7782000</v>
      </c>
      <c r="O29" s="1388"/>
      <c r="P29" s="1388"/>
      <c r="Q29" s="1388">
        <v>2500000</v>
      </c>
      <c r="R29" s="1388">
        <v>2500000</v>
      </c>
      <c r="S29" s="1388">
        <v>2782000</v>
      </c>
    </row>
    <row r="30" spans="1:19" s="1134" customFormat="1">
      <c r="A30" s="1134" t="s">
        <v>271</v>
      </c>
      <c r="E30" s="1135">
        <f>SUM(E18:E29)</f>
        <v>0</v>
      </c>
      <c r="F30" s="1135">
        <f t="shared" ref="F30:G30" si="5">SUM(F18:F29)</f>
        <v>30740531.599999998</v>
      </c>
      <c r="G30" s="1135">
        <f t="shared" si="5"/>
        <v>306400.71000000002</v>
      </c>
      <c r="H30" s="1135">
        <f>SUM(H15:H29)</f>
        <v>44220632.50999999</v>
      </c>
      <c r="I30" s="1135">
        <f t="shared" ref="I30:S30" si="6">SUM(I15:I29)</f>
        <v>20683392.25</v>
      </c>
      <c r="J30" s="1135">
        <f t="shared" si="6"/>
        <v>904548.17999999993</v>
      </c>
      <c r="K30" s="1135">
        <f t="shared" si="6"/>
        <v>0</v>
      </c>
      <c r="L30" s="1135">
        <f t="shared" si="6"/>
        <v>2.0607611402891637</v>
      </c>
      <c r="M30" s="1135">
        <f t="shared" si="6"/>
        <v>13806726.640000001</v>
      </c>
      <c r="N30" s="1135">
        <f t="shared" si="6"/>
        <v>30413905.869999994</v>
      </c>
      <c r="O30" s="1135">
        <f t="shared" si="6"/>
        <v>7051693.2000000002</v>
      </c>
      <c r="P30" s="1135">
        <f t="shared" si="6"/>
        <v>7311463.7400000002</v>
      </c>
      <c r="Q30" s="1135">
        <f t="shared" si="6"/>
        <v>8985014.9299999997</v>
      </c>
      <c r="R30" s="1135">
        <f t="shared" si="6"/>
        <v>3683734</v>
      </c>
      <c r="S30" s="1135">
        <f t="shared" si="6"/>
        <v>3382000</v>
      </c>
    </row>
    <row r="31" spans="1:19">
      <c r="L31" s="1137"/>
    </row>
    <row r="32" spans="1:19">
      <c r="E32" s="373" t="s">
        <v>1556</v>
      </c>
      <c r="H32" s="778">
        <v>2534821.4840000002</v>
      </c>
      <c r="L32" s="1137"/>
      <c r="N32" s="778">
        <f t="shared" ref="N32" si="7">+H32-M32</f>
        <v>2534821.4840000002</v>
      </c>
      <c r="O32" s="778">
        <v>506964.29680000001</v>
      </c>
      <c r="P32" s="778">
        <v>506964.29680000001</v>
      </c>
      <c r="Q32" s="778">
        <v>506964.29680000001</v>
      </c>
      <c r="R32" s="778">
        <v>506964.29680000001</v>
      </c>
      <c r="S32" s="778">
        <v>506964.29680000001</v>
      </c>
    </row>
    <row r="33" spans="1:19" s="1134" customFormat="1">
      <c r="A33" s="1134" t="s">
        <v>1556</v>
      </c>
      <c r="E33" s="1135">
        <f>SUM(E21:E32)</f>
        <v>0</v>
      </c>
      <c r="F33" s="1135">
        <f t="shared" ref="F33:G33" si="8">SUM(F21:F32)</f>
        <v>57524490.159999996</v>
      </c>
      <c r="G33" s="1135">
        <f t="shared" si="8"/>
        <v>505311.61000000004</v>
      </c>
      <c r="H33" s="1135">
        <f>SUM(H32)</f>
        <v>2534821.4840000002</v>
      </c>
      <c r="I33" s="1135">
        <f t="shared" ref="I33:S33" si="9">SUM(I32)</f>
        <v>0</v>
      </c>
      <c r="J33" s="1135">
        <f t="shared" si="9"/>
        <v>0</v>
      </c>
      <c r="K33" s="1135">
        <f t="shared" si="9"/>
        <v>0</v>
      </c>
      <c r="L33" s="1135">
        <f t="shared" si="9"/>
        <v>0</v>
      </c>
      <c r="M33" s="1135">
        <f t="shared" si="9"/>
        <v>0</v>
      </c>
      <c r="N33" s="1135">
        <f t="shared" si="9"/>
        <v>2534821.4840000002</v>
      </c>
      <c r="O33" s="1135">
        <f t="shared" si="9"/>
        <v>506964.29680000001</v>
      </c>
      <c r="P33" s="1135">
        <f t="shared" si="9"/>
        <v>506964.29680000001</v>
      </c>
      <c r="Q33" s="1135">
        <f t="shared" si="9"/>
        <v>506964.29680000001</v>
      </c>
      <c r="R33" s="1135">
        <f t="shared" si="9"/>
        <v>506964.29680000001</v>
      </c>
      <c r="S33" s="1135">
        <f t="shared" si="9"/>
        <v>506964.29680000001</v>
      </c>
    </row>
    <row r="34" spans="1:19">
      <c r="L34" s="1137"/>
    </row>
    <row r="35" spans="1:19">
      <c r="E35" s="1385" t="s">
        <v>1229</v>
      </c>
      <c r="F35" s="1386"/>
      <c r="G35" s="1387"/>
      <c r="H35" s="1388">
        <v>19700000</v>
      </c>
      <c r="I35" s="1388"/>
      <c r="J35" s="1388"/>
      <c r="K35" s="1388"/>
      <c r="L35" s="1389"/>
      <c r="M35" s="1388"/>
      <c r="N35" s="1388">
        <f t="shared" ref="N35" si="10">+H35-M35</f>
        <v>19700000</v>
      </c>
      <c r="O35" s="1388"/>
      <c r="P35" s="1388">
        <v>3000000</v>
      </c>
      <c r="Q35" s="1388">
        <v>5700000</v>
      </c>
      <c r="R35" s="1388">
        <v>5000000</v>
      </c>
      <c r="S35" s="1388">
        <v>6000000</v>
      </c>
    </row>
    <row r="36" spans="1:19" s="1134" customFormat="1">
      <c r="A36" s="1134" t="s">
        <v>1400</v>
      </c>
      <c r="E36" s="1135">
        <f>SUM(E24:E35)</f>
        <v>0</v>
      </c>
      <c r="F36" s="1135">
        <f t="shared" ref="F36:G36" si="11">SUM(F24:F35)</f>
        <v>113878601.13</v>
      </c>
      <c r="G36" s="1135">
        <f t="shared" si="11"/>
        <v>842888.52</v>
      </c>
      <c r="H36" s="1135">
        <f>SUM(H35)</f>
        <v>19700000</v>
      </c>
      <c r="I36" s="1135">
        <f t="shared" ref="I36:S36" si="12">SUM(I35)</f>
        <v>0</v>
      </c>
      <c r="J36" s="1135">
        <f t="shared" si="12"/>
        <v>0</v>
      </c>
      <c r="K36" s="1135">
        <f t="shared" si="12"/>
        <v>0</v>
      </c>
      <c r="L36" s="1135">
        <f t="shared" si="12"/>
        <v>0</v>
      </c>
      <c r="M36" s="1135">
        <f t="shared" si="12"/>
        <v>0</v>
      </c>
      <c r="N36" s="1135">
        <f t="shared" si="12"/>
        <v>19700000</v>
      </c>
      <c r="O36" s="1135">
        <f t="shared" si="12"/>
        <v>0</v>
      </c>
      <c r="P36" s="1135">
        <f t="shared" si="12"/>
        <v>3000000</v>
      </c>
      <c r="Q36" s="1135">
        <f t="shared" si="12"/>
        <v>5700000</v>
      </c>
      <c r="R36" s="1135">
        <f t="shared" si="12"/>
        <v>5000000</v>
      </c>
      <c r="S36" s="1135">
        <f t="shared" si="12"/>
        <v>6000000</v>
      </c>
    </row>
    <row r="37" spans="1:19" s="1140" customFormat="1">
      <c r="E37" s="1141"/>
      <c r="F37" s="1141"/>
      <c r="G37" s="1141"/>
      <c r="H37" s="1141"/>
      <c r="I37" s="1141"/>
      <c r="J37" s="1141"/>
      <c r="K37" s="1141"/>
      <c r="L37" s="1141"/>
      <c r="M37" s="1141"/>
      <c r="N37" s="1141"/>
      <c r="O37" s="1141"/>
      <c r="P37" s="1141"/>
      <c r="Q37" s="1141"/>
      <c r="R37" s="1141"/>
      <c r="S37" s="1141"/>
    </row>
    <row r="38" spans="1:19">
      <c r="A38" s="373" t="s">
        <v>595</v>
      </c>
      <c r="B38" s="373" t="s">
        <v>1121</v>
      </c>
      <c r="C38" s="373" t="s">
        <v>715</v>
      </c>
      <c r="D38" s="373" t="s">
        <v>1557</v>
      </c>
      <c r="E38" s="373" t="s">
        <v>1558</v>
      </c>
      <c r="F38" s="1129">
        <v>2360000</v>
      </c>
      <c r="H38" s="778">
        <v>2360000</v>
      </c>
      <c r="I38" s="778">
        <v>2360000</v>
      </c>
      <c r="J38" s="778">
        <v>0</v>
      </c>
      <c r="K38" s="778" t="s">
        <v>1704</v>
      </c>
      <c r="L38" s="1137">
        <f>+M38/H38</f>
        <v>0</v>
      </c>
      <c r="N38" s="778">
        <f t="shared" si="2"/>
        <v>2360000</v>
      </c>
      <c r="O38" s="1138">
        <v>2360000</v>
      </c>
    </row>
    <row r="39" spans="1:19">
      <c r="A39" s="373" t="s">
        <v>595</v>
      </c>
      <c r="B39" s="373" t="s">
        <v>1121</v>
      </c>
      <c r="C39" s="373" t="s">
        <v>715</v>
      </c>
      <c r="D39" s="373" t="s">
        <v>1080</v>
      </c>
      <c r="E39" s="373" t="s">
        <v>1081</v>
      </c>
      <c r="F39" s="1129">
        <v>378722.97</v>
      </c>
      <c r="G39" s="1132">
        <v>12683.8</v>
      </c>
      <c r="H39" s="778">
        <v>391406.77</v>
      </c>
      <c r="I39" s="778">
        <v>391406.77</v>
      </c>
      <c r="J39" s="778">
        <v>86651.58</v>
      </c>
      <c r="K39" s="778" t="s">
        <v>1704</v>
      </c>
      <c r="L39" s="1137">
        <f>+M39/H39</f>
        <v>0</v>
      </c>
      <c r="N39" s="778">
        <f t="shared" si="2"/>
        <v>391406.77</v>
      </c>
      <c r="O39" s="1138">
        <v>391406.77</v>
      </c>
    </row>
    <row r="40" spans="1:19">
      <c r="A40" s="373" t="s">
        <v>595</v>
      </c>
      <c r="B40" s="373" t="s">
        <v>1121</v>
      </c>
      <c r="C40" s="373" t="s">
        <v>715</v>
      </c>
      <c r="D40" s="373" t="s">
        <v>1097</v>
      </c>
      <c r="E40" s="373" t="s">
        <v>1098</v>
      </c>
      <c r="G40" s="1132">
        <v>82287.179999999993</v>
      </c>
      <c r="H40" s="778">
        <v>82287.179999999993</v>
      </c>
      <c r="I40" s="778">
        <v>57857.34</v>
      </c>
      <c r="J40" s="778">
        <v>24429.84</v>
      </c>
      <c r="L40" s="1137">
        <f>+M40/H40</f>
        <v>0</v>
      </c>
      <c r="N40" s="778">
        <f t="shared" si="2"/>
        <v>82287.179999999993</v>
      </c>
      <c r="O40" s="778">
        <v>82287.179999999993</v>
      </c>
    </row>
    <row r="41" spans="1:19">
      <c r="E41" s="373" t="s">
        <v>272</v>
      </c>
      <c r="H41" s="778">
        <v>9440000</v>
      </c>
      <c r="L41" s="1137"/>
      <c r="N41" s="778">
        <f t="shared" si="2"/>
        <v>9440000</v>
      </c>
      <c r="O41" s="778">
        <v>2360000</v>
      </c>
      <c r="P41" s="778">
        <v>2360000</v>
      </c>
      <c r="Q41" s="778">
        <v>2360000</v>
      </c>
      <c r="R41" s="778">
        <v>2360000</v>
      </c>
      <c r="S41" s="778">
        <v>2360000</v>
      </c>
    </row>
    <row r="42" spans="1:19" s="1134" customFormat="1">
      <c r="A42" s="1134" t="s">
        <v>379</v>
      </c>
      <c r="E42" s="1135">
        <f>SUM(E29:E40)</f>
        <v>0</v>
      </c>
      <c r="F42" s="1135">
        <f t="shared" ref="F42:G42" si="13">SUM(F29:F40)</f>
        <v>204882345.85999998</v>
      </c>
      <c r="G42" s="1135">
        <f t="shared" si="13"/>
        <v>1749571.82</v>
      </c>
      <c r="H42" s="1135">
        <f>SUM(H38:H41)</f>
        <v>12273693.949999999</v>
      </c>
      <c r="I42" s="1135">
        <f t="shared" ref="I42:S42" si="14">SUM(I38:I41)</f>
        <v>2809264.11</v>
      </c>
      <c r="J42" s="1135">
        <f t="shared" si="14"/>
        <v>111081.42</v>
      </c>
      <c r="K42" s="1135">
        <f t="shared" si="14"/>
        <v>0</v>
      </c>
      <c r="L42" s="1135">
        <f t="shared" si="14"/>
        <v>0</v>
      </c>
      <c r="M42" s="1135">
        <f t="shared" si="14"/>
        <v>0</v>
      </c>
      <c r="N42" s="1135">
        <f t="shared" si="14"/>
        <v>12273693.949999999</v>
      </c>
      <c r="O42" s="1135">
        <f t="shared" si="14"/>
        <v>5193693.95</v>
      </c>
      <c r="P42" s="1135">
        <f t="shared" si="14"/>
        <v>2360000</v>
      </c>
      <c r="Q42" s="1135">
        <f t="shared" si="14"/>
        <v>2360000</v>
      </c>
      <c r="R42" s="1135">
        <f t="shared" si="14"/>
        <v>2360000</v>
      </c>
      <c r="S42" s="1135">
        <f t="shared" si="14"/>
        <v>2360000</v>
      </c>
    </row>
    <row r="43" spans="1:19">
      <c r="L43" s="1137"/>
    </row>
    <row r="44" spans="1:19">
      <c r="A44" s="373" t="s">
        <v>598</v>
      </c>
      <c r="B44" s="373" t="s">
        <v>1341</v>
      </c>
      <c r="C44" s="373" t="s">
        <v>715</v>
      </c>
      <c r="D44" s="373" t="s">
        <v>1342</v>
      </c>
      <c r="E44" s="373" t="s">
        <v>1343</v>
      </c>
      <c r="F44" s="1129">
        <v>54785.34</v>
      </c>
      <c r="H44" s="778">
        <v>54785.34</v>
      </c>
      <c r="I44" s="778">
        <v>54785.34</v>
      </c>
      <c r="J44" s="778">
        <v>0</v>
      </c>
      <c r="K44" s="778" t="s">
        <v>1704</v>
      </c>
      <c r="L44" s="1137">
        <f>+M44/H44</f>
        <v>0</v>
      </c>
      <c r="N44" s="778">
        <f t="shared" si="2"/>
        <v>54785.34</v>
      </c>
      <c r="O44" s="1138">
        <v>54785.34</v>
      </c>
    </row>
    <row r="45" spans="1:19">
      <c r="A45" s="373" t="s">
        <v>598</v>
      </c>
      <c r="B45" s="373" t="s">
        <v>1341</v>
      </c>
      <c r="C45" s="373" t="s">
        <v>1045</v>
      </c>
      <c r="D45" s="373" t="s">
        <v>1344</v>
      </c>
      <c r="E45" s="373" t="s">
        <v>1345</v>
      </c>
      <c r="F45" s="1129">
        <v>92323.199999999997</v>
      </c>
      <c r="H45" s="778">
        <v>92323.199999999997</v>
      </c>
      <c r="I45" s="778">
        <v>92323.199999999997</v>
      </c>
      <c r="J45" s="778">
        <v>0</v>
      </c>
      <c r="K45" s="778" t="s">
        <v>1689</v>
      </c>
      <c r="L45" s="1137">
        <f>+M45/H45</f>
        <v>0</v>
      </c>
      <c r="N45" s="778">
        <f t="shared" si="2"/>
        <v>92323.199999999997</v>
      </c>
      <c r="O45" s="1138">
        <v>92323.199999999997</v>
      </c>
    </row>
    <row r="46" spans="1:19">
      <c r="A46" s="373" t="s">
        <v>598</v>
      </c>
      <c r="B46" s="373" t="s">
        <v>1341</v>
      </c>
      <c r="C46" s="373" t="s">
        <v>1045</v>
      </c>
      <c r="D46" s="373" t="s">
        <v>1560</v>
      </c>
      <c r="E46" s="373" t="s">
        <v>1561</v>
      </c>
      <c r="F46" s="1129">
        <v>92700.800000000003</v>
      </c>
      <c r="H46" s="778">
        <v>92700.800000000003</v>
      </c>
      <c r="I46" s="778">
        <v>92700.800000000003</v>
      </c>
      <c r="J46" s="778">
        <v>0</v>
      </c>
      <c r="L46" s="1137">
        <f>+M46/H46</f>
        <v>0</v>
      </c>
      <c r="N46" s="778">
        <f t="shared" si="2"/>
        <v>92700.800000000003</v>
      </c>
      <c r="O46" s="778">
        <v>92700.800000000003</v>
      </c>
    </row>
    <row r="47" spans="1:19">
      <c r="A47" s="373" t="s">
        <v>598</v>
      </c>
      <c r="B47" s="373" t="s">
        <v>1341</v>
      </c>
      <c r="C47" s="373" t="s">
        <v>1045</v>
      </c>
      <c r="D47" s="373" t="s">
        <v>1705</v>
      </c>
      <c r="E47" s="373" t="s">
        <v>1706</v>
      </c>
      <c r="F47" s="1129">
        <v>96854.399999999994</v>
      </c>
      <c r="H47" s="778">
        <v>96854.399999999994</v>
      </c>
      <c r="I47" s="778">
        <v>96854.399999999994</v>
      </c>
      <c r="J47" s="778">
        <v>0</v>
      </c>
      <c r="L47" s="1137">
        <f>+M47/H47</f>
        <v>0</v>
      </c>
      <c r="N47" s="778">
        <f t="shared" si="2"/>
        <v>96854.399999999994</v>
      </c>
      <c r="O47" s="778">
        <v>96854.399999999994</v>
      </c>
      <c r="P47" s="373"/>
    </row>
    <row r="48" spans="1:19">
      <c r="H48" s="778">
        <v>1400000</v>
      </c>
      <c r="L48" s="1137"/>
      <c r="N48" s="778">
        <f t="shared" ref="N48" si="15">+H48-M48</f>
        <v>1400000</v>
      </c>
      <c r="O48" s="778">
        <v>200000</v>
      </c>
      <c r="P48" s="778">
        <v>300000</v>
      </c>
      <c r="Q48" s="778">
        <v>300000</v>
      </c>
      <c r="R48" s="778">
        <v>300000</v>
      </c>
      <c r="S48" s="778">
        <v>300000</v>
      </c>
    </row>
    <row r="49" spans="1:19" s="1134" customFormat="1">
      <c r="A49" s="1134" t="s">
        <v>1707</v>
      </c>
      <c r="E49" s="1135">
        <f>SUM(E35:E46)</f>
        <v>0</v>
      </c>
      <c r="F49" s="1135">
        <f t="shared" ref="F49:G49" si="16">SUM(F35:F46)</f>
        <v>321739479.29999995</v>
      </c>
      <c r="G49" s="1135">
        <f t="shared" si="16"/>
        <v>2687431.3200000003</v>
      </c>
      <c r="H49" s="1135">
        <f>SUM(H44:H48)</f>
        <v>1736663.74</v>
      </c>
      <c r="I49" s="1135">
        <f t="shared" ref="I49:S49" si="17">SUM(I44:I48)</f>
        <v>336663.74</v>
      </c>
      <c r="J49" s="1135">
        <f t="shared" si="17"/>
        <v>0</v>
      </c>
      <c r="K49" s="1135">
        <f t="shared" si="17"/>
        <v>0</v>
      </c>
      <c r="L49" s="1135">
        <f t="shared" si="17"/>
        <v>0</v>
      </c>
      <c r="M49" s="1135">
        <f t="shared" si="17"/>
        <v>0</v>
      </c>
      <c r="N49" s="1135">
        <f t="shared" si="17"/>
        <v>1736663.74</v>
      </c>
      <c r="O49" s="1135">
        <f t="shared" si="17"/>
        <v>536663.74</v>
      </c>
      <c r="P49" s="1135">
        <f t="shared" si="17"/>
        <v>300000</v>
      </c>
      <c r="Q49" s="1135">
        <f t="shared" si="17"/>
        <v>300000</v>
      </c>
      <c r="R49" s="1135">
        <f t="shared" si="17"/>
        <v>300000</v>
      </c>
      <c r="S49" s="1135">
        <f t="shared" si="17"/>
        <v>300000</v>
      </c>
    </row>
    <row r="50" spans="1:19">
      <c r="L50" s="1137"/>
    </row>
    <row r="51" spans="1:19">
      <c r="A51" s="373" t="s">
        <v>601</v>
      </c>
      <c r="B51" s="373" t="s">
        <v>1708</v>
      </c>
      <c r="C51" s="373" t="s">
        <v>295</v>
      </c>
      <c r="D51" s="373" t="s">
        <v>1563</v>
      </c>
      <c r="E51" s="373" t="s">
        <v>1564</v>
      </c>
      <c r="F51" s="1129">
        <v>1770000</v>
      </c>
      <c r="H51" s="778">
        <v>1770000</v>
      </c>
      <c r="I51" s="778">
        <v>1770000</v>
      </c>
      <c r="J51" s="778">
        <v>0</v>
      </c>
      <c r="K51" s="778" t="s">
        <v>1709</v>
      </c>
      <c r="L51" s="1137">
        <f>+M51/H51</f>
        <v>0</v>
      </c>
      <c r="N51" s="778">
        <f t="shared" si="2"/>
        <v>1770000</v>
      </c>
      <c r="O51" s="1138">
        <v>1770000</v>
      </c>
    </row>
    <row r="52" spans="1:19">
      <c r="A52" s="373" t="s">
        <v>601</v>
      </c>
      <c r="B52" s="373" t="s">
        <v>1708</v>
      </c>
      <c r="C52" s="373" t="s">
        <v>295</v>
      </c>
      <c r="D52" s="373" t="s">
        <v>1710</v>
      </c>
      <c r="E52" s="373" t="s">
        <v>1711</v>
      </c>
      <c r="F52" s="1129">
        <v>1770000</v>
      </c>
      <c r="H52" s="778">
        <v>1770000</v>
      </c>
      <c r="I52" s="778">
        <v>1770000</v>
      </c>
      <c r="J52" s="778">
        <v>0</v>
      </c>
      <c r="L52" s="1137">
        <f>+M52/H52</f>
        <v>0</v>
      </c>
      <c r="N52" s="778">
        <f t="shared" si="2"/>
        <v>1770000</v>
      </c>
      <c r="O52" s="778">
        <v>1770000</v>
      </c>
    </row>
    <row r="53" spans="1:19">
      <c r="E53" s="373" t="s">
        <v>1712</v>
      </c>
      <c r="H53" s="778">
        <v>7080000</v>
      </c>
      <c r="L53" s="1137"/>
      <c r="N53" s="778">
        <f t="shared" si="2"/>
        <v>7080000</v>
      </c>
      <c r="P53" s="778">
        <v>1770000</v>
      </c>
      <c r="Q53" s="778">
        <v>1770000</v>
      </c>
      <c r="R53" s="778">
        <v>1770000</v>
      </c>
      <c r="S53" s="778">
        <v>1770000</v>
      </c>
    </row>
    <row r="54" spans="1:19" s="1134" customFormat="1">
      <c r="A54" s="1134" t="s">
        <v>384</v>
      </c>
      <c r="E54" s="1135">
        <f>SUM(E40:E51)</f>
        <v>0</v>
      </c>
      <c r="F54" s="1135">
        <f t="shared" ref="F54:G54" si="18">SUM(F40:F51)</f>
        <v>528728488.89999998</v>
      </c>
      <c r="G54" s="1135">
        <f t="shared" si="18"/>
        <v>4519290.32</v>
      </c>
      <c r="H54" s="1135">
        <f>SUM(H51:H53)</f>
        <v>10620000</v>
      </c>
      <c r="I54" s="1135">
        <f t="shared" ref="I54:S54" si="19">SUM(I51:I53)</f>
        <v>3540000</v>
      </c>
      <c r="J54" s="1135">
        <f t="shared" si="19"/>
        <v>0</v>
      </c>
      <c r="K54" s="1135">
        <f t="shared" si="19"/>
        <v>0</v>
      </c>
      <c r="L54" s="1135">
        <f t="shared" si="19"/>
        <v>0</v>
      </c>
      <c r="M54" s="1135">
        <f t="shared" si="19"/>
        <v>0</v>
      </c>
      <c r="N54" s="1135">
        <f t="shared" si="19"/>
        <v>10620000</v>
      </c>
      <c r="O54" s="1135">
        <f t="shared" si="19"/>
        <v>3540000</v>
      </c>
      <c r="P54" s="1135">
        <f t="shared" si="19"/>
        <v>1770000</v>
      </c>
      <c r="Q54" s="1135">
        <f t="shared" si="19"/>
        <v>1770000</v>
      </c>
      <c r="R54" s="1135">
        <f t="shared" si="19"/>
        <v>1770000</v>
      </c>
      <c r="S54" s="1135">
        <f t="shared" si="19"/>
        <v>1770000</v>
      </c>
    </row>
    <row r="55" spans="1:19">
      <c r="L55" s="1137"/>
    </row>
    <row r="56" spans="1:19">
      <c r="L56" s="1137"/>
    </row>
    <row r="57" spans="1:19">
      <c r="L57" s="1137"/>
    </row>
    <row r="58" spans="1:19">
      <c r="A58" s="373" t="s">
        <v>607</v>
      </c>
      <c r="B58" s="373" t="s">
        <v>1346</v>
      </c>
      <c r="C58" s="373" t="s">
        <v>914</v>
      </c>
      <c r="D58" s="373" t="s">
        <v>1565</v>
      </c>
      <c r="E58" s="373" t="s">
        <v>1566</v>
      </c>
      <c r="F58" s="1129">
        <v>586949.81000000006</v>
      </c>
      <c r="H58" s="778">
        <v>601407.42000000004</v>
      </c>
      <c r="I58" s="778">
        <v>601407.42000000004</v>
      </c>
      <c r="J58" s="778">
        <v>0</v>
      </c>
      <c r="K58" s="778" t="s">
        <v>1684</v>
      </c>
      <c r="L58" s="1137">
        <f t="shared" ref="L58:L68" si="20">+M58/H58</f>
        <v>0.48798019485692401</v>
      </c>
      <c r="M58" s="778">
        <v>293474.90999999997</v>
      </c>
      <c r="N58" s="778">
        <f t="shared" ref="N58:N68" si="21">+H58-M58</f>
        <v>307932.51000000007</v>
      </c>
      <c r="O58" s="1138">
        <v>307932.51</v>
      </c>
    </row>
    <row r="59" spans="1:19">
      <c r="A59" s="373" t="s">
        <v>607</v>
      </c>
      <c r="B59" s="373" t="s">
        <v>1346</v>
      </c>
      <c r="C59" s="373" t="s">
        <v>1569</v>
      </c>
      <c r="D59" s="373" t="s">
        <v>1570</v>
      </c>
      <c r="E59" s="373" t="s">
        <v>1566</v>
      </c>
      <c r="F59" s="1129">
        <v>6059720.1399999997</v>
      </c>
      <c r="H59" s="778">
        <v>6059720.1399999997</v>
      </c>
      <c r="I59" s="778">
        <v>6059720.1399999997</v>
      </c>
      <c r="J59" s="778">
        <v>0</v>
      </c>
      <c r="K59" s="778" t="s">
        <v>1684</v>
      </c>
      <c r="L59" s="1137">
        <f t="shared" si="20"/>
        <v>0</v>
      </c>
      <c r="N59" s="778">
        <f t="shared" si="21"/>
        <v>6059720.1399999997</v>
      </c>
      <c r="O59" s="1138">
        <v>6059720.1399999997</v>
      </c>
    </row>
    <row r="60" spans="1:19" ht="10.95" customHeight="1">
      <c r="A60" s="373" t="s">
        <v>607</v>
      </c>
      <c r="B60" s="373" t="s">
        <v>1346</v>
      </c>
      <c r="C60" s="373" t="s">
        <v>914</v>
      </c>
      <c r="D60" s="373" t="s">
        <v>1573</v>
      </c>
      <c r="E60" s="373" t="s">
        <v>1572</v>
      </c>
      <c r="F60" s="1129">
        <v>3806961.31</v>
      </c>
      <c r="H60" s="778">
        <v>3806961.31</v>
      </c>
      <c r="I60" s="778">
        <v>3806961.31</v>
      </c>
      <c r="J60" s="778">
        <v>0</v>
      </c>
      <c r="K60" s="778" t="s">
        <v>1684</v>
      </c>
      <c r="L60" s="1137">
        <f t="shared" si="20"/>
        <v>0</v>
      </c>
      <c r="N60" s="778">
        <f t="shared" si="21"/>
        <v>3806961.31</v>
      </c>
      <c r="O60" s="1138">
        <v>3806961.31</v>
      </c>
    </row>
    <row r="61" spans="1:19" ht="10.95" customHeight="1">
      <c r="A61" s="373" t="s">
        <v>607</v>
      </c>
      <c r="B61" s="373" t="s">
        <v>1346</v>
      </c>
      <c r="C61" s="373" t="s">
        <v>389</v>
      </c>
      <c r="D61" s="373" t="s">
        <v>1571</v>
      </c>
      <c r="E61" s="373" t="s">
        <v>1572</v>
      </c>
      <c r="F61" s="1129">
        <v>1006538.05</v>
      </c>
      <c r="G61" s="1132">
        <v>40986.550000000003</v>
      </c>
      <c r="H61" s="778">
        <v>1047524.6</v>
      </c>
      <c r="I61" s="778">
        <v>1047524.6</v>
      </c>
      <c r="J61" s="778">
        <v>0</v>
      </c>
      <c r="K61" s="778" t="s">
        <v>1713</v>
      </c>
      <c r="L61" s="1137">
        <f t="shared" si="20"/>
        <v>0</v>
      </c>
      <c r="N61" s="778">
        <f t="shared" si="21"/>
        <v>1047524.6</v>
      </c>
      <c r="O61" s="1138">
        <v>1047524.6</v>
      </c>
    </row>
    <row r="62" spans="1:19">
      <c r="A62" s="373" t="s">
        <v>607</v>
      </c>
      <c r="B62" s="373" t="s">
        <v>1346</v>
      </c>
      <c r="C62" s="373" t="s">
        <v>389</v>
      </c>
      <c r="D62" s="373" t="s">
        <v>1714</v>
      </c>
      <c r="E62" s="373" t="s">
        <v>1715</v>
      </c>
      <c r="F62" s="1129">
        <v>458114.92</v>
      </c>
      <c r="H62" s="778">
        <v>458114.92</v>
      </c>
      <c r="I62" s="778">
        <v>458114.92</v>
      </c>
      <c r="J62" s="778">
        <v>0</v>
      </c>
      <c r="L62" s="1137">
        <f t="shared" si="20"/>
        <v>0</v>
      </c>
      <c r="N62" s="778">
        <f t="shared" si="21"/>
        <v>458114.92</v>
      </c>
      <c r="O62" s="778">
        <v>458114.92</v>
      </c>
    </row>
    <row r="63" spans="1:19">
      <c r="A63" s="373" t="s">
        <v>607</v>
      </c>
      <c r="B63" s="373" t="s">
        <v>1346</v>
      </c>
      <c r="C63" s="373" t="s">
        <v>914</v>
      </c>
      <c r="D63" s="373" t="s">
        <v>1716</v>
      </c>
      <c r="E63" s="373" t="s">
        <v>1717</v>
      </c>
      <c r="F63" s="1129">
        <v>2032347.81</v>
      </c>
      <c r="H63" s="778">
        <v>2032347.81</v>
      </c>
      <c r="I63" s="778">
        <v>2032347.81</v>
      </c>
      <c r="J63" s="778">
        <v>0</v>
      </c>
      <c r="L63" s="1137">
        <f t="shared" si="20"/>
        <v>0</v>
      </c>
      <c r="N63" s="778">
        <f t="shared" si="21"/>
        <v>2032347.81</v>
      </c>
      <c r="O63" s="778">
        <v>2032347.81</v>
      </c>
    </row>
    <row r="64" spans="1:19">
      <c r="A64" s="373" t="s">
        <v>607</v>
      </c>
      <c r="B64" s="373" t="s">
        <v>1346</v>
      </c>
      <c r="C64" s="373" t="s">
        <v>1569</v>
      </c>
      <c r="D64" s="373" t="s">
        <v>1718</v>
      </c>
      <c r="E64" s="373" t="s">
        <v>1572</v>
      </c>
      <c r="F64" s="1129">
        <v>1503157.03</v>
      </c>
      <c r="H64" s="778">
        <v>1503157.03</v>
      </c>
      <c r="I64" s="778">
        <v>1503157.03</v>
      </c>
      <c r="J64" s="778">
        <v>0</v>
      </c>
      <c r="K64" s="778" t="s">
        <v>1684</v>
      </c>
      <c r="L64" s="1137">
        <f t="shared" si="20"/>
        <v>0</v>
      </c>
      <c r="N64" s="778">
        <f t="shared" si="21"/>
        <v>1503157.03</v>
      </c>
      <c r="O64" s="1138">
        <v>1503157.03</v>
      </c>
    </row>
    <row r="65" spans="1:19">
      <c r="A65" s="373" t="s">
        <v>607</v>
      </c>
      <c r="B65" s="373" t="s">
        <v>1346</v>
      </c>
      <c r="C65" s="373" t="s">
        <v>914</v>
      </c>
      <c r="D65" s="373" t="s">
        <v>1719</v>
      </c>
      <c r="E65" s="373" t="s">
        <v>1715</v>
      </c>
      <c r="F65" s="1129">
        <v>2015503.6</v>
      </c>
      <c r="H65" s="778">
        <v>2015503.6</v>
      </c>
      <c r="I65" s="778">
        <v>2015503.6</v>
      </c>
      <c r="J65" s="778">
        <v>0</v>
      </c>
      <c r="L65" s="1137">
        <f t="shared" si="20"/>
        <v>0</v>
      </c>
      <c r="N65" s="778">
        <f t="shared" si="21"/>
        <v>2015503.6</v>
      </c>
      <c r="O65" s="778">
        <v>2015503.6</v>
      </c>
    </row>
    <row r="66" spans="1:19">
      <c r="A66" s="373" t="s">
        <v>607</v>
      </c>
      <c r="B66" s="373" t="s">
        <v>1346</v>
      </c>
      <c r="C66" s="373" t="s">
        <v>1569</v>
      </c>
      <c r="D66" s="373" t="s">
        <v>1720</v>
      </c>
      <c r="E66" s="373" t="s">
        <v>1715</v>
      </c>
      <c r="F66" s="1129">
        <v>6607831.5899999999</v>
      </c>
      <c r="H66" s="778">
        <v>6607831.5899999999</v>
      </c>
      <c r="I66" s="778">
        <v>6607831.5899999999</v>
      </c>
      <c r="J66" s="778">
        <v>0</v>
      </c>
      <c r="L66" s="1137">
        <f t="shared" si="20"/>
        <v>0</v>
      </c>
      <c r="N66" s="778">
        <f t="shared" si="21"/>
        <v>6607831.5899999999</v>
      </c>
      <c r="O66" s="778">
        <v>6607831.5899999999</v>
      </c>
    </row>
    <row r="67" spans="1:19">
      <c r="A67" s="373" t="s">
        <v>607</v>
      </c>
      <c r="B67" s="373" t="s">
        <v>1346</v>
      </c>
      <c r="C67" s="373" t="s">
        <v>1569</v>
      </c>
      <c r="E67" s="373" t="s">
        <v>1717</v>
      </c>
      <c r="F67" s="1129">
        <v>2032347.81</v>
      </c>
      <c r="H67" s="778">
        <f>10581.06*64</f>
        <v>677187.84</v>
      </c>
      <c r="I67" s="778">
        <v>2032347.81</v>
      </c>
      <c r="J67" s="778">
        <v>0</v>
      </c>
      <c r="L67" s="1137">
        <f t="shared" si="20"/>
        <v>0</v>
      </c>
      <c r="N67" s="778">
        <f t="shared" si="21"/>
        <v>677187.84</v>
      </c>
      <c r="O67" s="778">
        <v>677187.84</v>
      </c>
    </row>
    <row r="68" spans="1:19">
      <c r="E68" s="373" t="s">
        <v>1721</v>
      </c>
      <c r="H68" s="778">
        <v>58267464.350000001</v>
      </c>
      <c r="L68" s="1137">
        <f t="shared" si="20"/>
        <v>0</v>
      </c>
      <c r="N68" s="778">
        <f t="shared" si="21"/>
        <v>58267464.350000001</v>
      </c>
      <c r="O68" s="769">
        <v>1387496.1099999994</v>
      </c>
      <c r="P68" s="769">
        <v>12195400.000000002</v>
      </c>
      <c r="Q68" s="769">
        <v>12195400.000000002</v>
      </c>
      <c r="R68" s="769">
        <v>12195400.000000002</v>
      </c>
      <c r="S68" s="769">
        <v>12195400.000000002</v>
      </c>
    </row>
    <row r="69" spans="1:19" s="1134" customFormat="1">
      <c r="A69" s="1134" t="s">
        <v>1722</v>
      </c>
      <c r="E69" s="1135">
        <f>SUM(E53:E64)</f>
        <v>0</v>
      </c>
      <c r="F69" s="1135">
        <f t="shared" ref="F69:G69" si="22">SUM(F53:F64)</f>
        <v>544182277.96999979</v>
      </c>
      <c r="G69" s="1135">
        <f t="shared" si="22"/>
        <v>4560276.87</v>
      </c>
      <c r="H69" s="1135">
        <f>SUM(H58:H68)</f>
        <v>83077220.609999999</v>
      </c>
      <c r="I69" s="1135">
        <f t="shared" ref="I69:S69" si="23">SUM(I58:I68)</f>
        <v>26164916.229999997</v>
      </c>
      <c r="J69" s="1135">
        <f t="shared" si="23"/>
        <v>0</v>
      </c>
      <c r="K69" s="1135">
        <f t="shared" si="23"/>
        <v>0</v>
      </c>
      <c r="L69" s="1135">
        <f t="shared" si="23"/>
        <v>0.48798019485692401</v>
      </c>
      <c r="M69" s="1135">
        <f t="shared" si="23"/>
        <v>293474.90999999997</v>
      </c>
      <c r="N69" s="1135">
        <f t="shared" si="23"/>
        <v>82783745.700000003</v>
      </c>
      <c r="O69" s="1135">
        <f>SUM(O58:O68)</f>
        <v>25903777.459999997</v>
      </c>
      <c r="P69" s="1135">
        <f t="shared" si="23"/>
        <v>12195400.000000002</v>
      </c>
      <c r="Q69" s="1135">
        <f t="shared" si="23"/>
        <v>12195400.000000002</v>
      </c>
      <c r="R69" s="1135">
        <f t="shared" si="23"/>
        <v>12195400.000000002</v>
      </c>
      <c r="S69" s="1135">
        <f t="shared" si="23"/>
        <v>12195400.000000002</v>
      </c>
    </row>
    <row r="71" spans="1:19">
      <c r="A71" s="373" t="s">
        <v>607</v>
      </c>
      <c r="B71" s="373" t="s">
        <v>1346</v>
      </c>
      <c r="C71" s="373" t="s">
        <v>1045</v>
      </c>
      <c r="D71" s="373" t="s">
        <v>1723</v>
      </c>
      <c r="E71" s="373" t="s">
        <v>1724</v>
      </c>
      <c r="F71" s="1129">
        <v>36249.599999999999</v>
      </c>
      <c r="H71" s="778">
        <v>36249.599999999999</v>
      </c>
      <c r="I71" s="778">
        <v>36249.599999999999</v>
      </c>
      <c r="J71" s="778">
        <v>0</v>
      </c>
      <c r="L71" s="1137">
        <f t="shared" ref="L71:L76" si="24">+M71/H71</f>
        <v>0</v>
      </c>
      <c r="N71" s="778">
        <f t="shared" ref="N71:N74" si="25">+H71-M71</f>
        <v>36249.599999999999</v>
      </c>
      <c r="P71" s="778">
        <v>36249.599999999999</v>
      </c>
    </row>
    <row r="72" spans="1:19">
      <c r="A72" s="373" t="s">
        <v>607</v>
      </c>
      <c r="B72" s="373" t="s">
        <v>1346</v>
      </c>
      <c r="C72" s="373" t="s">
        <v>778</v>
      </c>
      <c r="D72" s="373" t="s">
        <v>1725</v>
      </c>
      <c r="E72" s="373" t="s">
        <v>1726</v>
      </c>
      <c r="F72" s="1129">
        <v>1237302.53</v>
      </c>
      <c r="H72" s="778">
        <v>1237302.53</v>
      </c>
      <c r="I72" s="778">
        <v>1237302.53</v>
      </c>
      <c r="J72" s="778">
        <v>0</v>
      </c>
      <c r="L72" s="1137">
        <f t="shared" si="24"/>
        <v>0</v>
      </c>
      <c r="N72" s="778">
        <f t="shared" si="25"/>
        <v>1237302.53</v>
      </c>
      <c r="O72" s="778">
        <v>1237302.53</v>
      </c>
    </row>
    <row r="73" spans="1:19">
      <c r="A73" s="373" t="s">
        <v>607</v>
      </c>
      <c r="B73" s="373" t="s">
        <v>1346</v>
      </c>
      <c r="C73" s="373" t="s">
        <v>1043</v>
      </c>
      <c r="D73" s="373" t="s">
        <v>1137</v>
      </c>
      <c r="E73" s="373" t="s">
        <v>1138</v>
      </c>
      <c r="F73" s="1129">
        <v>53502.559999999998</v>
      </c>
      <c r="G73" s="1132">
        <v>-1661.39</v>
      </c>
      <c r="H73" s="778">
        <f>+F73+G73</f>
        <v>51841.17</v>
      </c>
      <c r="I73" s="778">
        <v>51841.17</v>
      </c>
      <c r="J73" s="778">
        <v>0</v>
      </c>
      <c r="K73" s="778" t="s">
        <v>1704</v>
      </c>
      <c r="L73" s="1137">
        <f t="shared" si="24"/>
        <v>0.71974822327505339</v>
      </c>
      <c r="M73" s="778">
        <f>51841.17-14528.58</f>
        <v>37312.589999999997</v>
      </c>
      <c r="N73" s="778">
        <f t="shared" si="25"/>
        <v>14528.580000000002</v>
      </c>
      <c r="O73" s="1138">
        <v>14528.58</v>
      </c>
    </row>
    <row r="74" spans="1:19">
      <c r="A74" s="373" t="s">
        <v>607</v>
      </c>
      <c r="B74" s="373" t="s">
        <v>1346</v>
      </c>
      <c r="C74" s="373" t="s">
        <v>1043</v>
      </c>
      <c r="D74" s="373" t="s">
        <v>1357</v>
      </c>
      <c r="E74" s="373" t="s">
        <v>1358</v>
      </c>
      <c r="F74" s="1129">
        <v>57977.56</v>
      </c>
      <c r="G74" s="1132">
        <v>58883.76</v>
      </c>
      <c r="H74" s="778">
        <v>58883.76</v>
      </c>
      <c r="I74" s="778">
        <v>58883.76</v>
      </c>
      <c r="J74" s="778">
        <v>0</v>
      </c>
      <c r="K74" s="778" t="s">
        <v>1704</v>
      </c>
      <c r="L74" s="1137">
        <f t="shared" si="24"/>
        <v>0.27436597119477424</v>
      </c>
      <c r="M74" s="778">
        <f>29022.97-12867.27</f>
        <v>16155.7</v>
      </c>
      <c r="N74" s="778">
        <f t="shared" si="25"/>
        <v>42728.06</v>
      </c>
      <c r="O74" s="1138">
        <v>12867.27</v>
      </c>
      <c r="P74" s="778">
        <v>29860.789999999997</v>
      </c>
    </row>
    <row r="75" spans="1:19">
      <c r="A75" s="373" t="s">
        <v>607</v>
      </c>
      <c r="B75" s="373" t="s">
        <v>1346</v>
      </c>
      <c r="C75" s="373" t="s">
        <v>1045</v>
      </c>
      <c r="D75" s="373" t="s">
        <v>1132</v>
      </c>
      <c r="E75" s="373" t="s">
        <v>1133</v>
      </c>
      <c r="G75" s="1132">
        <v>92323.199999999997</v>
      </c>
      <c r="H75" s="778">
        <v>92323.199999999997</v>
      </c>
      <c r="I75" s="778">
        <v>92323.199999999997</v>
      </c>
      <c r="J75" s="778">
        <v>0</v>
      </c>
      <c r="L75" s="1137">
        <f t="shared" si="24"/>
        <v>0</v>
      </c>
      <c r="N75" s="778">
        <f>+H75-M75</f>
        <v>92323.199999999997</v>
      </c>
      <c r="O75" s="778">
        <v>92323.199999999997</v>
      </c>
    </row>
    <row r="76" spans="1:19">
      <c r="A76" s="373" t="s">
        <v>607</v>
      </c>
      <c r="B76" s="373" t="s">
        <v>1346</v>
      </c>
      <c r="C76" s="373" t="s">
        <v>778</v>
      </c>
      <c r="D76" s="373" t="s">
        <v>1567</v>
      </c>
      <c r="E76" s="373" t="s">
        <v>1568</v>
      </c>
      <c r="F76" s="1129">
        <v>941719.5</v>
      </c>
      <c r="H76" s="778">
        <v>941719.5</v>
      </c>
      <c r="I76" s="778">
        <v>941719.5</v>
      </c>
      <c r="J76" s="778">
        <v>0</v>
      </c>
      <c r="K76" s="778" t="s">
        <v>1709</v>
      </c>
      <c r="L76" s="1137">
        <f t="shared" si="24"/>
        <v>0</v>
      </c>
      <c r="N76" s="778">
        <f>+H76-M76</f>
        <v>941719.5</v>
      </c>
      <c r="O76" s="1138">
        <v>941719.5</v>
      </c>
    </row>
    <row r="77" spans="1:19">
      <c r="C77" s="373" t="s">
        <v>778</v>
      </c>
      <c r="H77" s="778">
        <v>4949210.12</v>
      </c>
      <c r="L77" s="1137"/>
      <c r="N77" s="778">
        <f>+H77-M77</f>
        <v>4949210.12</v>
      </c>
      <c r="O77" s="769"/>
      <c r="P77" s="778">
        <v>1237302.53</v>
      </c>
      <c r="Q77" s="778">
        <v>1237302.53</v>
      </c>
      <c r="R77" s="778">
        <v>1237302.53</v>
      </c>
      <c r="S77" s="778">
        <v>1237302.53</v>
      </c>
    </row>
    <row r="78" spans="1:19">
      <c r="C78" s="373" t="s">
        <v>1727</v>
      </c>
      <c r="H78" s="778">
        <v>600000</v>
      </c>
      <c r="L78" s="1137"/>
      <c r="N78" s="778">
        <f>+H78-M78</f>
        <v>600000</v>
      </c>
      <c r="O78" s="769"/>
      <c r="P78" s="778">
        <v>150000</v>
      </c>
      <c r="Q78" s="778">
        <v>150000</v>
      </c>
      <c r="R78" s="778">
        <v>150000</v>
      </c>
      <c r="S78" s="778">
        <v>150000</v>
      </c>
    </row>
    <row r="79" spans="1:19" s="1134" customFormat="1">
      <c r="A79" s="1134" t="s">
        <v>1728</v>
      </c>
      <c r="E79" s="1135">
        <f>SUM(E56:E75)</f>
        <v>0</v>
      </c>
      <c r="F79" s="1135">
        <f>SUM(F56:F75)</f>
        <v>571676782.28999972</v>
      </c>
      <c r="G79" s="1135">
        <f>SUM(G56:G75)</f>
        <v>4750808.99</v>
      </c>
      <c r="H79" s="1135">
        <f>SUM(H71:H78)</f>
        <v>7967529.8799999999</v>
      </c>
      <c r="I79" s="1135">
        <f t="shared" ref="I79:S79" si="26">SUM(I71:I78)</f>
        <v>2418319.7599999998</v>
      </c>
      <c r="J79" s="1135">
        <f t="shared" si="26"/>
        <v>0</v>
      </c>
      <c r="K79" s="1135">
        <f t="shared" si="26"/>
        <v>0</v>
      </c>
      <c r="L79" s="1135">
        <f t="shared" si="26"/>
        <v>0.99411419446982763</v>
      </c>
      <c r="M79" s="1135">
        <f t="shared" si="26"/>
        <v>53468.289999999994</v>
      </c>
      <c r="N79" s="1135">
        <f t="shared" si="26"/>
        <v>7914061.5899999999</v>
      </c>
      <c r="O79" s="1135">
        <f>SUM(O71:O78)</f>
        <v>2298741.08</v>
      </c>
      <c r="P79" s="1135">
        <f t="shared" si="26"/>
        <v>1453412.92</v>
      </c>
      <c r="Q79" s="1135">
        <f t="shared" si="26"/>
        <v>1387302.53</v>
      </c>
      <c r="R79" s="1135">
        <f t="shared" si="26"/>
        <v>1387302.53</v>
      </c>
      <c r="S79" s="1135">
        <f t="shared" si="26"/>
        <v>1387302.53</v>
      </c>
    </row>
    <row r="81" spans="1:19">
      <c r="A81" s="373" t="s">
        <v>607</v>
      </c>
      <c r="B81" s="373" t="s">
        <v>1346</v>
      </c>
      <c r="C81" s="373" t="s">
        <v>389</v>
      </c>
      <c r="D81" s="373" t="s">
        <v>1729</v>
      </c>
      <c r="E81" s="373" t="s">
        <v>1730</v>
      </c>
      <c r="F81" s="1129">
        <v>767000</v>
      </c>
      <c r="H81" s="778">
        <v>767000</v>
      </c>
      <c r="I81" s="778">
        <v>767000</v>
      </c>
      <c r="J81" s="778">
        <v>0</v>
      </c>
      <c r="L81" s="1137">
        <f>+M81/H81</f>
        <v>0</v>
      </c>
      <c r="N81" s="778">
        <f t="shared" si="2"/>
        <v>767000</v>
      </c>
      <c r="O81" s="778">
        <v>767000</v>
      </c>
    </row>
    <row r="82" spans="1:19">
      <c r="A82" s="373" t="s">
        <v>607</v>
      </c>
      <c r="B82" s="373" t="s">
        <v>1346</v>
      </c>
      <c r="C82" s="373" t="s">
        <v>389</v>
      </c>
      <c r="D82" s="373" t="s">
        <v>1347</v>
      </c>
      <c r="E82" s="373" t="s">
        <v>1348</v>
      </c>
      <c r="F82" s="1129">
        <v>767000</v>
      </c>
      <c r="H82" s="778">
        <v>767000</v>
      </c>
      <c r="I82" s="778">
        <v>767000</v>
      </c>
      <c r="J82" s="778">
        <v>0</v>
      </c>
      <c r="K82" s="778" t="s">
        <v>1731</v>
      </c>
      <c r="L82" s="1137">
        <f>+M82/H82</f>
        <v>0.60886571056062577</v>
      </c>
      <c r="M82" s="778">
        <v>467000</v>
      </c>
      <c r="N82" s="778">
        <f>+H82-M82</f>
        <v>300000</v>
      </c>
      <c r="O82" s="778">
        <v>300000</v>
      </c>
    </row>
    <row r="83" spans="1:19">
      <c r="A83" s="373" t="s">
        <v>607</v>
      </c>
      <c r="B83" s="373" t="s">
        <v>1346</v>
      </c>
      <c r="C83" s="373" t="s">
        <v>389</v>
      </c>
      <c r="D83" s="373" t="s">
        <v>1574</v>
      </c>
      <c r="E83" s="373" t="s">
        <v>1575</v>
      </c>
      <c r="F83" s="1129">
        <v>767000</v>
      </c>
      <c r="H83" s="778">
        <v>767000</v>
      </c>
      <c r="I83" s="778">
        <v>767000</v>
      </c>
      <c r="J83" s="778">
        <v>0</v>
      </c>
      <c r="K83" s="778" t="s">
        <v>1704</v>
      </c>
      <c r="L83" s="1137">
        <f>+M83/H83</f>
        <v>0</v>
      </c>
      <c r="N83" s="778">
        <f>+H83-M83</f>
        <v>767000</v>
      </c>
      <c r="O83" s="1138">
        <v>767000</v>
      </c>
    </row>
    <row r="84" spans="1:19">
      <c r="H84" s="778">
        <v>3068000</v>
      </c>
      <c r="L84" s="1137"/>
      <c r="N84" s="778">
        <f>+H84-M84</f>
        <v>3068000</v>
      </c>
      <c r="O84" s="769"/>
      <c r="P84" s="778">
        <v>767000</v>
      </c>
      <c r="Q84" s="778">
        <v>767000</v>
      </c>
      <c r="R84" s="778">
        <v>767000</v>
      </c>
      <c r="S84" s="778">
        <v>767000</v>
      </c>
    </row>
    <row r="85" spans="1:19" s="1134" customFormat="1">
      <c r="A85" s="1134" t="s">
        <v>1732</v>
      </c>
      <c r="E85" s="1135">
        <f>SUM(E66:E82)</f>
        <v>0</v>
      </c>
      <c r="F85" s="1135">
        <f>SUM(F66:F82)</f>
        <v>1128359991.4099994</v>
      </c>
      <c r="G85" s="1135">
        <f>SUM(G66:G82)</f>
        <v>9460631.4299999997</v>
      </c>
      <c r="H85" s="1135">
        <f>SUM(H81:H84)</f>
        <v>5369000</v>
      </c>
      <c r="I85" s="1135">
        <f t="shared" ref="I85:S85" si="27">SUM(I81:I84)</f>
        <v>2301000</v>
      </c>
      <c r="J85" s="1135">
        <f t="shared" si="27"/>
        <v>0</v>
      </c>
      <c r="K85" s="1135">
        <f t="shared" si="27"/>
        <v>0</v>
      </c>
      <c r="L85" s="1135">
        <f t="shared" si="27"/>
        <v>0.60886571056062577</v>
      </c>
      <c r="M85" s="1135">
        <f t="shared" si="27"/>
        <v>467000</v>
      </c>
      <c r="N85" s="1135">
        <f t="shared" si="27"/>
        <v>4902000</v>
      </c>
      <c r="O85" s="1135">
        <f>SUM(O81:O84)</f>
        <v>1834000</v>
      </c>
      <c r="P85" s="1135">
        <f t="shared" si="27"/>
        <v>767000</v>
      </c>
      <c r="Q85" s="1135">
        <f t="shared" si="27"/>
        <v>767000</v>
      </c>
      <c r="R85" s="1135">
        <f t="shared" si="27"/>
        <v>767000</v>
      </c>
      <c r="S85" s="1135">
        <f t="shared" si="27"/>
        <v>767000</v>
      </c>
    </row>
    <row r="86" spans="1:19">
      <c r="L86" s="1137"/>
      <c r="O86" s="769"/>
    </row>
    <row r="87" spans="1:19">
      <c r="A87" s="373" t="s">
        <v>613</v>
      </c>
      <c r="B87" s="373" t="s">
        <v>1733</v>
      </c>
      <c r="C87" s="373" t="s">
        <v>1734</v>
      </c>
      <c r="D87" s="373" t="s">
        <v>1735</v>
      </c>
      <c r="E87" s="373" t="s">
        <v>1736</v>
      </c>
      <c r="F87" s="1129">
        <v>236000</v>
      </c>
      <c r="H87" s="778">
        <v>236000</v>
      </c>
      <c r="I87" s="778">
        <v>236000</v>
      </c>
      <c r="J87" s="778">
        <v>0</v>
      </c>
      <c r="K87" s="778" t="s">
        <v>1684</v>
      </c>
      <c r="L87" s="1137">
        <f>+M87/H87</f>
        <v>0</v>
      </c>
      <c r="N87" s="778">
        <f t="shared" si="2"/>
        <v>236000</v>
      </c>
      <c r="O87" s="1138">
        <v>236000</v>
      </c>
    </row>
    <row r="88" spans="1:19">
      <c r="A88" s="373" t="s">
        <v>613</v>
      </c>
      <c r="B88" s="373" t="s">
        <v>1733</v>
      </c>
      <c r="C88" s="373" t="s">
        <v>1734</v>
      </c>
      <c r="D88" s="373" t="s">
        <v>1737</v>
      </c>
      <c r="E88" s="373" t="s">
        <v>1738</v>
      </c>
      <c r="F88" s="1129">
        <v>37694.69</v>
      </c>
      <c r="H88" s="778">
        <v>37694.69</v>
      </c>
      <c r="I88" s="778">
        <v>37694.69</v>
      </c>
      <c r="J88" s="778">
        <v>0</v>
      </c>
      <c r="K88" s="778" t="s">
        <v>1684</v>
      </c>
      <c r="L88" s="1137">
        <f>+M88/H88</f>
        <v>0</v>
      </c>
      <c r="N88" s="778">
        <f t="shared" si="2"/>
        <v>37694.69</v>
      </c>
      <c r="O88" s="1138">
        <v>37694.69</v>
      </c>
    </row>
    <row r="89" spans="1:19">
      <c r="H89" s="778">
        <v>1250000</v>
      </c>
      <c r="L89" s="1137"/>
      <c r="N89" s="778">
        <f t="shared" si="2"/>
        <v>1250000</v>
      </c>
      <c r="O89" s="769">
        <v>250000</v>
      </c>
      <c r="P89" s="778">
        <v>250000</v>
      </c>
      <c r="Q89" s="778">
        <v>250000</v>
      </c>
      <c r="R89" s="778">
        <v>250000</v>
      </c>
      <c r="S89" s="778">
        <v>250000</v>
      </c>
    </row>
    <row r="90" spans="1:19" s="1134" customFormat="1">
      <c r="A90" s="1134" t="s">
        <v>291</v>
      </c>
      <c r="E90" s="1135">
        <f>SUM(E71:E87)</f>
        <v>0</v>
      </c>
      <c r="F90" s="1135">
        <f>SUM(F71:F87)</f>
        <v>1704900525.4499991</v>
      </c>
      <c r="G90" s="1135">
        <f>SUM(G71:G87)</f>
        <v>14360985.99</v>
      </c>
      <c r="H90" s="1135">
        <f>SUM(H87:H89)</f>
        <v>1523694.69</v>
      </c>
      <c r="I90" s="1135">
        <f t="shared" ref="I90:S90" si="28">SUM(I87:I89)</f>
        <v>273694.69</v>
      </c>
      <c r="J90" s="1135">
        <f t="shared" si="28"/>
        <v>0</v>
      </c>
      <c r="K90" s="1135">
        <f t="shared" si="28"/>
        <v>0</v>
      </c>
      <c r="L90" s="1135">
        <f t="shared" si="28"/>
        <v>0</v>
      </c>
      <c r="M90" s="1135">
        <f t="shared" si="28"/>
        <v>0</v>
      </c>
      <c r="N90" s="1135">
        <f t="shared" si="28"/>
        <v>1523694.69</v>
      </c>
      <c r="O90" s="1135">
        <f t="shared" si="28"/>
        <v>523694.69</v>
      </c>
      <c r="P90" s="1135">
        <f t="shared" si="28"/>
        <v>250000</v>
      </c>
      <c r="Q90" s="1135">
        <f t="shared" si="28"/>
        <v>250000</v>
      </c>
      <c r="R90" s="1135">
        <f t="shared" si="28"/>
        <v>250000</v>
      </c>
      <c r="S90" s="1135">
        <f t="shared" si="28"/>
        <v>250000</v>
      </c>
    </row>
    <row r="91" spans="1:19">
      <c r="L91" s="1137"/>
      <c r="O91" s="769"/>
    </row>
    <row r="92" spans="1:19">
      <c r="A92" s="373" t="s">
        <v>619</v>
      </c>
      <c r="B92" s="373" t="s">
        <v>1239</v>
      </c>
      <c r="C92" s="373" t="s">
        <v>856</v>
      </c>
      <c r="D92" s="373" t="s">
        <v>1353</v>
      </c>
      <c r="E92" s="373" t="s">
        <v>1354</v>
      </c>
      <c r="F92" s="1129">
        <v>826</v>
      </c>
      <c r="H92" s="778">
        <v>826</v>
      </c>
      <c r="I92" s="778">
        <v>826</v>
      </c>
      <c r="J92" s="778">
        <v>0</v>
      </c>
      <c r="L92" s="1137">
        <f t="shared" ref="L92:L108" si="29">+M92/H92</f>
        <v>0</v>
      </c>
      <c r="N92" s="778">
        <f t="shared" si="2"/>
        <v>826</v>
      </c>
      <c r="O92" s="778">
        <v>826</v>
      </c>
    </row>
    <row r="93" spans="1:19">
      <c r="A93" s="373" t="s">
        <v>619</v>
      </c>
      <c r="B93" s="373" t="s">
        <v>1239</v>
      </c>
      <c r="C93" s="373" t="s">
        <v>740</v>
      </c>
      <c r="D93" s="373" t="s">
        <v>938</v>
      </c>
      <c r="E93" s="373" t="s">
        <v>1126</v>
      </c>
      <c r="F93" s="1129">
        <v>273279.15000000002</v>
      </c>
      <c r="H93" s="778">
        <v>273279.15000000002</v>
      </c>
      <c r="I93" s="778">
        <v>0</v>
      </c>
      <c r="J93" s="778">
        <v>273279.15000000002</v>
      </c>
      <c r="L93" s="1137">
        <f t="shared" si="29"/>
        <v>0</v>
      </c>
      <c r="N93" s="778">
        <f t="shared" si="2"/>
        <v>273279.15000000002</v>
      </c>
      <c r="P93" s="778">
        <v>273279.15000000002</v>
      </c>
    </row>
    <row r="94" spans="1:19">
      <c r="A94" s="373" t="s">
        <v>619</v>
      </c>
      <c r="B94" s="373" t="s">
        <v>1239</v>
      </c>
      <c r="C94" s="373" t="s">
        <v>740</v>
      </c>
      <c r="D94" s="373" t="s">
        <v>1250</v>
      </c>
      <c r="E94" s="373" t="s">
        <v>1251</v>
      </c>
      <c r="F94" s="1129">
        <v>49766.5</v>
      </c>
      <c r="G94" s="1132">
        <v>2603.1999999999998</v>
      </c>
      <c r="H94" s="778">
        <v>52369.7</v>
      </c>
      <c r="I94" s="778">
        <v>52369.7</v>
      </c>
      <c r="J94" s="778">
        <v>0</v>
      </c>
      <c r="K94" s="778" t="s">
        <v>1689</v>
      </c>
      <c r="L94" s="1137">
        <f t="shared" si="29"/>
        <v>0.57017512034630713</v>
      </c>
      <c r="M94" s="778">
        <v>29859.9</v>
      </c>
      <c r="N94" s="778">
        <f t="shared" si="2"/>
        <v>22509.799999999996</v>
      </c>
      <c r="O94" s="778">
        <v>22509.799999999996</v>
      </c>
    </row>
    <row r="95" spans="1:19">
      <c r="A95" s="373" t="s">
        <v>619</v>
      </c>
      <c r="B95" s="373" t="s">
        <v>1239</v>
      </c>
      <c r="C95" s="373" t="s">
        <v>746</v>
      </c>
      <c r="D95" s="373" t="s">
        <v>1248</v>
      </c>
      <c r="E95" s="373" t="s">
        <v>1249</v>
      </c>
      <c r="F95" s="1129">
        <v>63720</v>
      </c>
      <c r="H95" s="778">
        <v>63720</v>
      </c>
      <c r="I95" s="778">
        <v>63720</v>
      </c>
      <c r="J95" s="778">
        <v>0</v>
      </c>
      <c r="K95" s="778" t="s">
        <v>1704</v>
      </c>
      <c r="L95" s="1137">
        <f t="shared" si="29"/>
        <v>0.65141242937853105</v>
      </c>
      <c r="M95" s="778">
        <f>63720-22212</f>
        <v>41508</v>
      </c>
      <c r="N95" s="778">
        <f t="shared" si="2"/>
        <v>22212</v>
      </c>
      <c r="O95" s="1138">
        <v>22212</v>
      </c>
    </row>
    <row r="96" spans="1:19">
      <c r="A96" s="373" t="s">
        <v>619</v>
      </c>
      <c r="B96" s="373" t="s">
        <v>1239</v>
      </c>
      <c r="C96" s="373" t="s">
        <v>1207</v>
      </c>
      <c r="D96" s="373" t="s">
        <v>1240</v>
      </c>
      <c r="E96" s="373" t="s">
        <v>1241</v>
      </c>
      <c r="F96" s="1129">
        <v>44132</v>
      </c>
      <c r="G96" s="1132">
        <v>132396</v>
      </c>
      <c r="H96" s="778">
        <v>176528</v>
      </c>
      <c r="I96" s="778">
        <v>176528</v>
      </c>
      <c r="J96" s="778">
        <v>0</v>
      </c>
      <c r="K96" s="778" t="s">
        <v>1704</v>
      </c>
      <c r="L96" s="1137">
        <f t="shared" si="29"/>
        <v>0.25</v>
      </c>
      <c r="M96" s="778">
        <v>44132</v>
      </c>
      <c r="N96" s="778">
        <f t="shared" si="2"/>
        <v>132396</v>
      </c>
      <c r="O96" s="1138">
        <v>88264</v>
      </c>
      <c r="P96" s="778">
        <v>44132</v>
      </c>
    </row>
    <row r="97" spans="1:19">
      <c r="A97" s="373" t="s">
        <v>619</v>
      </c>
      <c r="B97" s="373" t="s">
        <v>1239</v>
      </c>
      <c r="C97" s="373" t="s">
        <v>1367</v>
      </c>
      <c r="D97" s="373" t="s">
        <v>1260</v>
      </c>
      <c r="E97" s="373" t="s">
        <v>1369</v>
      </c>
      <c r="F97" s="1129">
        <v>2269989.6</v>
      </c>
      <c r="H97" s="778">
        <v>2269989.6</v>
      </c>
      <c r="I97" s="778">
        <v>2269989.6</v>
      </c>
      <c r="J97" s="778">
        <v>0</v>
      </c>
      <c r="K97" s="778" t="s">
        <v>1704</v>
      </c>
      <c r="L97" s="1137">
        <f t="shared" si="29"/>
        <v>0.5</v>
      </c>
      <c r="M97" s="778">
        <f>2056173.6-921178.8</f>
        <v>1134994.8</v>
      </c>
      <c r="N97" s="778">
        <f t="shared" si="2"/>
        <v>1134994.8</v>
      </c>
      <c r="O97" s="1138">
        <v>1134994.8</v>
      </c>
    </row>
    <row r="98" spans="1:19">
      <c r="A98" s="373" t="s">
        <v>619</v>
      </c>
      <c r="B98" s="373" t="s">
        <v>1239</v>
      </c>
      <c r="C98" s="373" t="s">
        <v>1367</v>
      </c>
      <c r="D98" s="373" t="s">
        <v>1258</v>
      </c>
      <c r="E98" s="373" t="s">
        <v>1368</v>
      </c>
      <c r="F98" s="1129">
        <v>1286200</v>
      </c>
      <c r="G98" s="1132">
        <v>-297360</v>
      </c>
      <c r="H98" s="778">
        <v>988840</v>
      </c>
      <c r="I98" s="778">
        <v>988840</v>
      </c>
      <c r="J98" s="778">
        <v>0</v>
      </c>
      <c r="L98" s="1137">
        <f t="shared" si="29"/>
        <v>0</v>
      </c>
      <c r="N98" s="778">
        <f t="shared" si="2"/>
        <v>988840</v>
      </c>
      <c r="O98" s="778">
        <v>988840</v>
      </c>
    </row>
    <row r="99" spans="1:19">
      <c r="A99" s="373" t="s">
        <v>619</v>
      </c>
      <c r="B99" s="373" t="s">
        <v>1239</v>
      </c>
      <c r="C99" s="373" t="s">
        <v>1254</v>
      </c>
      <c r="D99" s="373" t="s">
        <v>1255</v>
      </c>
      <c r="E99" s="373" t="s">
        <v>1365</v>
      </c>
      <c r="F99" s="1129">
        <v>277890</v>
      </c>
      <c r="H99" s="778">
        <v>277890</v>
      </c>
      <c r="I99" s="778">
        <v>277890</v>
      </c>
      <c r="J99" s="778">
        <v>0</v>
      </c>
      <c r="K99" s="778" t="s">
        <v>1704</v>
      </c>
      <c r="L99" s="1137">
        <f t="shared" si="29"/>
        <v>0.48329734787145995</v>
      </c>
      <c r="M99" s="778">
        <f>266890-132586.5</f>
        <v>134303.5</v>
      </c>
      <c r="N99" s="778">
        <f t="shared" si="2"/>
        <v>143586.5</v>
      </c>
      <c r="O99" s="1138">
        <f>132586.5+11000</f>
        <v>143586.5</v>
      </c>
    </row>
    <row r="100" spans="1:19">
      <c r="A100" s="373" t="s">
        <v>619</v>
      </c>
      <c r="B100" s="373" t="s">
        <v>1239</v>
      </c>
      <c r="C100" s="373" t="s">
        <v>935</v>
      </c>
      <c r="D100" s="373" t="s">
        <v>1266</v>
      </c>
      <c r="E100" s="373" t="s">
        <v>1366</v>
      </c>
      <c r="F100" s="1129">
        <v>337480</v>
      </c>
      <c r="H100" s="778">
        <v>337480</v>
      </c>
      <c r="I100" s="778">
        <v>337480</v>
      </c>
      <c r="J100" s="778">
        <v>0</v>
      </c>
      <c r="K100" s="778" t="s">
        <v>1709</v>
      </c>
      <c r="L100" s="1137">
        <f t="shared" si="29"/>
        <v>0</v>
      </c>
      <c r="N100" s="778">
        <f t="shared" si="2"/>
        <v>337480</v>
      </c>
      <c r="O100" s="1138">
        <v>337480</v>
      </c>
    </row>
    <row r="101" spans="1:19">
      <c r="A101" s="373" t="s">
        <v>619</v>
      </c>
      <c r="B101" s="373" t="s">
        <v>1239</v>
      </c>
      <c r="C101" s="373" t="s">
        <v>715</v>
      </c>
      <c r="D101" s="373" t="s">
        <v>1342</v>
      </c>
      <c r="E101" s="373" t="s">
        <v>1343</v>
      </c>
      <c r="F101" s="1129">
        <v>258175.66</v>
      </c>
      <c r="H101" s="778">
        <v>258175.66</v>
      </c>
      <c r="I101" s="778">
        <v>258175.66</v>
      </c>
      <c r="J101" s="778">
        <v>0</v>
      </c>
      <c r="K101" s="778" t="s">
        <v>1704</v>
      </c>
      <c r="L101" s="1137">
        <f t="shared" si="29"/>
        <v>0</v>
      </c>
      <c r="N101" s="778">
        <f t="shared" si="2"/>
        <v>258175.66</v>
      </c>
      <c r="O101" s="1138">
        <v>258175.66</v>
      </c>
    </row>
    <row r="102" spans="1:19">
      <c r="A102" s="373" t="s">
        <v>619</v>
      </c>
      <c r="B102" s="373" t="s">
        <v>1239</v>
      </c>
      <c r="C102" s="373" t="s">
        <v>1591</v>
      </c>
      <c r="D102" s="373" t="s">
        <v>1592</v>
      </c>
      <c r="E102" s="373" t="s">
        <v>1593</v>
      </c>
      <c r="F102" s="1129">
        <v>29358.400000000001</v>
      </c>
      <c r="H102" s="778">
        <v>29358.400000000001</v>
      </c>
      <c r="I102" s="778">
        <v>29358.400000000001</v>
      </c>
      <c r="J102" s="778">
        <v>0</v>
      </c>
      <c r="L102" s="1137">
        <f t="shared" si="29"/>
        <v>0</v>
      </c>
      <c r="N102" s="778">
        <f t="shared" ref="N102:N127" si="30">+H102-M102</f>
        <v>29358.400000000001</v>
      </c>
      <c r="P102" s="778">
        <v>29358.400000000001</v>
      </c>
    </row>
    <row r="103" spans="1:19">
      <c r="A103" s="373" t="s">
        <v>619</v>
      </c>
      <c r="B103" s="373" t="s">
        <v>1239</v>
      </c>
      <c r="C103" s="373" t="s">
        <v>389</v>
      </c>
      <c r="D103" s="373" t="s">
        <v>1577</v>
      </c>
      <c r="E103" s="373" t="s">
        <v>1578</v>
      </c>
      <c r="F103" s="1129">
        <v>144698.68</v>
      </c>
      <c r="H103" s="778">
        <v>144698.68</v>
      </c>
      <c r="I103" s="778">
        <v>144698.68</v>
      </c>
      <c r="J103" s="778">
        <v>0</v>
      </c>
      <c r="L103" s="1137">
        <f t="shared" si="29"/>
        <v>0</v>
      </c>
      <c r="N103" s="778">
        <f t="shared" si="30"/>
        <v>144698.68</v>
      </c>
      <c r="O103" s="778">
        <v>144698.68</v>
      </c>
    </row>
    <row r="104" spans="1:19">
      <c r="A104" s="373" t="s">
        <v>619</v>
      </c>
      <c r="B104" s="373" t="s">
        <v>1239</v>
      </c>
      <c r="C104" s="373" t="s">
        <v>756</v>
      </c>
      <c r="D104" s="373" t="s">
        <v>1582</v>
      </c>
      <c r="E104" s="373" t="s">
        <v>1583</v>
      </c>
      <c r="F104" s="1129">
        <v>264792</v>
      </c>
      <c r="H104" s="778">
        <v>264792</v>
      </c>
      <c r="I104" s="778">
        <v>88264</v>
      </c>
      <c r="J104" s="778">
        <v>176528</v>
      </c>
      <c r="L104" s="1137">
        <f t="shared" si="29"/>
        <v>0</v>
      </c>
      <c r="N104" s="778">
        <f t="shared" si="30"/>
        <v>264792</v>
      </c>
      <c r="O104" s="778">
        <v>88264</v>
      </c>
      <c r="P104" s="778">
        <v>88264</v>
      </c>
      <c r="Q104" s="778">
        <v>88264</v>
      </c>
    </row>
    <row r="105" spans="1:19">
      <c r="A105" s="373" t="s">
        <v>619</v>
      </c>
      <c r="B105" s="373" t="s">
        <v>1239</v>
      </c>
      <c r="C105" s="373" t="s">
        <v>746</v>
      </c>
      <c r="D105" s="373" t="s">
        <v>1589</v>
      </c>
      <c r="E105" s="373" t="s">
        <v>1590</v>
      </c>
      <c r="F105" s="1129">
        <v>63720</v>
      </c>
      <c r="H105" s="778">
        <v>63720</v>
      </c>
      <c r="I105" s="778">
        <v>0</v>
      </c>
      <c r="J105" s="778">
        <v>63720</v>
      </c>
      <c r="L105" s="1137">
        <f t="shared" si="29"/>
        <v>0</v>
      </c>
      <c r="N105" s="778">
        <f t="shared" si="30"/>
        <v>63720</v>
      </c>
      <c r="O105" s="778">
        <v>21240</v>
      </c>
      <c r="P105" s="778">
        <v>21240</v>
      </c>
      <c r="Q105" s="778">
        <v>21240</v>
      </c>
    </row>
    <row r="106" spans="1:19">
      <c r="A106" s="373" t="s">
        <v>619</v>
      </c>
      <c r="B106" s="373" t="s">
        <v>1239</v>
      </c>
      <c r="C106" s="373" t="s">
        <v>740</v>
      </c>
      <c r="D106" s="373" t="s">
        <v>1739</v>
      </c>
      <c r="E106" s="373" t="s">
        <v>1740</v>
      </c>
      <c r="F106" s="1129">
        <v>26060.3</v>
      </c>
      <c r="H106" s="778">
        <v>26060.3</v>
      </c>
      <c r="I106" s="778">
        <v>0</v>
      </c>
      <c r="J106" s="778">
        <v>26060.3</v>
      </c>
      <c r="L106" s="1137">
        <f t="shared" si="29"/>
        <v>0</v>
      </c>
      <c r="N106" s="778">
        <f t="shared" si="30"/>
        <v>26060.3</v>
      </c>
      <c r="O106" s="1138">
        <v>15958.32</v>
      </c>
      <c r="P106" s="778">
        <v>10101.98</v>
      </c>
    </row>
    <row r="107" spans="1:19">
      <c r="A107" s="373" t="s">
        <v>619</v>
      </c>
      <c r="B107" s="373" t="s">
        <v>1239</v>
      </c>
      <c r="C107" s="373" t="s">
        <v>389</v>
      </c>
      <c r="D107" s="373" t="s">
        <v>1741</v>
      </c>
      <c r="E107" s="373" t="s">
        <v>1742</v>
      </c>
      <c r="F107" s="1129">
        <v>151167.67999999999</v>
      </c>
      <c r="H107" s="778">
        <v>151167.67999999999</v>
      </c>
      <c r="I107" s="778">
        <v>151167.67999999999</v>
      </c>
      <c r="J107" s="778">
        <v>0</v>
      </c>
      <c r="L107" s="1137">
        <f t="shared" si="29"/>
        <v>0</v>
      </c>
      <c r="N107" s="778">
        <f t="shared" si="30"/>
        <v>151167.67999999999</v>
      </c>
      <c r="O107" s="778">
        <v>151167.67999999999</v>
      </c>
    </row>
    <row r="108" spans="1:19">
      <c r="C108" s="373" t="s">
        <v>389</v>
      </c>
      <c r="H108" s="778">
        <v>604000</v>
      </c>
      <c r="L108" s="1137">
        <f t="shared" si="29"/>
        <v>0</v>
      </c>
      <c r="N108" s="778">
        <f t="shared" si="30"/>
        <v>604000</v>
      </c>
      <c r="P108" s="778">
        <v>151000</v>
      </c>
      <c r="Q108" s="778">
        <v>151000</v>
      </c>
      <c r="R108" s="778">
        <v>151000</v>
      </c>
      <c r="S108" s="778">
        <v>151000</v>
      </c>
    </row>
    <row r="109" spans="1:19">
      <c r="C109" s="373" t="s">
        <v>1598</v>
      </c>
      <c r="H109" s="778">
        <v>1391780.8219178081</v>
      </c>
      <c r="L109" s="1137"/>
      <c r="N109" s="778">
        <f t="shared" si="30"/>
        <v>1391780.8219178081</v>
      </c>
      <c r="O109" s="778">
        <f>(+(+(2500/0.73)*1.27)*64)*1</f>
        <v>278356.16438356164</v>
      </c>
      <c r="P109" s="778">
        <f t="shared" ref="P109:S109" si="31">(+(+(2500/0.73)*1.27)*64)*1</f>
        <v>278356.16438356164</v>
      </c>
      <c r="Q109" s="778">
        <f t="shared" si="31"/>
        <v>278356.16438356164</v>
      </c>
      <c r="R109" s="778">
        <f t="shared" si="31"/>
        <v>278356.16438356164</v>
      </c>
      <c r="S109" s="778">
        <f t="shared" si="31"/>
        <v>278356.16438356164</v>
      </c>
    </row>
    <row r="110" spans="1:19">
      <c r="C110" s="373" t="s">
        <v>1599</v>
      </c>
      <c r="H110" s="778">
        <v>500000</v>
      </c>
      <c r="L110" s="1137"/>
      <c r="N110" s="778">
        <f t="shared" si="30"/>
        <v>500000</v>
      </c>
      <c r="O110" s="778">
        <v>100000</v>
      </c>
      <c r="P110" s="778">
        <v>100000</v>
      </c>
      <c r="Q110" s="778">
        <v>100000</v>
      </c>
      <c r="R110" s="778">
        <v>100000</v>
      </c>
      <c r="S110" s="778">
        <v>100000</v>
      </c>
    </row>
    <row r="111" spans="1:19" s="1134" customFormat="1">
      <c r="A111" s="1134" t="s">
        <v>416</v>
      </c>
      <c r="E111" s="1135">
        <f>SUM(E91:E107)</f>
        <v>0</v>
      </c>
      <c r="F111" s="1135">
        <f>SUM(F91:F107)</f>
        <v>5541255.9699999997</v>
      </c>
      <c r="G111" s="1135">
        <f>SUM(G91:G107)</f>
        <v>-162360.79999999999</v>
      </c>
      <c r="H111" s="1135">
        <f>SUM(H92:H110)</f>
        <v>7874675.9919178076</v>
      </c>
      <c r="I111" s="1135">
        <f t="shared" ref="I111:S111" si="32">SUM(I92:I110)</f>
        <v>4839307.72</v>
      </c>
      <c r="J111" s="1135">
        <f t="shared" si="32"/>
        <v>539587.45000000007</v>
      </c>
      <c r="K111" s="1135">
        <f t="shared" si="32"/>
        <v>0</v>
      </c>
      <c r="L111" s="1135">
        <f t="shared" si="32"/>
        <v>2.454884897596298</v>
      </c>
      <c r="M111" s="1135">
        <f t="shared" si="32"/>
        <v>1384798.2</v>
      </c>
      <c r="N111" s="1135">
        <f t="shared" si="32"/>
        <v>6489877.7919178084</v>
      </c>
      <c r="O111" s="1135">
        <f>SUM(O92:O110)</f>
        <v>3796573.6043835622</v>
      </c>
      <c r="P111" s="1135">
        <f t="shared" si="32"/>
        <v>995731.69438356161</v>
      </c>
      <c r="Q111" s="1135">
        <f t="shared" si="32"/>
        <v>638860.16438356158</v>
      </c>
      <c r="R111" s="1135">
        <f t="shared" si="32"/>
        <v>529356.16438356158</v>
      </c>
      <c r="S111" s="1135">
        <f t="shared" si="32"/>
        <v>529356.16438356158</v>
      </c>
    </row>
    <row r="113" spans="1:19">
      <c r="A113" s="373" t="s">
        <v>628</v>
      </c>
      <c r="B113" s="373" t="s">
        <v>1147</v>
      </c>
      <c r="C113" s="373" t="s">
        <v>795</v>
      </c>
      <c r="D113" s="373" t="s">
        <v>946</v>
      </c>
      <c r="E113" s="373" t="s">
        <v>1149</v>
      </c>
      <c r="F113" s="1129">
        <v>369694</v>
      </c>
      <c r="G113" s="1132">
        <v>715670</v>
      </c>
      <c r="H113" s="778">
        <v>1085364</v>
      </c>
      <c r="I113" s="778">
        <v>369694</v>
      </c>
      <c r="J113" s="778">
        <v>715670</v>
      </c>
      <c r="K113" s="778" t="s">
        <v>1743</v>
      </c>
      <c r="L113" s="1137">
        <f t="shared" ref="L113:L121" si="33">+M113/H113</f>
        <v>0.6025711189978662</v>
      </c>
      <c r="M113" s="778">
        <v>654009</v>
      </c>
      <c r="N113" s="778">
        <f t="shared" si="30"/>
        <v>431355</v>
      </c>
      <c r="O113" s="778">
        <v>431355</v>
      </c>
    </row>
    <row r="114" spans="1:19">
      <c r="A114" s="373" t="s">
        <v>628</v>
      </c>
      <c r="B114" s="373" t="s">
        <v>1147</v>
      </c>
      <c r="C114" s="373" t="s">
        <v>795</v>
      </c>
      <c r="D114" s="373" t="s">
        <v>1373</v>
      </c>
      <c r="E114" s="373" t="s">
        <v>1600</v>
      </c>
      <c r="F114" s="1129">
        <v>116362.75</v>
      </c>
      <c r="H114" s="778">
        <v>116362.75</v>
      </c>
      <c r="I114" s="778">
        <v>62687.5</v>
      </c>
      <c r="J114" s="778">
        <v>53675.25</v>
      </c>
      <c r="K114" s="778" t="s">
        <v>1744</v>
      </c>
      <c r="L114" s="1137">
        <f t="shared" si="33"/>
        <v>0.53872480669286349</v>
      </c>
      <c r="M114" s="778">
        <v>62687.5</v>
      </c>
      <c r="N114" s="778">
        <f t="shared" si="30"/>
        <v>53675.25</v>
      </c>
      <c r="O114" s="778">
        <v>53675.25</v>
      </c>
    </row>
    <row r="115" spans="1:19">
      <c r="A115" s="373" t="s">
        <v>628</v>
      </c>
      <c r="B115" s="373" t="s">
        <v>1147</v>
      </c>
      <c r="C115" s="373" t="s">
        <v>795</v>
      </c>
      <c r="D115" s="373" t="s">
        <v>1375</v>
      </c>
      <c r="E115" s="373" t="s">
        <v>1376</v>
      </c>
      <c r="F115" s="1129">
        <v>80033.5</v>
      </c>
      <c r="H115" s="778">
        <v>80033.5</v>
      </c>
      <c r="I115" s="778">
        <v>44250</v>
      </c>
      <c r="J115" s="778">
        <v>35783.5</v>
      </c>
      <c r="K115" s="778" t="s">
        <v>1744</v>
      </c>
      <c r="L115" s="1137">
        <f t="shared" si="33"/>
        <v>0.5528934758569849</v>
      </c>
      <c r="M115" s="778">
        <v>44250</v>
      </c>
      <c r="N115" s="778">
        <f t="shared" si="30"/>
        <v>35783.5</v>
      </c>
      <c r="O115" s="778">
        <v>35783.5</v>
      </c>
    </row>
    <row r="116" spans="1:19">
      <c r="A116" s="373" t="s">
        <v>628</v>
      </c>
      <c r="B116" s="373" t="s">
        <v>1147</v>
      </c>
      <c r="C116" s="373" t="s">
        <v>795</v>
      </c>
      <c r="D116" s="373" t="s">
        <v>1377</v>
      </c>
      <c r="E116" s="373" t="s">
        <v>1378</v>
      </c>
      <c r="F116" s="1129">
        <v>715670</v>
      </c>
      <c r="H116" s="778">
        <v>715670</v>
      </c>
      <c r="I116" s="778">
        <v>0</v>
      </c>
      <c r="J116" s="778">
        <v>715670</v>
      </c>
      <c r="L116" s="1137">
        <f t="shared" si="33"/>
        <v>0</v>
      </c>
      <c r="N116" s="778">
        <f t="shared" si="30"/>
        <v>715670</v>
      </c>
      <c r="P116" s="778">
        <v>357835</v>
      </c>
      <c r="Q116" s="778">
        <v>357835</v>
      </c>
    </row>
    <row r="117" spans="1:19">
      <c r="A117" s="373" t="s">
        <v>628</v>
      </c>
      <c r="B117" s="373" t="s">
        <v>1147</v>
      </c>
      <c r="C117" s="373" t="s">
        <v>1601</v>
      </c>
      <c r="D117" s="373" t="s">
        <v>1745</v>
      </c>
      <c r="E117" s="373" t="s">
        <v>1746</v>
      </c>
      <c r="F117" s="1129">
        <v>2000</v>
      </c>
      <c r="H117" s="778">
        <v>2000</v>
      </c>
      <c r="I117" s="778">
        <v>2000</v>
      </c>
      <c r="J117" s="778">
        <v>0</v>
      </c>
      <c r="K117" s="778" t="s">
        <v>1704</v>
      </c>
      <c r="L117" s="1137">
        <f t="shared" si="33"/>
        <v>0</v>
      </c>
      <c r="N117" s="778">
        <f t="shared" si="30"/>
        <v>2000</v>
      </c>
      <c r="O117" s="1138">
        <v>2000</v>
      </c>
    </row>
    <row r="118" spans="1:19">
      <c r="A118" s="373" t="s">
        <v>628</v>
      </c>
      <c r="B118" s="373" t="s">
        <v>1147</v>
      </c>
      <c r="C118" s="373" t="s">
        <v>1747</v>
      </c>
      <c r="D118" s="373" t="s">
        <v>1748</v>
      </c>
      <c r="E118" s="373" t="s">
        <v>1749</v>
      </c>
      <c r="G118" s="1132">
        <v>495083.4</v>
      </c>
      <c r="H118" s="778">
        <v>495083.4</v>
      </c>
      <c r="I118" s="778">
        <v>0</v>
      </c>
      <c r="J118" s="778">
        <v>495083.4</v>
      </c>
      <c r="L118" s="1137">
        <f t="shared" si="33"/>
        <v>0</v>
      </c>
      <c r="N118" s="778">
        <f t="shared" si="30"/>
        <v>495083.4</v>
      </c>
      <c r="O118" s="1138">
        <v>495083.4</v>
      </c>
    </row>
    <row r="119" spans="1:19">
      <c r="A119" s="373" t="s">
        <v>628</v>
      </c>
      <c r="B119" s="373" t="s">
        <v>1147</v>
      </c>
      <c r="C119" s="373" t="s">
        <v>950</v>
      </c>
      <c r="D119" s="373" t="s">
        <v>949</v>
      </c>
      <c r="E119" s="373" t="s">
        <v>1150</v>
      </c>
      <c r="F119" s="1129">
        <v>2587042.39</v>
      </c>
      <c r="G119" s="1132">
        <v>-495083.4</v>
      </c>
      <c r="H119" s="778">
        <v>2091958.99</v>
      </c>
      <c r="I119" s="778">
        <v>0</v>
      </c>
      <c r="J119" s="778">
        <v>2091958.99</v>
      </c>
      <c r="L119" s="1137">
        <f t="shared" si="33"/>
        <v>0</v>
      </c>
      <c r="N119" s="778">
        <f t="shared" si="30"/>
        <v>2091958.99</v>
      </c>
      <c r="Q119" s="778">
        <v>2091958.99</v>
      </c>
    </row>
    <row r="120" spans="1:19">
      <c r="A120" s="373" t="s">
        <v>628</v>
      </c>
      <c r="B120" s="373" t="s">
        <v>1147</v>
      </c>
      <c r="C120" s="373" t="s">
        <v>715</v>
      </c>
      <c r="D120" s="373" t="s">
        <v>1097</v>
      </c>
      <c r="E120" s="373" t="s">
        <v>1098</v>
      </c>
      <c r="F120" s="1129">
        <v>123900</v>
      </c>
      <c r="H120" s="778">
        <v>123900</v>
      </c>
      <c r="I120" s="778">
        <v>88500</v>
      </c>
      <c r="J120" s="778">
        <v>35400</v>
      </c>
      <c r="L120" s="1137">
        <f t="shared" si="33"/>
        <v>0</v>
      </c>
      <c r="N120" s="778">
        <f t="shared" si="30"/>
        <v>123900</v>
      </c>
      <c r="O120" s="778">
        <v>123900</v>
      </c>
    </row>
    <row r="121" spans="1:19">
      <c r="A121" s="373" t="s">
        <v>628</v>
      </c>
      <c r="B121" s="373" t="s">
        <v>1147</v>
      </c>
      <c r="C121" s="373" t="s">
        <v>1656</v>
      </c>
      <c r="D121" s="373" t="s">
        <v>1750</v>
      </c>
      <c r="E121" s="373" t="s">
        <v>1751</v>
      </c>
      <c r="F121" s="1129">
        <v>82600</v>
      </c>
      <c r="H121" s="778">
        <v>82600</v>
      </c>
      <c r="I121" s="778">
        <v>82600</v>
      </c>
      <c r="J121" s="778">
        <v>0</v>
      </c>
      <c r="L121" s="1137">
        <f t="shared" si="33"/>
        <v>0</v>
      </c>
      <c r="N121" s="778">
        <f t="shared" si="30"/>
        <v>82600</v>
      </c>
      <c r="O121" s="778">
        <v>82600</v>
      </c>
    </row>
    <row r="122" spans="1:19">
      <c r="C122" s="373" t="s">
        <v>1602</v>
      </c>
      <c r="H122" s="778">
        <v>1065455.81</v>
      </c>
      <c r="L122" s="1137"/>
      <c r="N122" s="778">
        <f t="shared" si="30"/>
        <v>1065455.81</v>
      </c>
      <c r="O122" s="778">
        <v>1065455.81</v>
      </c>
    </row>
    <row r="123" spans="1:19" s="1134" customFormat="1">
      <c r="A123" s="1134" t="s">
        <v>390</v>
      </c>
      <c r="E123" s="1135">
        <f>SUM(E103:E119)</f>
        <v>0</v>
      </c>
      <c r="F123" s="1135">
        <f>SUM(F103:F119)</f>
        <v>10062497.27</v>
      </c>
      <c r="G123" s="1135">
        <f>SUM(G103:G119)</f>
        <v>553309.19999999995</v>
      </c>
      <c r="H123" s="1135">
        <f>SUM(H113:H122)</f>
        <v>5858428.4499999993</v>
      </c>
      <c r="I123" s="1135">
        <f t="shared" ref="I123:S123" si="34">SUM(I113:I122)</f>
        <v>649731.5</v>
      </c>
      <c r="J123" s="1135">
        <f t="shared" si="34"/>
        <v>4143241.1399999997</v>
      </c>
      <c r="K123" s="1135">
        <f t="shared" si="34"/>
        <v>0</v>
      </c>
      <c r="L123" s="1135">
        <f t="shared" si="34"/>
        <v>1.6941894015477148</v>
      </c>
      <c r="M123" s="1135">
        <f t="shared" si="34"/>
        <v>760946.5</v>
      </c>
      <c r="N123" s="1135">
        <f t="shared" si="34"/>
        <v>5097481.9499999993</v>
      </c>
      <c r="O123" s="1135">
        <f t="shared" si="34"/>
        <v>2289852.96</v>
      </c>
      <c r="P123" s="1135">
        <f t="shared" si="34"/>
        <v>357835</v>
      </c>
      <c r="Q123" s="1135">
        <f t="shared" si="34"/>
        <v>2449793.9900000002</v>
      </c>
      <c r="R123" s="1135">
        <f t="shared" si="34"/>
        <v>0</v>
      </c>
      <c r="S123" s="1135">
        <f t="shared" si="34"/>
        <v>0</v>
      </c>
    </row>
    <row r="124" spans="1:19">
      <c r="L124" s="1137"/>
    </row>
    <row r="125" spans="1:19">
      <c r="A125" s="373" t="s">
        <v>634</v>
      </c>
      <c r="B125" s="373" t="s">
        <v>1752</v>
      </c>
      <c r="C125" s="373" t="s">
        <v>295</v>
      </c>
      <c r="D125" s="373" t="s">
        <v>1605</v>
      </c>
      <c r="E125" s="373" t="s">
        <v>1606</v>
      </c>
      <c r="F125" s="1129">
        <v>706230.55</v>
      </c>
      <c r="H125" s="778">
        <v>865730.56000000006</v>
      </c>
      <c r="I125" s="778">
        <v>0</v>
      </c>
      <c r="J125" s="778">
        <v>706230.55</v>
      </c>
      <c r="L125" s="1137">
        <f>+M125/H125</f>
        <v>0</v>
      </c>
      <c r="N125" s="778">
        <f t="shared" si="30"/>
        <v>865730.56000000006</v>
      </c>
      <c r="O125" s="778">
        <v>865730.56000000006</v>
      </c>
    </row>
    <row r="126" spans="1:19">
      <c r="A126" s="373" t="s">
        <v>634</v>
      </c>
      <c r="B126" s="373" t="s">
        <v>1752</v>
      </c>
      <c r="C126" s="373" t="s">
        <v>295</v>
      </c>
      <c r="D126" s="373" t="s">
        <v>1603</v>
      </c>
      <c r="E126" s="373" t="s">
        <v>1753</v>
      </c>
      <c r="F126" s="1129">
        <v>463567</v>
      </c>
      <c r="H126" s="778">
        <v>638844.43999999994</v>
      </c>
      <c r="I126" s="778">
        <v>0</v>
      </c>
      <c r="J126" s="778">
        <v>463567</v>
      </c>
      <c r="L126" s="1137">
        <f>+M126/H126</f>
        <v>0</v>
      </c>
      <c r="N126" s="778">
        <f t="shared" si="30"/>
        <v>638844.43999999994</v>
      </c>
      <c r="O126" s="778">
        <v>638844.43999999994</v>
      </c>
    </row>
    <row r="127" spans="1:19">
      <c r="E127" s="373" t="s">
        <v>1754</v>
      </c>
      <c r="H127" s="778">
        <v>774483.33</v>
      </c>
      <c r="L127" s="1137"/>
      <c r="N127" s="778">
        <f t="shared" si="30"/>
        <v>774483.33</v>
      </c>
      <c r="O127" s="778">
        <v>774483.33</v>
      </c>
    </row>
    <row r="128" spans="1:19" s="1134" customFormat="1">
      <c r="A128" s="1134" t="s">
        <v>685</v>
      </c>
      <c r="E128" s="1135">
        <f>SUM(E107:E123)</f>
        <v>0</v>
      </c>
      <c r="F128" s="1135">
        <f>SUM(F107:F123)</f>
        <v>19832223.559999999</v>
      </c>
      <c r="G128" s="1135">
        <f>SUM(G107:G123)</f>
        <v>1106618.3999999999</v>
      </c>
      <c r="H128" s="1135">
        <f>SUM(H125:H127)</f>
        <v>2279058.33</v>
      </c>
      <c r="I128" s="1135">
        <f t="shared" ref="I128:S128" si="35">SUM(I125:I127)</f>
        <v>0</v>
      </c>
      <c r="J128" s="1135">
        <f t="shared" si="35"/>
        <v>1169797.55</v>
      </c>
      <c r="K128" s="1135">
        <f t="shared" si="35"/>
        <v>0</v>
      </c>
      <c r="L128" s="1135">
        <f t="shared" si="35"/>
        <v>0</v>
      </c>
      <c r="M128" s="1135">
        <f t="shared" si="35"/>
        <v>0</v>
      </c>
      <c r="N128" s="1135">
        <f t="shared" si="35"/>
        <v>2279058.33</v>
      </c>
      <c r="O128" s="1135">
        <f t="shared" si="35"/>
        <v>2279058.33</v>
      </c>
      <c r="P128" s="1135">
        <f t="shared" si="35"/>
        <v>0</v>
      </c>
      <c r="Q128" s="1135">
        <f t="shared" si="35"/>
        <v>0</v>
      </c>
      <c r="R128" s="1135">
        <f t="shared" si="35"/>
        <v>0</v>
      </c>
      <c r="S128" s="1135">
        <f t="shared" si="35"/>
        <v>0</v>
      </c>
    </row>
    <row r="131" spans="1:19" s="375" customFormat="1">
      <c r="A131" s="377" t="s">
        <v>447</v>
      </c>
      <c r="B131" s="377"/>
      <c r="C131" s="377"/>
      <c r="D131" s="377"/>
      <c r="E131" s="377"/>
      <c r="F131" s="1130">
        <f>SUM(F2:F126)</f>
        <v>5306899686.9499989</v>
      </c>
      <c r="G131" s="1133">
        <f>SUM(G2:G126)</f>
        <v>45279758.99000001</v>
      </c>
      <c r="H131" s="1136">
        <f>SUM(H2:H128)/2</f>
        <v>207745049.86591777</v>
      </c>
      <c r="I131" s="1136">
        <f t="shared" ref="I131:S131" si="36">SUM(I2:I128)/2</f>
        <v>65979048.340000011</v>
      </c>
      <c r="J131" s="1136">
        <f t="shared" si="36"/>
        <v>7615127.6300000008</v>
      </c>
      <c r="K131" s="1136">
        <f t="shared" si="36"/>
        <v>0</v>
      </c>
      <c r="L131" s="1136">
        <f t="shared" si="36"/>
        <v>10.282458502552336</v>
      </c>
      <c r="M131" s="1136">
        <f t="shared" si="36"/>
        <v>17141464.539999999</v>
      </c>
      <c r="N131" s="1136">
        <f t="shared" si="36"/>
        <v>190603585.32591775</v>
      </c>
      <c r="O131" s="1136">
        <f t="shared" si="36"/>
        <v>55903738.911183551</v>
      </c>
      <c r="P131" s="1136">
        <f t="shared" si="36"/>
        <v>32739523.071183559</v>
      </c>
      <c r="Q131" s="1136">
        <f t="shared" si="36"/>
        <v>38024175.121183552</v>
      </c>
      <c r="R131" s="1136">
        <f t="shared" si="36"/>
        <v>28749756.99118356</v>
      </c>
      <c r="S131" s="1136">
        <f t="shared" si="36"/>
        <v>29448022.99118356</v>
      </c>
    </row>
    <row r="132" spans="1:19">
      <c r="H132" s="778">
        <f>+H3+H13+H30+H33+H36+H42+H49+H54+H69+H79+H85+H90+H111+H123+H128</f>
        <v>207745049.8659178</v>
      </c>
      <c r="I132" s="778">
        <f t="shared" ref="I132:S132" si="37">+I3+I13+I30+I33+I36+I42+I49+I54+I69+I79+I85+I90+I111+I123+I128</f>
        <v>65979048.339999989</v>
      </c>
      <c r="J132" s="778">
        <f t="shared" si="37"/>
        <v>7615127.6299999999</v>
      </c>
      <c r="K132" s="778">
        <f t="shared" si="37"/>
        <v>0</v>
      </c>
      <c r="L132" s="778">
        <f t="shared" si="37"/>
        <v>10.282458502552338</v>
      </c>
      <c r="M132" s="778">
        <f t="shared" si="37"/>
        <v>17141464.539999999</v>
      </c>
      <c r="N132" s="778">
        <f t="shared" si="37"/>
        <v>190603585.32591778</v>
      </c>
      <c r="O132" s="778">
        <f t="shared" si="37"/>
        <v>55903738.911183551</v>
      </c>
      <c r="P132" s="778">
        <f t="shared" si="37"/>
        <v>32739523.071183562</v>
      </c>
      <c r="Q132" s="778">
        <f t="shared" si="37"/>
        <v>38024175.121183567</v>
      </c>
      <c r="R132" s="778">
        <f t="shared" si="37"/>
        <v>28749756.991183564</v>
      </c>
      <c r="S132" s="778">
        <f t="shared" si="37"/>
        <v>29448022.991183564</v>
      </c>
    </row>
  </sheetData>
  <autoFilter ref="A1:S131" xr:uid="{90F62FA5-A763-4982-A315-BA125E406009}"/>
  <phoneticPr fontId="3" type="noConversion"/>
  <conditionalFormatting sqref="C3">
    <cfRule type="duplicateValues" dxfId="19" priority="16"/>
  </conditionalFormatting>
  <conditionalFormatting sqref="C13">
    <cfRule type="duplicateValues" dxfId="18" priority="15"/>
  </conditionalFormatting>
  <conditionalFormatting sqref="C30">
    <cfRule type="duplicateValues" dxfId="17" priority="14"/>
  </conditionalFormatting>
  <conditionalFormatting sqref="C33">
    <cfRule type="duplicateValues" dxfId="16" priority="13"/>
  </conditionalFormatting>
  <conditionalFormatting sqref="C36:C37">
    <cfRule type="duplicateValues" dxfId="15" priority="12"/>
  </conditionalFormatting>
  <conditionalFormatting sqref="C42">
    <cfRule type="duplicateValues" dxfId="14" priority="11"/>
  </conditionalFormatting>
  <conditionalFormatting sqref="C49">
    <cfRule type="duplicateValues" dxfId="13" priority="10"/>
  </conditionalFormatting>
  <conditionalFormatting sqref="C54">
    <cfRule type="duplicateValues" dxfId="12" priority="9"/>
  </conditionalFormatting>
  <conditionalFormatting sqref="C69">
    <cfRule type="duplicateValues" dxfId="11" priority="8"/>
  </conditionalFormatting>
  <conditionalFormatting sqref="C79:C80">
    <cfRule type="duplicateValues" dxfId="10" priority="5"/>
  </conditionalFormatting>
  <conditionalFormatting sqref="C85">
    <cfRule type="duplicateValues" dxfId="9" priority="7"/>
  </conditionalFormatting>
  <conditionalFormatting sqref="C90">
    <cfRule type="duplicateValues" dxfId="8" priority="4"/>
  </conditionalFormatting>
  <conditionalFormatting sqref="C111">
    <cfRule type="duplicateValues" dxfId="7" priority="3"/>
  </conditionalFormatting>
  <conditionalFormatting sqref="C123">
    <cfRule type="duplicateValues" dxfId="6" priority="2"/>
  </conditionalFormatting>
  <conditionalFormatting sqref="C128">
    <cfRule type="duplicateValues" dxfId="5" priority="1"/>
  </conditionalFormatting>
  <conditionalFormatting sqref="D71:D78">
    <cfRule type="duplicateValues" dxfId="4" priority="53"/>
  </conditionalFormatting>
  <conditionalFormatting sqref="D129:D1048576 D112:D122 D86:D89 D81:D84 D50:D53 D43:D48 D38:D41 D1:D2 D4:D12 D14:D29 D31:D32 D34:D35 D55:D68 D91:D110 D124:D127">
    <cfRule type="duplicateValues" dxfId="3" priority="20"/>
  </conditionalFormatting>
  <pageMargins left="0.7" right="0.7" top="0.75" bottom="0.75" header="0.3" footer="0.3"/>
  <pageSetup orientation="portrait" horizontalDpi="4294967295" verticalDpi="4294967295" r:id="rId1"/>
  <legacyDrawing r:id="rId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458AB-54ED-4E9C-AF9C-5783A67AC4F7}">
  <dimension ref="A1:L50"/>
  <sheetViews>
    <sheetView showGridLines="0" topLeftCell="A4" zoomScaleNormal="100" workbookViewId="0">
      <selection activeCell="E22" sqref="E22"/>
    </sheetView>
  </sheetViews>
  <sheetFormatPr baseColWidth="10" defaultColWidth="8" defaultRowHeight="11.4"/>
  <cols>
    <col min="1" max="1" width="1.33203125" style="408" customWidth="1"/>
    <col min="2" max="2" width="42.6640625" style="408" customWidth="1"/>
    <col min="3" max="3" width="13.33203125" style="408" customWidth="1"/>
    <col min="4" max="4" width="4.88671875" style="408" customWidth="1"/>
    <col min="5" max="5" width="15.5546875" style="408" bestFit="1" customWidth="1"/>
    <col min="6" max="7" width="8" style="408"/>
    <col min="8" max="8" width="49.33203125" style="408" customWidth="1"/>
    <col min="9" max="9" width="13.44140625" style="408" bestFit="1" customWidth="1"/>
    <col min="10" max="10" width="12.44140625" style="408" bestFit="1" customWidth="1"/>
    <col min="11" max="11" width="13.44140625" style="408" bestFit="1" customWidth="1"/>
    <col min="12" max="12" width="11" style="408" bestFit="1" customWidth="1"/>
    <col min="13" max="16384" width="8" style="408"/>
  </cols>
  <sheetData>
    <row r="1" spans="1:11" s="405" customFormat="1" ht="16.649999999999999" customHeight="1">
      <c r="A1" s="404" t="s">
        <v>235</v>
      </c>
      <c r="B1" s="404"/>
      <c r="C1" s="404"/>
      <c r="D1" s="404"/>
      <c r="H1" s="447" t="s">
        <v>662</v>
      </c>
      <c r="I1" s="447"/>
      <c r="J1" s="447"/>
      <c r="K1" s="447"/>
    </row>
    <row r="2" spans="1:11" s="407" customFormat="1" ht="14.4" customHeight="1">
      <c r="A2" s="406" t="s">
        <v>236</v>
      </c>
      <c r="B2" s="406"/>
      <c r="C2" s="406"/>
      <c r="D2" s="406"/>
      <c r="H2" s="449" t="s">
        <v>236</v>
      </c>
      <c r="I2" s="449"/>
      <c r="J2" s="449"/>
      <c r="K2" s="449"/>
    </row>
    <row r="3" spans="1:11" s="407" customFormat="1" ht="14.4" customHeight="1">
      <c r="A3" s="406" t="s">
        <v>1628</v>
      </c>
      <c r="B3" s="406"/>
      <c r="C3" s="406"/>
      <c r="D3" s="406"/>
      <c r="H3" s="449" t="s">
        <v>1755</v>
      </c>
      <c r="I3" s="449"/>
      <c r="J3" s="449"/>
      <c r="K3" s="449"/>
    </row>
    <row r="4" spans="1:11" ht="13.35" customHeight="1">
      <c r="H4"/>
      <c r="I4"/>
      <c r="J4"/>
      <c r="K4"/>
    </row>
    <row r="5" spans="1:11" s="412" customFormat="1" ht="12.15" customHeight="1">
      <c r="A5" s="409"/>
      <c r="B5" s="410" t="s">
        <v>238</v>
      </c>
      <c r="C5" s="411" t="s">
        <v>1756</v>
      </c>
      <c r="D5" s="411"/>
      <c r="H5" s="451" t="s">
        <v>862</v>
      </c>
      <c r="I5" s="452" t="s">
        <v>665</v>
      </c>
      <c r="J5" s="452" t="s">
        <v>666</v>
      </c>
      <c r="K5" s="452" t="s">
        <v>976</v>
      </c>
    </row>
    <row r="6" spans="1:11" ht="13.35" customHeight="1">
      <c r="H6" s="455" t="s">
        <v>1388</v>
      </c>
      <c r="I6" s="456">
        <v>351386221.82999998</v>
      </c>
      <c r="J6" s="456">
        <v>86942321.670000002</v>
      </c>
      <c r="K6" s="456">
        <f>+I6-J6</f>
        <v>264443900.15999997</v>
      </c>
    </row>
    <row r="7" spans="1:11" s="412" customFormat="1" ht="12.15" customHeight="1">
      <c r="A7" s="409" t="s">
        <v>239</v>
      </c>
      <c r="B7" s="409"/>
      <c r="C7" s="409"/>
      <c r="D7" s="409"/>
      <c r="H7" s="459" t="s">
        <v>1389</v>
      </c>
      <c r="I7" s="460">
        <v>23311122.469999999</v>
      </c>
      <c r="J7" s="460">
        <v>0</v>
      </c>
      <c r="K7" s="456">
        <f t="shared" ref="K7:K11" si="0">+I7-J7</f>
        <v>23311122.469999999</v>
      </c>
    </row>
    <row r="8" spans="1:11" ht="10.95" customHeight="1">
      <c r="A8" s="413"/>
      <c r="B8" s="413" t="s">
        <v>638</v>
      </c>
      <c r="C8" s="413"/>
      <c r="D8" s="413"/>
      <c r="H8" s="459" t="s">
        <v>1025</v>
      </c>
      <c r="I8" s="460">
        <v>18436416.079999998</v>
      </c>
      <c r="J8" s="460">
        <v>1993193.66</v>
      </c>
      <c r="K8" s="456">
        <f t="shared" si="0"/>
        <v>16443222.419999998</v>
      </c>
    </row>
    <row r="9" spans="1:11" ht="10.95" customHeight="1">
      <c r="B9" s="414" t="s">
        <v>639</v>
      </c>
      <c r="C9" s="415">
        <v>842787.61</v>
      </c>
      <c r="D9" s="414"/>
      <c r="H9" s="459" t="s">
        <v>1037</v>
      </c>
      <c r="I9" s="460">
        <v>16558081.1</v>
      </c>
      <c r="J9" s="460">
        <v>0</v>
      </c>
      <c r="K9" s="456">
        <f t="shared" si="0"/>
        <v>16558081.1</v>
      </c>
    </row>
    <row r="10" spans="1:11" ht="10.95" customHeight="1">
      <c r="B10" s="414" t="s">
        <v>1608</v>
      </c>
      <c r="C10" s="415">
        <v>3706605.05</v>
      </c>
      <c r="D10" s="414" t="s">
        <v>641</v>
      </c>
      <c r="H10" s="459" t="s">
        <v>1390</v>
      </c>
      <c r="I10" s="460">
        <v>281878.40000000002</v>
      </c>
      <c r="J10" s="460">
        <v>0</v>
      </c>
      <c r="K10" s="456">
        <f t="shared" si="0"/>
        <v>281878.40000000002</v>
      </c>
    </row>
    <row r="11" spans="1:11" ht="10.95" customHeight="1">
      <c r="B11" s="414" t="s">
        <v>640</v>
      </c>
      <c r="C11" s="415">
        <v>148279.78</v>
      </c>
      <c r="D11" s="414" t="s">
        <v>641</v>
      </c>
      <c r="H11" s="459" t="s">
        <v>1391</v>
      </c>
      <c r="I11" s="460">
        <v>54785.34</v>
      </c>
      <c r="J11" s="460">
        <v>0</v>
      </c>
      <c r="K11" s="456">
        <f t="shared" si="0"/>
        <v>54785.34</v>
      </c>
    </row>
    <row r="12" spans="1:11" ht="10.95" customHeight="1">
      <c r="B12" s="414" t="s">
        <v>1392</v>
      </c>
      <c r="C12" s="415">
        <v>49546158.100000001</v>
      </c>
      <c r="D12" s="414" t="s">
        <v>641</v>
      </c>
      <c r="H12" s="1049" t="s">
        <v>1393</v>
      </c>
      <c r="I12" s="1051">
        <f>SUM(I6:I11)</f>
        <v>410028505.21999991</v>
      </c>
      <c r="J12" s="1051">
        <f>SUM(J6:J11)</f>
        <v>88935515.329999998</v>
      </c>
      <c r="K12" s="1051">
        <f>SUM(K6:K11)</f>
        <v>321092989.88999999</v>
      </c>
    </row>
    <row r="13" spans="1:11" ht="10.95" customHeight="1">
      <c r="B13" s="414" t="s">
        <v>1394</v>
      </c>
      <c r="C13" s="415">
        <v>5268268.24</v>
      </c>
      <c r="D13" s="414"/>
      <c r="H13" s="459"/>
      <c r="I13" s="460"/>
      <c r="J13" s="460"/>
      <c r="K13" s="460"/>
    </row>
    <row r="14" spans="1:11" ht="10.95" customHeight="1">
      <c r="B14" s="414" t="s">
        <v>844</v>
      </c>
      <c r="C14" s="415">
        <v>394548.46</v>
      </c>
      <c r="D14" s="414" t="s">
        <v>641</v>
      </c>
      <c r="H14" s="459" t="s">
        <v>954</v>
      </c>
      <c r="I14" s="460">
        <v>9011175.9700000007</v>
      </c>
      <c r="J14" s="460">
        <v>0</v>
      </c>
      <c r="K14" s="460">
        <f>+I14-J14</f>
        <v>9011175.9700000007</v>
      </c>
    </row>
    <row r="15" spans="1:11" ht="10.95" customHeight="1">
      <c r="B15" s="414" t="s">
        <v>845</v>
      </c>
      <c r="C15" s="415">
        <v>343454.57</v>
      </c>
      <c r="D15" s="414"/>
      <c r="H15" s="1143" t="s">
        <v>1610</v>
      </c>
      <c r="I15" s="1144">
        <v>20682521.82</v>
      </c>
      <c r="J15" s="1144">
        <v>0</v>
      </c>
      <c r="K15" s="1144">
        <f t="shared" ref="K15:K24" si="1">+I15-J15</f>
        <v>20682521.82</v>
      </c>
    </row>
    <row r="16" spans="1:11" ht="10.95" customHeight="1">
      <c r="B16" s="416" t="s">
        <v>642</v>
      </c>
      <c r="C16" s="417">
        <f>SUM(C9:C15)</f>
        <v>60250101.810000002</v>
      </c>
      <c r="D16" s="416"/>
      <c r="E16" s="400"/>
      <c r="H16" s="1143" t="s">
        <v>1279</v>
      </c>
      <c r="I16" s="1144">
        <v>2301000</v>
      </c>
      <c r="J16" s="1144">
        <v>0</v>
      </c>
      <c r="K16" s="1144">
        <f t="shared" si="1"/>
        <v>2301000</v>
      </c>
    </row>
    <row r="17" spans="1:12" ht="10.95" customHeight="1">
      <c r="A17" s="413"/>
      <c r="B17" s="413" t="s">
        <v>240</v>
      </c>
      <c r="C17" s="413"/>
      <c r="D17" s="413"/>
      <c r="H17" s="1143" t="s">
        <v>1280</v>
      </c>
      <c r="I17" s="1144">
        <v>7231717.4699999997</v>
      </c>
      <c r="J17" s="1144">
        <v>0</v>
      </c>
      <c r="K17" s="1144">
        <f t="shared" si="1"/>
        <v>7231717.4699999997</v>
      </c>
      <c r="L17" s="820">
        <f>SUM(K15:K17)</f>
        <v>30215239.289999999</v>
      </c>
    </row>
    <row r="18" spans="1:12" ht="10.95" customHeight="1">
      <c r="B18" s="414" t="s">
        <v>241</v>
      </c>
      <c r="C18" s="415">
        <v>11252134.9</v>
      </c>
      <c r="D18" s="414"/>
      <c r="H18" s="459" t="s">
        <v>1757</v>
      </c>
      <c r="I18" s="460">
        <v>348999.97</v>
      </c>
      <c r="J18" s="460">
        <v>0</v>
      </c>
      <c r="K18" s="460">
        <f t="shared" si="1"/>
        <v>348999.97</v>
      </c>
    </row>
    <row r="19" spans="1:12" ht="10.95" customHeight="1">
      <c r="B19" s="416" t="s">
        <v>242</v>
      </c>
      <c r="C19" s="417">
        <f>C18</f>
        <v>11252134.9</v>
      </c>
      <c r="D19" s="416"/>
      <c r="H19" s="459" t="s">
        <v>1281</v>
      </c>
      <c r="I19" s="460">
        <v>634243.82999999996</v>
      </c>
      <c r="J19" s="460">
        <v>0</v>
      </c>
      <c r="K19" s="460">
        <f t="shared" si="1"/>
        <v>634243.82999999996</v>
      </c>
    </row>
    <row r="20" spans="1:12" ht="10.95" customHeight="1">
      <c r="A20" s="413"/>
      <c r="B20" s="413" t="s">
        <v>243</v>
      </c>
      <c r="C20" s="413"/>
      <c r="D20" s="413"/>
      <c r="H20" s="459" t="s">
        <v>1282</v>
      </c>
      <c r="I20" s="460">
        <v>660683.31000000006</v>
      </c>
      <c r="J20" s="460">
        <v>0</v>
      </c>
      <c r="K20" s="460">
        <f t="shared" si="1"/>
        <v>660683.31000000006</v>
      </c>
    </row>
    <row r="21" spans="1:12" ht="10.95" customHeight="1">
      <c r="B21" s="414" t="s">
        <v>1278</v>
      </c>
      <c r="C21" s="415">
        <v>4.1900000000000004</v>
      </c>
      <c r="D21" s="414"/>
      <c r="H21" s="459" t="s">
        <v>1283</v>
      </c>
      <c r="I21" s="460">
        <v>6861094.1699999999</v>
      </c>
      <c r="J21" s="460">
        <v>1537035.04</v>
      </c>
      <c r="K21" s="460">
        <f t="shared" si="1"/>
        <v>5324059.13</v>
      </c>
    </row>
    <row r="22" spans="1:12" ht="10.95" customHeight="1">
      <c r="B22" s="414" t="s">
        <v>800</v>
      </c>
      <c r="C22" s="415">
        <v>321092989.88999999</v>
      </c>
      <c r="D22" s="414"/>
      <c r="H22" s="459" t="s">
        <v>855</v>
      </c>
      <c r="I22" s="460">
        <v>7151125.7800000003</v>
      </c>
      <c r="J22" s="460">
        <v>0</v>
      </c>
      <c r="K22" s="460">
        <f t="shared" si="1"/>
        <v>7151125.7800000003</v>
      </c>
    </row>
    <row r="23" spans="1:12" ht="10.95" customHeight="1">
      <c r="B23" s="414" t="s">
        <v>245</v>
      </c>
      <c r="C23" s="415">
        <v>62527190.590000004</v>
      </c>
      <c r="D23" s="414"/>
      <c r="H23" s="459" t="s">
        <v>858</v>
      </c>
      <c r="I23" s="460">
        <v>7893654.8399999999</v>
      </c>
      <c r="J23" s="460">
        <v>18821</v>
      </c>
      <c r="K23" s="460">
        <f t="shared" si="1"/>
        <v>7874833.8399999999</v>
      </c>
    </row>
    <row r="24" spans="1:12" ht="10.95" customHeight="1">
      <c r="B24" s="414" t="s">
        <v>801</v>
      </c>
      <c r="C24" s="415">
        <v>15283526.869999999</v>
      </c>
      <c r="D24" s="414"/>
      <c r="H24" s="459" t="s">
        <v>1758</v>
      </c>
      <c r="I24" s="460">
        <v>1306829.47</v>
      </c>
      <c r="J24" s="460">
        <v>0</v>
      </c>
      <c r="K24" s="460">
        <f t="shared" si="1"/>
        <v>1306829.47</v>
      </c>
    </row>
    <row r="25" spans="1:12" ht="10.95" customHeight="1">
      <c r="B25" s="416" t="s">
        <v>247</v>
      </c>
      <c r="C25" s="417">
        <f>SUM(C21:C24)</f>
        <v>398903711.53999996</v>
      </c>
      <c r="D25" s="416"/>
      <c r="H25" s="1049" t="s">
        <v>1395</v>
      </c>
      <c r="I25" s="1050">
        <f>SUM(I14:I24)</f>
        <v>64083046.629999995</v>
      </c>
      <c r="J25" s="1050">
        <f>SUM(J14:J24)</f>
        <v>1555856.04</v>
      </c>
      <c r="K25" s="1050">
        <f>SUM(K14:K24)</f>
        <v>62527190.590000004</v>
      </c>
    </row>
    <row r="26" spans="1:12" ht="10.95" customHeight="1">
      <c r="A26" s="416" t="s">
        <v>248</v>
      </c>
      <c r="C26" s="417">
        <f>(0 + ((C16 + C19) + C25))</f>
        <v>470405948.25</v>
      </c>
      <c r="D26" s="416"/>
      <c r="H26" s="459"/>
      <c r="I26" s="460"/>
      <c r="J26" s="460"/>
      <c r="K26" s="460"/>
    </row>
    <row r="27" spans="1:12" ht="13.35" customHeight="1">
      <c r="H27" s="459" t="s">
        <v>860</v>
      </c>
      <c r="I27" s="460">
        <v>18786874.609999999</v>
      </c>
      <c r="J27" s="460">
        <v>3503347.74</v>
      </c>
      <c r="K27" s="460">
        <f>+I27-J27</f>
        <v>15283526.869999999</v>
      </c>
    </row>
    <row r="28" spans="1:12" s="412" customFormat="1" ht="12.15" customHeight="1">
      <c r="A28" s="409" t="s">
        <v>249</v>
      </c>
      <c r="B28" s="409"/>
      <c r="C28" s="409"/>
      <c r="D28" s="409"/>
      <c r="H28" s="1049" t="s">
        <v>1396</v>
      </c>
      <c r="I28" s="1048">
        <f>SUM(I27:I27)</f>
        <v>18786874.609999999</v>
      </c>
      <c r="J28" s="1048">
        <f>SUM(J27:J27)</f>
        <v>3503347.74</v>
      </c>
      <c r="K28" s="1048">
        <f>SUM(K27:K27)</f>
        <v>15283526.869999999</v>
      </c>
    </row>
    <row r="29" spans="1:12" ht="10.95" customHeight="1">
      <c r="A29" s="413"/>
      <c r="B29" s="413" t="s">
        <v>250</v>
      </c>
      <c r="C29" s="413"/>
      <c r="D29" s="413"/>
      <c r="H29" s="1047"/>
      <c r="I29" s="431"/>
      <c r="J29" s="431"/>
      <c r="K29" s="431"/>
    </row>
    <row r="30" spans="1:12" ht="10.95" customHeight="1">
      <c r="B30" s="414" t="s">
        <v>799</v>
      </c>
      <c r="C30" s="415">
        <v>61885.08</v>
      </c>
      <c r="D30" s="414" t="s">
        <v>641</v>
      </c>
      <c r="H30" s="461" t="s">
        <v>164</v>
      </c>
      <c r="I30" s="462">
        <f>+I12+I25+I28</f>
        <v>492898426.45999992</v>
      </c>
      <c r="J30" s="462">
        <f t="shared" ref="J30:K30" si="2">+J12+J25+J28</f>
        <v>93994719.109999999</v>
      </c>
      <c r="K30" s="462">
        <f t="shared" si="2"/>
        <v>398903707.35000002</v>
      </c>
    </row>
    <row r="31" spans="1:12" ht="10.95" customHeight="1">
      <c r="B31" s="414" t="s">
        <v>251</v>
      </c>
      <c r="C31" s="415">
        <v>31976632.670000002</v>
      </c>
      <c r="D31" s="414" t="s">
        <v>641</v>
      </c>
    </row>
    <row r="32" spans="1:12" ht="10.95" customHeight="1">
      <c r="B32" s="414" t="s">
        <v>965</v>
      </c>
      <c r="C32" s="415">
        <v>48308474.909999996</v>
      </c>
      <c r="D32" s="414"/>
    </row>
    <row r="33" spans="1:4" ht="10.95" customHeight="1">
      <c r="B33" s="414" t="s">
        <v>802</v>
      </c>
      <c r="C33" s="415">
        <v>57642843.719999999</v>
      </c>
      <c r="D33" s="414"/>
    </row>
    <row r="34" spans="1:4" ht="10.95" customHeight="1">
      <c r="B34" s="414" t="s">
        <v>804</v>
      </c>
      <c r="C34" s="415">
        <v>15883.39</v>
      </c>
      <c r="D34" s="414"/>
    </row>
    <row r="35" spans="1:4" ht="10.95" customHeight="1">
      <c r="B35" s="414" t="s">
        <v>813</v>
      </c>
      <c r="C35" s="415">
        <v>278922.65000000002</v>
      </c>
      <c r="D35" s="414"/>
    </row>
    <row r="36" spans="1:4" ht="10.95" customHeight="1">
      <c r="B36" s="416" t="s">
        <v>253</v>
      </c>
      <c r="C36" s="417">
        <f>SUM(C30:C35)</f>
        <v>138284642.41999999</v>
      </c>
      <c r="D36" s="416"/>
    </row>
    <row r="37" spans="1:4" ht="10.95" customHeight="1">
      <c r="A37" s="416" t="s">
        <v>254</v>
      </c>
      <c r="C37" s="417">
        <f>(0 + C36)</f>
        <v>138284642.41999999</v>
      </c>
      <c r="D37" s="416"/>
    </row>
    <row r="38" spans="1:4" ht="13.35" customHeight="1"/>
    <row r="39" spans="1:4" ht="10.95" customHeight="1">
      <c r="B39" s="419" t="s">
        <v>255</v>
      </c>
      <c r="C39" s="420">
        <f>(C26 - C37)</f>
        <v>332121305.83000004</v>
      </c>
      <c r="D39" s="419"/>
    </row>
    <row r="40" spans="1:4" ht="13.35" customHeight="1"/>
    <row r="41" spans="1:4" s="412" customFormat="1" ht="12.15" customHeight="1">
      <c r="A41" s="409" t="s">
        <v>256</v>
      </c>
      <c r="B41" s="409"/>
      <c r="C41" s="409"/>
      <c r="D41" s="409"/>
    </row>
    <row r="42" spans="1:4" ht="10.95" customHeight="1">
      <c r="B42" s="421" t="s">
        <v>257</v>
      </c>
      <c r="C42" s="422">
        <v>329948451.97000003</v>
      </c>
      <c r="D42" s="421"/>
    </row>
    <row r="43" spans="1:4" ht="10.95" customHeight="1">
      <c r="B43" s="414" t="s">
        <v>647</v>
      </c>
      <c r="C43" s="415">
        <v>2035015.39</v>
      </c>
      <c r="D43" s="414"/>
    </row>
    <row r="44" spans="1:4" ht="10.95" customHeight="1">
      <c r="B44" s="414" t="s">
        <v>846</v>
      </c>
      <c r="C44" s="415">
        <v>137838.47</v>
      </c>
      <c r="D44" s="414"/>
    </row>
    <row r="45" spans="1:4" ht="10.95" customHeight="1">
      <c r="A45" s="416" t="s">
        <v>258</v>
      </c>
      <c r="C45" s="417">
        <f>SUM(C42:C44)</f>
        <v>332121305.83000004</v>
      </c>
      <c r="D45" s="416"/>
    </row>
    <row r="46" spans="1:4" ht="13.35" customHeight="1"/>
    <row r="47" spans="1:4" ht="13.35" customHeight="1"/>
    <row r="48" spans="1:4" ht="10.95" customHeight="1">
      <c r="A48" s="423" t="s">
        <v>648</v>
      </c>
    </row>
    <row r="49" spans="1:1" ht="10.95" customHeight="1">
      <c r="A49" s="424" t="s">
        <v>1756</v>
      </c>
    </row>
    <row r="50" spans="1:1" ht="10.95" customHeight="1">
      <c r="A50" s="423" t="s">
        <v>1759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0D105-D533-41BA-8D7C-A08C181E1D2A}">
  <sheetPr>
    <tabColor theme="5" tint="0.79998168889431442"/>
  </sheetPr>
  <dimension ref="A1:U50"/>
  <sheetViews>
    <sheetView showGridLines="0" topLeftCell="A2" zoomScale="110" zoomScaleNormal="110" workbookViewId="0">
      <pane xSplit="7" ySplit="3" topLeftCell="H5" activePane="bottomRight" state="frozen"/>
      <selection pane="topRight" activeCell="H2" sqref="H2"/>
      <selection pane="bottomLeft" activeCell="A5" sqref="A5"/>
      <selection pane="bottomRight" activeCell="O6" sqref="O6"/>
    </sheetView>
  </sheetViews>
  <sheetFormatPr baseColWidth="10" defaultColWidth="11.44140625" defaultRowHeight="14.4"/>
  <cols>
    <col min="1" max="1" width="3.6640625" customWidth="1"/>
    <col min="2" max="2" width="27.109375" customWidth="1"/>
    <col min="3" max="5" width="18" hidden="1" customWidth="1"/>
    <col min="6" max="6" width="14.6640625" style="841" hidden="1" customWidth="1"/>
    <col min="7" max="7" width="17.6640625" style="841" customWidth="1"/>
    <col min="8" max="8" width="13.33203125" customWidth="1"/>
    <col min="9" max="9" width="16.33203125" bestFit="1" customWidth="1"/>
    <col min="10" max="11" width="13.6640625" customWidth="1"/>
    <col min="12" max="12" width="13.33203125" customWidth="1"/>
    <col min="13" max="14" width="15" customWidth="1"/>
    <col min="15" max="15" width="15.5546875" bestFit="1" customWidth="1"/>
    <col min="16" max="16" width="18.109375" customWidth="1"/>
    <col min="17" max="17" width="17.6640625" customWidth="1"/>
    <col min="18" max="18" width="16.109375" customWidth="1"/>
    <col min="19" max="19" width="18.5546875" customWidth="1"/>
    <col min="20" max="20" width="17" customWidth="1"/>
    <col min="21" max="23" width="15.44140625" bestFit="1" customWidth="1"/>
    <col min="24" max="24" width="14.44140625" bestFit="1" customWidth="1"/>
  </cols>
  <sheetData>
    <row r="1" spans="1:21" ht="21.6" customHeight="1">
      <c r="E1" s="370"/>
      <c r="H1" s="370"/>
      <c r="J1" s="370"/>
      <c r="O1" s="732"/>
      <c r="R1" s="2109" t="s">
        <v>185</v>
      </c>
      <c r="S1" s="2109"/>
      <c r="T1" s="2109"/>
      <c r="U1" s="2109"/>
    </row>
    <row r="2" spans="1:21" ht="15" thickBot="1">
      <c r="E2" s="509"/>
      <c r="F2" s="840"/>
      <c r="G2" s="840"/>
      <c r="H2" s="509"/>
      <c r="I2" s="181" t="s">
        <v>197</v>
      </c>
      <c r="J2" s="2148" t="s">
        <v>1611</v>
      </c>
      <c r="K2" s="2148"/>
      <c r="L2" s="2148"/>
      <c r="M2" s="2148"/>
      <c r="N2" s="2148"/>
      <c r="O2" s="1111"/>
      <c r="P2" s="181" t="s">
        <v>199</v>
      </c>
      <c r="Q2" s="181" t="s">
        <v>225</v>
      </c>
      <c r="R2" s="2109"/>
      <c r="S2" s="2109"/>
      <c r="T2" s="2109"/>
      <c r="U2" s="2109"/>
    </row>
    <row r="3" spans="1:21" ht="15.6" customHeight="1" thickBot="1">
      <c r="B3" s="1033" t="s">
        <v>1445</v>
      </c>
      <c r="C3" s="1034"/>
      <c r="D3" s="1035"/>
      <c r="E3" s="1035"/>
      <c r="F3" s="1036"/>
      <c r="G3" s="1036"/>
      <c r="H3" s="1037">
        <v>61</v>
      </c>
      <c r="I3" s="2142" t="s">
        <v>145</v>
      </c>
      <c r="J3" s="2146" t="s">
        <v>650</v>
      </c>
      <c r="K3" s="2146" t="s">
        <v>1612</v>
      </c>
      <c r="L3" s="2146" t="s">
        <v>1541</v>
      </c>
      <c r="M3" s="2146" t="s">
        <v>1613</v>
      </c>
      <c r="N3" s="2146" t="s">
        <v>652</v>
      </c>
      <c r="O3" s="2142" t="s">
        <v>227</v>
      </c>
      <c r="P3" s="2142" t="s">
        <v>807</v>
      </c>
      <c r="Q3" s="2142" t="s">
        <v>146</v>
      </c>
      <c r="R3" s="183"/>
      <c r="S3" s="183"/>
      <c r="T3" s="183"/>
      <c r="U3" s="183"/>
    </row>
    <row r="4" spans="1:21" ht="16.95" customHeight="1" thickBot="1">
      <c r="A4" s="152"/>
      <c r="B4" s="1038" t="s">
        <v>29</v>
      </c>
      <c r="C4" s="1039" t="s">
        <v>762</v>
      </c>
      <c r="D4" s="1038" t="s">
        <v>763</v>
      </c>
      <c r="E4" s="1110" t="s">
        <v>1446</v>
      </c>
      <c r="F4" s="1110" t="s">
        <v>1614</v>
      </c>
      <c r="G4" s="1038" t="s">
        <v>1614</v>
      </c>
      <c r="H4" s="1038" t="s">
        <v>31</v>
      </c>
      <c r="I4" s="2143"/>
      <c r="J4" s="2147"/>
      <c r="K4" s="2147"/>
      <c r="L4" s="2147"/>
      <c r="M4" s="2147"/>
      <c r="N4" s="2147"/>
      <c r="O4" s="2143"/>
      <c r="P4" s="2143"/>
      <c r="Q4" s="2143"/>
      <c r="R4" s="183"/>
      <c r="S4" s="183"/>
      <c r="T4" s="183"/>
      <c r="U4" s="183"/>
    </row>
    <row r="5" spans="1:21">
      <c r="A5">
        <v>1</v>
      </c>
      <c r="B5" s="335" t="s">
        <v>33</v>
      </c>
      <c r="C5" s="1025">
        <f>SUM('budget (11)'!D2:D3)</f>
        <v>103385169</v>
      </c>
      <c r="D5" s="1053">
        <v>103385169</v>
      </c>
      <c r="E5" s="1053">
        <f>+'ADI 462 julio 25 '!D18</f>
        <v>105180000</v>
      </c>
      <c r="F5" s="1054">
        <f>+'ADI 462 AGO25'!D18</f>
        <v>106933000</v>
      </c>
      <c r="G5" s="1054">
        <f>+'Finanza 08-25'!F2</f>
        <v>264445080.16</v>
      </c>
      <c r="H5" s="1053">
        <f>G5/H3</f>
        <v>4335165.2485245904</v>
      </c>
      <c r="I5" s="1055">
        <f>+'Finanza 08-25'!F2</f>
        <v>264445080.16</v>
      </c>
      <c r="J5" s="1055">
        <f>+'Finanza 08-25'!G2</f>
        <v>264443901.16</v>
      </c>
      <c r="K5" s="1055">
        <f>+'Finanza 08-25'!H2</f>
        <v>0</v>
      </c>
      <c r="L5" s="1055">
        <f>+'Reembolsos MMHB 08-25'!E8</f>
        <v>18016</v>
      </c>
      <c r="M5" s="1055"/>
      <c r="N5" s="1055"/>
      <c r="O5" s="1055">
        <f>+J5-K5-L5-M5+N5</f>
        <v>264425885.16</v>
      </c>
      <c r="P5" s="1056">
        <f>I5-O5</f>
        <v>19195</v>
      </c>
      <c r="Q5" s="1056">
        <f t="shared" ref="Q5:Q11" si="0">+G5-I5</f>
        <v>0</v>
      </c>
      <c r="R5" s="183"/>
      <c r="S5" s="183"/>
      <c r="T5" s="183"/>
      <c r="U5" s="183"/>
    </row>
    <row r="6" spans="1:21">
      <c r="B6" s="1044" t="s">
        <v>35</v>
      </c>
      <c r="C6" s="1017">
        <f>SUM('budget (11)'!D11:D24)</f>
        <v>451758999.99999994</v>
      </c>
      <c r="D6" s="1057">
        <v>451758999.99999994</v>
      </c>
      <c r="E6" s="1057">
        <f>+'ADI 462 julio 25 '!D19</f>
        <v>461429397</v>
      </c>
      <c r="F6" s="1058">
        <f>+'ADI 462 AGO25'!D19</f>
        <v>469173666.60000002</v>
      </c>
      <c r="G6" s="1058">
        <f>+'ADI 462 AGO25 final'!D19</f>
        <v>469787399.96580005</v>
      </c>
      <c r="H6" s="1057">
        <f>G6/$H$3</f>
        <v>7701432.7863245914</v>
      </c>
      <c r="I6" s="1059">
        <f>+'Finanza 08-25'!F4</f>
        <v>42282308.519999996</v>
      </c>
      <c r="J6" s="1059">
        <f>+'Finanza 08-25'!G4</f>
        <v>30734433.749999993</v>
      </c>
      <c r="K6" s="1059">
        <f>+'Finanza 08-25'!H4</f>
        <v>14291211.33</v>
      </c>
      <c r="L6" s="1059">
        <f>+'Reembolsos MMHB 08-25'!E21</f>
        <v>61326.559999999998</v>
      </c>
      <c r="M6" s="1059">
        <f>+'CXP 08-25'!E23</f>
        <v>2046599.5699999998</v>
      </c>
      <c r="N6" s="1059">
        <f>+'Anticipos 08-25'!D4+'Anticipos 08-25'!D5+'Anticipos 08-25'!D6</f>
        <v>10624960</v>
      </c>
      <c r="O6" s="1059">
        <f>+J6-K6-L6-M6+N6</f>
        <v>24960256.289999992</v>
      </c>
      <c r="P6" s="1060">
        <f t="shared" ref="P6:P10" si="1">I6-O6</f>
        <v>17322052.230000004</v>
      </c>
      <c r="Q6" s="1060">
        <f>+G6-I6</f>
        <v>427505091.44580007</v>
      </c>
      <c r="R6" s="183"/>
      <c r="S6" s="184"/>
      <c r="T6" s="183"/>
      <c r="U6" s="183"/>
    </row>
    <row r="7" spans="1:21" ht="13.95" customHeight="1">
      <c r="B7" s="1044" t="s">
        <v>38</v>
      </c>
      <c r="C7" s="1020">
        <f>SUM('budget (11)'!D25:D39)</f>
        <v>1265953920</v>
      </c>
      <c r="D7" s="1057">
        <f>1447934796</f>
        <v>1447934796</v>
      </c>
      <c r="E7" s="1057">
        <f>+'ADI 462 julio 25 '!D22</f>
        <v>1521122757</v>
      </c>
      <c r="F7" s="1058">
        <f>+'ADI 462 AGO25'!D20</f>
        <v>1517166651</v>
      </c>
      <c r="G7" s="1058">
        <f>+'ADI 462 AGO25 final'!D20</f>
        <v>1517615075.6150999</v>
      </c>
      <c r="H7" s="1057">
        <f t="shared" ref="H7:H11" si="2">G7/$H$3</f>
        <v>24878935.66582131</v>
      </c>
      <c r="I7" s="1061">
        <f>+'Finanza 08-25'!F5</f>
        <v>0</v>
      </c>
      <c r="J7" s="1061">
        <f>+'Finanza 08-25'!G5</f>
        <v>0</v>
      </c>
      <c r="K7" s="1061">
        <f>+'Finanza 08-25'!H5</f>
        <v>0</v>
      </c>
      <c r="L7" s="1061"/>
      <c r="M7" s="1061"/>
      <c r="N7" s="1061"/>
      <c r="O7" s="1061">
        <f t="shared" ref="O7:O11" si="3">+J7-K7-L7-M7+N7</f>
        <v>0</v>
      </c>
      <c r="P7" s="1062">
        <f t="shared" si="1"/>
        <v>0</v>
      </c>
      <c r="Q7" s="1062">
        <f>+G7-I7</f>
        <v>1517615075.6150999</v>
      </c>
      <c r="R7" s="183"/>
      <c r="S7" s="184"/>
      <c r="T7" s="183"/>
      <c r="U7" s="183"/>
    </row>
    <row r="8" spans="1:21" ht="13.95" customHeight="1">
      <c r="B8" s="1044" t="s">
        <v>767</v>
      </c>
      <c r="C8" s="1020">
        <f>SUM('budget (11)'!D40:D41)</f>
        <v>171771292</v>
      </c>
      <c r="D8" s="1057">
        <v>189969380</v>
      </c>
      <c r="E8" s="1057">
        <f>+'ADI 462 julio 25 '!D23</f>
        <v>198255215.40000001</v>
      </c>
      <c r="F8" s="1058">
        <f>+'ADI 462 AGO25'!D21</f>
        <v>198634031.75999999</v>
      </c>
      <c r="G8" s="1058">
        <f>+'ADI 462 AGO25 final'!D21</f>
        <v>198740247.55809</v>
      </c>
      <c r="H8" s="1057">
        <f t="shared" si="2"/>
        <v>3258036.84521459</v>
      </c>
      <c r="I8" s="1061">
        <f>+'Finanza 08-25'!F6</f>
        <v>19029162.52</v>
      </c>
      <c r="J8" s="1061">
        <f>+'Finanza 08-25'!G6</f>
        <v>18918081.100000001</v>
      </c>
      <c r="K8" s="1061">
        <f>+'Finanza 08-25'!H6</f>
        <v>0</v>
      </c>
      <c r="L8" s="1061"/>
      <c r="M8" s="1061">
        <f>+'CXP 08-25'!E30</f>
        <v>5082612.53</v>
      </c>
      <c r="N8" s="1061"/>
      <c r="O8" s="1061">
        <f t="shared" si="3"/>
        <v>13835468.57</v>
      </c>
      <c r="P8" s="1062">
        <f t="shared" si="1"/>
        <v>5193693.9499999993</v>
      </c>
      <c r="Q8" s="1062">
        <f t="shared" si="0"/>
        <v>179711085.03808999</v>
      </c>
      <c r="R8" s="183"/>
      <c r="S8" s="184"/>
      <c r="T8" s="183"/>
      <c r="U8" s="183"/>
    </row>
    <row r="9" spans="1:21" ht="13.95" customHeight="1">
      <c r="B9" s="1044" t="s">
        <v>1607</v>
      </c>
      <c r="C9" s="1114"/>
      <c r="D9" s="1057">
        <v>0</v>
      </c>
      <c r="E9" s="1057">
        <v>0</v>
      </c>
      <c r="F9" s="1058">
        <f>+'ADI 462 AGO25'!D22</f>
        <v>19863403.175999999</v>
      </c>
      <c r="G9" s="1058">
        <f>+'ADI 462 AGO25 final'!D22</f>
        <v>17866748.255472291</v>
      </c>
      <c r="H9" s="1057">
        <f t="shared" si="2"/>
        <v>292897.51238479168</v>
      </c>
      <c r="I9" s="1061">
        <f>+'Finanza 08-25'!F9</f>
        <v>17866748.260000002</v>
      </c>
      <c r="J9" s="1061">
        <f>+'Finanza 08-25'!G9</f>
        <v>0</v>
      </c>
      <c r="K9" s="1061">
        <f>+'Finanza 08-25'!H7</f>
        <v>0</v>
      </c>
      <c r="L9" s="1061"/>
      <c r="M9" s="1061"/>
      <c r="N9" s="1061"/>
      <c r="O9" s="1061">
        <f t="shared" si="3"/>
        <v>0</v>
      </c>
      <c r="P9" s="1062"/>
      <c r="Q9" s="1062">
        <f>+G9-I9</f>
        <v>-4.5277103781700134E-3</v>
      </c>
      <c r="R9" s="183"/>
      <c r="S9" s="184"/>
      <c r="T9" s="183"/>
      <c r="U9" s="183"/>
    </row>
    <row r="10" spans="1:21">
      <c r="B10" s="1044" t="s">
        <v>40</v>
      </c>
      <c r="C10" s="1020">
        <f>SUM('budget (11)'!D42)</f>
        <v>34354258</v>
      </c>
      <c r="D10" s="1057">
        <v>37993876</v>
      </c>
      <c r="E10" s="1057">
        <f>+'ADI 462 julio 25 '!D24/2</f>
        <v>39651043.079999998</v>
      </c>
      <c r="F10" s="1058">
        <f>+'ADI 462 AGO25'!D23</f>
        <v>47672167.622400001</v>
      </c>
      <c r="G10" s="1058">
        <f>+'ADI 462 AGO25 final'!D23</f>
        <v>47896399.661499687</v>
      </c>
      <c r="H10" s="1057">
        <f t="shared" si="2"/>
        <v>785186.87969671621</v>
      </c>
      <c r="I10" s="1061">
        <f>+'Finanza 08-25'!F7</f>
        <v>336663.74</v>
      </c>
      <c r="J10" s="1061">
        <f>+'Finanza 08-25'!G7</f>
        <v>336663.74</v>
      </c>
      <c r="K10" s="1061">
        <f>+'Finanza 08-25'!H7</f>
        <v>0</v>
      </c>
      <c r="L10" s="1061"/>
      <c r="M10" s="1061">
        <f>+'CXP 08-25'!E37</f>
        <v>336663.74</v>
      </c>
      <c r="N10" s="1061"/>
      <c r="O10" s="1061">
        <f t="shared" si="3"/>
        <v>0</v>
      </c>
      <c r="P10" s="1062">
        <f t="shared" si="1"/>
        <v>336663.74</v>
      </c>
      <c r="Q10" s="1062">
        <f t="shared" si="0"/>
        <v>47559735.921499684</v>
      </c>
      <c r="R10" s="183"/>
      <c r="S10" s="184"/>
      <c r="T10" s="183"/>
      <c r="U10" s="183"/>
    </row>
    <row r="11" spans="1:21">
      <c r="B11" s="1044" t="s">
        <v>764</v>
      </c>
      <c r="C11" s="1020">
        <v>0</v>
      </c>
      <c r="D11" s="1057">
        <v>37993876</v>
      </c>
      <c r="E11" s="1057">
        <f>+'ADI 462 julio 25 '!D24/2</f>
        <v>39651043.079999998</v>
      </c>
      <c r="F11" s="1058">
        <f>+'ADI 462 AGO25'!D24</f>
        <v>39726806.351999998</v>
      </c>
      <c r="G11" s="1058">
        <f>+'ADI 462 AGO25 final'!D24</f>
        <v>39748049.511618003</v>
      </c>
      <c r="H11" s="1057">
        <f t="shared" si="2"/>
        <v>651607.36904291809</v>
      </c>
      <c r="I11" s="1061">
        <f>+'Finanza 08-25'!F8</f>
        <v>0</v>
      </c>
      <c r="J11" s="1061">
        <f>+'Finanza 08-25'!G8</f>
        <v>0</v>
      </c>
      <c r="K11" s="1061">
        <f>+'Finanza 08-25'!H8</f>
        <v>0</v>
      </c>
      <c r="L11" s="1061"/>
      <c r="M11" s="1061"/>
      <c r="N11" s="1061"/>
      <c r="O11" s="1061">
        <f t="shared" si="3"/>
        <v>0</v>
      </c>
      <c r="P11" s="1062">
        <f>I11-O11</f>
        <v>0</v>
      </c>
      <c r="Q11" s="1062">
        <f t="shared" si="0"/>
        <v>39748049.511618003</v>
      </c>
      <c r="R11" s="183"/>
      <c r="S11" s="184"/>
      <c r="T11" s="183"/>
      <c r="U11" s="183"/>
    </row>
    <row r="12" spans="1:21">
      <c r="B12" s="254" t="s">
        <v>41</v>
      </c>
      <c r="C12" s="665">
        <f>SUM(C6:C10)</f>
        <v>1923838470</v>
      </c>
      <c r="D12" s="1063">
        <f t="shared" ref="D12:I12" si="4">SUM(D6:D11)</f>
        <v>2165650928</v>
      </c>
      <c r="E12" s="1063">
        <f t="shared" si="4"/>
        <v>2260109455.5599999</v>
      </c>
      <c r="F12" s="1063">
        <f t="shared" si="4"/>
        <v>2292236726.5103998</v>
      </c>
      <c r="G12" s="1063">
        <f t="shared" si="4"/>
        <v>2291653920.5675797</v>
      </c>
      <c r="H12" s="1063">
        <f t="shared" si="4"/>
        <v>37568097.058484919</v>
      </c>
      <c r="I12" s="1064">
        <f t="shared" si="4"/>
        <v>79514883.039999992</v>
      </c>
      <c r="J12" s="1064">
        <f t="shared" ref="J12:Q12" si="5">SUM(J6:J11)</f>
        <v>49989178.589999996</v>
      </c>
      <c r="K12" s="1064">
        <f t="shared" si="5"/>
        <v>14291211.33</v>
      </c>
      <c r="L12" s="1064">
        <f t="shared" si="5"/>
        <v>61326.559999999998</v>
      </c>
      <c r="M12" s="1064">
        <f>SUM(M6:M11)</f>
        <v>7465875.8399999999</v>
      </c>
      <c r="N12" s="1064">
        <f t="shared" si="5"/>
        <v>10624960</v>
      </c>
      <c r="O12" s="1064">
        <f t="shared" si="5"/>
        <v>38795724.859999992</v>
      </c>
      <c r="P12" s="1064">
        <f t="shared" si="5"/>
        <v>22852409.920000002</v>
      </c>
      <c r="Q12" s="1064">
        <f t="shared" si="5"/>
        <v>2212139037.5275798</v>
      </c>
      <c r="R12" s="183"/>
      <c r="S12" s="184"/>
      <c r="T12" s="183"/>
      <c r="U12" s="183"/>
    </row>
    <row r="13" spans="1:21">
      <c r="B13" s="1044" t="s">
        <v>42</v>
      </c>
      <c r="C13" s="1023">
        <f>SUM('budget (11)'!D43)</f>
        <v>137417034</v>
      </c>
      <c r="D13" s="1065">
        <v>151975504</v>
      </c>
      <c r="E13" s="1057">
        <f>+'ADI 462 julio 25 '!D26</f>
        <v>158604172.31999999</v>
      </c>
      <c r="F13" s="1058">
        <f>+'ADI 462 AGO25'!D26</f>
        <v>158907225.40799999</v>
      </c>
      <c r="G13" s="1058">
        <f>+'ADI 462 AGO25 final'!D26</f>
        <v>158992198.04647201</v>
      </c>
      <c r="H13" s="1057">
        <f>G13/$H$3</f>
        <v>2606429.4761716723</v>
      </c>
      <c r="I13" s="1066">
        <f>+'Finanza 08-25'!F10</f>
        <v>10781175.970000001</v>
      </c>
      <c r="J13" s="1066">
        <f>+'Finanza 08-25'!G10</f>
        <v>9011175.9700000007</v>
      </c>
      <c r="K13" s="1066">
        <f>+'Finanza 08-25'!H10</f>
        <v>0</v>
      </c>
      <c r="L13" s="1066"/>
      <c r="M13" s="1066">
        <f>+'CXP 08-25'!E41</f>
        <v>1770000</v>
      </c>
      <c r="N13" s="1066"/>
      <c r="O13" s="1066">
        <f>+J13-K13-L13-M13+N13</f>
        <v>7241175.9700000007</v>
      </c>
      <c r="P13" s="1066">
        <f>I13-O13</f>
        <v>3540000</v>
      </c>
      <c r="Q13" s="1066">
        <f>+G13-I13</f>
        <v>148211022.07647201</v>
      </c>
      <c r="R13" s="183"/>
      <c r="S13" s="184"/>
      <c r="T13" s="183"/>
      <c r="U13" s="183"/>
    </row>
    <row r="14" spans="1:21">
      <c r="B14" s="1044" t="s">
        <v>43</v>
      </c>
      <c r="C14" s="1023">
        <f>SUM('budget (11)'!D45:D46)</f>
        <v>281704919</v>
      </c>
      <c r="D14" s="1065">
        <v>308130334</v>
      </c>
      <c r="E14" s="1065">
        <f>+'ADI 462 julio 25 '!D27</f>
        <v>356859387.71999997</v>
      </c>
      <c r="F14" s="1067">
        <f>+'ADI 462 AGO25'!D27</f>
        <v>365486618.43839997</v>
      </c>
      <c r="G14" s="1067">
        <f>+'ADI 462 AGO25 final'!D27</f>
        <v>329908810.94642943</v>
      </c>
      <c r="H14" s="1057">
        <f>G14/$H$3</f>
        <v>5408341.1630562199</v>
      </c>
      <c r="I14" s="1066">
        <f>+'Finanza 08-25'!F11</f>
        <v>41709484.07</v>
      </c>
      <c r="J14" s="1066">
        <f>+'Finanza 08-25'!G11</f>
        <v>30565900.670000002</v>
      </c>
      <c r="K14" s="1066">
        <f>+'Finanza 08-25'!H11</f>
        <v>0</v>
      </c>
      <c r="L14" s="1066"/>
      <c r="M14" s="1066">
        <f>+'CXP 08-25'!E59</f>
        <v>17339231.340000004</v>
      </c>
      <c r="N14" s="1066"/>
      <c r="O14" s="1066">
        <f t="shared" ref="O14:O17" si="6">+J14-K14-L14-M14+N14</f>
        <v>13226669.329999998</v>
      </c>
      <c r="P14" s="1066">
        <f>I14-O14</f>
        <v>28482814.740000002</v>
      </c>
      <c r="Q14" s="1066">
        <f>+G14-I14</f>
        <v>288199326.87642944</v>
      </c>
      <c r="R14" s="183"/>
      <c r="S14" s="184"/>
      <c r="T14" s="183"/>
      <c r="U14" s="183"/>
    </row>
    <row r="15" spans="1:21">
      <c r="B15" s="1044" t="s">
        <v>44</v>
      </c>
      <c r="C15" s="1023">
        <f>SUM('budget (11)'!D47)</f>
        <v>67334346</v>
      </c>
      <c r="D15" s="1065">
        <v>75797782</v>
      </c>
      <c r="E15" s="1065">
        <f>+'ADI 462 julio 25 '!D28</f>
        <v>79103830.944600001</v>
      </c>
      <c r="F15" s="1067">
        <f>+'ADI 462 AGO25'!D28</f>
        <v>80228285.427864</v>
      </c>
      <c r="G15" s="1067">
        <f>+'ADI 462 AGO25 final'!D28</f>
        <v>80207887.219865292</v>
      </c>
      <c r="H15" s="1057">
        <f>G15/$H$3</f>
        <v>1314883.3970469721</v>
      </c>
      <c r="I15" s="1066">
        <f>+'Finanza 08-25'!F12</f>
        <v>1568621.83</v>
      </c>
      <c r="J15" s="1066">
        <f>+'Finanza 08-25'!G12</f>
        <v>1294927.1399999999</v>
      </c>
      <c r="K15" s="1066">
        <f>+'Finanza 08-25'!H12</f>
        <v>0</v>
      </c>
      <c r="L15" s="1066"/>
      <c r="M15" s="1066"/>
      <c r="N15" s="1066"/>
      <c r="O15" s="1066">
        <f t="shared" si="6"/>
        <v>1294927.1399999999</v>
      </c>
      <c r="P15" s="1066">
        <f>I15-O15</f>
        <v>273694.69000000018</v>
      </c>
      <c r="Q15" s="1066">
        <f>+G15-I15</f>
        <v>78639265.389865294</v>
      </c>
      <c r="R15" s="183"/>
      <c r="S15" s="184"/>
      <c r="T15" s="183"/>
      <c r="U15" s="183"/>
    </row>
    <row r="16" spans="1:21">
      <c r="A16">
        <v>1</v>
      </c>
      <c r="B16" s="1044" t="s">
        <v>45</v>
      </c>
      <c r="C16" s="1023">
        <f>SUM('budget (11)'!D48:D49)</f>
        <v>51531387.949999996</v>
      </c>
      <c r="D16" s="1065">
        <v>56990814</v>
      </c>
      <c r="E16" s="1065">
        <f>+'ADI 462 julio 25 '!D29</f>
        <v>59476564.619999997</v>
      </c>
      <c r="F16" s="1067">
        <f>+'ADI 462 AGO25'!D29</f>
        <v>69521911.115999997</v>
      </c>
      <c r="G16" s="1067">
        <f>+'ADI 462 AGO25 final'!D29</f>
        <v>69559086.645331502</v>
      </c>
      <c r="H16" s="1057">
        <f>G16/$H$3</f>
        <v>1140312.8958251067</v>
      </c>
      <c r="I16" s="1066">
        <f>+'Finanza 08-25'!F13</f>
        <v>20399972.989999998</v>
      </c>
      <c r="J16" s="1066">
        <f>+'Finanza 08-25'!G13</f>
        <v>19655186.77</v>
      </c>
      <c r="K16" s="1066">
        <f>+'Finanza 08-25'!H13</f>
        <v>0</v>
      </c>
      <c r="L16" s="1066">
        <f>+'Reembolsos MMHB 08-25'!E41-'Reembolsos MMHB 08-25'!E35-'Reembolsos MMHB 08-25'!E36</f>
        <v>1007388.26</v>
      </c>
      <c r="M16" s="1066">
        <f>+'CXP 08-25'!E77</f>
        <v>3022656.38</v>
      </c>
      <c r="N16" s="1066">
        <f>+'Anticipos 08-25'!D7</f>
        <v>29859.9</v>
      </c>
      <c r="O16" s="1066">
        <f t="shared" si="6"/>
        <v>15655002.029999999</v>
      </c>
      <c r="P16" s="1066">
        <f>I16-O16</f>
        <v>4744970.959999999</v>
      </c>
      <c r="Q16" s="1066">
        <f>+G16-I16</f>
        <v>49159113.655331507</v>
      </c>
      <c r="R16" s="183"/>
      <c r="S16" s="184"/>
      <c r="T16" s="183"/>
      <c r="U16" s="183"/>
    </row>
    <row r="17" spans="2:21">
      <c r="B17" s="1044" t="s">
        <v>46</v>
      </c>
      <c r="C17" s="1023">
        <f>SUM('budget (11)'!D50)</f>
        <v>19238385</v>
      </c>
      <c r="D17" s="1065">
        <v>21656506</v>
      </c>
      <c r="E17" s="1065">
        <f>+'ADI 462 julio 25 '!D30</f>
        <v>19825521.539999999</v>
      </c>
      <c r="F17" s="1067">
        <f>+'ADI 462 AGO25'!D30</f>
        <v>19863403.175999999</v>
      </c>
      <c r="G17" s="1067">
        <f>+'ADI 462 AGO25 final'!D30</f>
        <v>19874024.755809002</v>
      </c>
      <c r="H17" s="1057">
        <f>G17/$H$3</f>
        <v>325803.68452145904</v>
      </c>
      <c r="I17" s="1066">
        <f>+'Finanza 08-25'!F14</f>
        <v>0</v>
      </c>
      <c r="J17" s="1066">
        <f>+'Finanza 08-25'!G14</f>
        <v>0</v>
      </c>
      <c r="K17" s="1066">
        <f>+'Finanza 08-25'!H14</f>
        <v>0</v>
      </c>
      <c r="L17" s="1066"/>
      <c r="M17" s="1066"/>
      <c r="N17" s="1066"/>
      <c r="O17" s="1066">
        <f t="shared" si="6"/>
        <v>0</v>
      </c>
      <c r="P17" s="1066">
        <f>I17-O17</f>
        <v>0</v>
      </c>
      <c r="Q17" s="1066">
        <f>+G17-I17</f>
        <v>19874024.755809002</v>
      </c>
      <c r="R17" s="183"/>
      <c r="S17" s="184"/>
      <c r="T17" s="183"/>
      <c r="U17" s="183"/>
    </row>
    <row r="18" spans="2:21">
      <c r="B18" s="254" t="s">
        <v>47</v>
      </c>
      <c r="C18" s="665">
        <f t="shared" ref="C18:P18" si="7">SUM(C13:C17)</f>
        <v>557226071.95000005</v>
      </c>
      <c r="D18" s="1063">
        <f t="shared" si="7"/>
        <v>614550940</v>
      </c>
      <c r="E18" s="1063">
        <f t="shared" ref="E18:G18" si="8">SUM(E13:E17)</f>
        <v>673869477.14459991</v>
      </c>
      <c r="F18" s="1063">
        <f t="shared" si="8"/>
        <v>694007443.56626403</v>
      </c>
      <c r="G18" s="1063">
        <f t="shared" si="8"/>
        <v>658542007.61390722</v>
      </c>
      <c r="H18" s="1063">
        <f>SUM(H13:H17)</f>
        <v>10795770.616621431</v>
      </c>
      <c r="I18" s="1064">
        <f>SUM(I13:I17)</f>
        <v>74459254.859999999</v>
      </c>
      <c r="J18" s="1064">
        <f t="shared" si="7"/>
        <v>60527190.549999997</v>
      </c>
      <c r="K18" s="1064">
        <f t="shared" ref="K18:L18" si="9">SUM(K13:K17)</f>
        <v>0</v>
      </c>
      <c r="L18" s="1064">
        <f t="shared" si="9"/>
        <v>1007388.26</v>
      </c>
      <c r="M18" s="1064">
        <f>SUM(M13:M17)</f>
        <v>22131887.720000003</v>
      </c>
      <c r="N18" s="1064">
        <f t="shared" si="7"/>
        <v>29859.9</v>
      </c>
      <c r="O18" s="1064">
        <f t="shared" si="7"/>
        <v>37417774.469999999</v>
      </c>
      <c r="P18" s="1064">
        <f t="shared" si="7"/>
        <v>37041480.390000001</v>
      </c>
      <c r="Q18" s="1064">
        <f t="shared" ref="Q18" si="10">SUM(Q13:Q17)</f>
        <v>584082752.7539072</v>
      </c>
      <c r="R18" s="183"/>
      <c r="S18" s="184"/>
      <c r="T18" s="183"/>
      <c r="U18" s="183"/>
    </row>
    <row r="19" spans="2:21">
      <c r="B19" s="1044" t="s">
        <v>48</v>
      </c>
      <c r="C19" s="1023">
        <f>SUM('budget (11)'!D51:D52)</f>
        <v>15000000</v>
      </c>
      <c r="D19" s="1065">
        <v>30500000</v>
      </c>
      <c r="E19" s="1065">
        <f>+'ADI 462 julio 25 '!D32</f>
        <v>30500000</v>
      </c>
      <c r="F19" s="1067">
        <f>+'ADI 462 AGO25'!D32</f>
        <v>30500000</v>
      </c>
      <c r="G19" s="1067">
        <f>+'ADI 462 AGO25 final'!D32</f>
        <v>30500000</v>
      </c>
      <c r="H19" s="1065">
        <f>G19/$H$3</f>
        <v>500000</v>
      </c>
      <c r="I19" s="1066">
        <f>+'Finanza 08-25'!F15</f>
        <v>21428768</v>
      </c>
      <c r="J19" s="1066">
        <f>+'Finanza 08-25'!G15</f>
        <v>17283526.859999999</v>
      </c>
      <c r="K19" s="1066">
        <f>+'Finanza 08-25'!H15</f>
        <v>0</v>
      </c>
      <c r="L19" s="1066">
        <f>+'Reembolsos MMHB 08-25'!E53</f>
        <v>849661.58000000007</v>
      </c>
      <c r="M19" s="1066">
        <f>+'CXP 08-25'!E82</f>
        <v>171100</v>
      </c>
      <c r="N19" s="1066">
        <f>+'Anticipos 08-25'!D8</f>
        <v>284315</v>
      </c>
      <c r="O19" s="1066">
        <f>+J19-K19-L19-M19+N19</f>
        <v>16547080.279999999</v>
      </c>
      <c r="P19" s="1066">
        <f>I19-O19</f>
        <v>4881687.7200000007</v>
      </c>
      <c r="Q19" s="1066">
        <f>+G19-I19</f>
        <v>9071232</v>
      </c>
      <c r="R19" s="183"/>
      <c r="S19" s="184"/>
      <c r="T19" s="183"/>
      <c r="U19" s="185"/>
    </row>
    <row r="20" spans="2:21">
      <c r="B20" s="1044" t="s">
        <v>49</v>
      </c>
      <c r="C20" s="1023">
        <f>SUM('budget (11)'!D4:D10)</f>
        <v>20789999.999999996</v>
      </c>
      <c r="D20" s="1065">
        <v>20789999.999999996</v>
      </c>
      <c r="E20" s="1065">
        <f>+'ADI 462 julio 25 '!D33</f>
        <v>25000000</v>
      </c>
      <c r="F20" s="1067">
        <f>+'ADI 462 AGO25'!D33</f>
        <v>25000000</v>
      </c>
      <c r="G20" s="1067">
        <f>+'ADI 462 AGO25 final'!D33</f>
        <v>25000000</v>
      </c>
      <c r="H20" s="1065">
        <f>G20/$H$3</f>
        <v>409836.06557377049</v>
      </c>
      <c r="I20" s="1066">
        <f>+'Finanza 08-25'!F3</f>
        <v>24423885.879999999</v>
      </c>
      <c r="J20" s="1066">
        <f>+'Finanza 08-25'!G3</f>
        <v>23589221.989999998</v>
      </c>
      <c r="K20" s="1066">
        <f>+'Finanza 08-25'!H3</f>
        <v>278099.52</v>
      </c>
      <c r="L20" s="1066">
        <f>+'Reembolsos MMHB 08-25'!E16</f>
        <v>182020</v>
      </c>
      <c r="M20" s="1066">
        <f>+'CXP 08-25'!E14</f>
        <v>1557436.8199999998</v>
      </c>
      <c r="N20" s="1066">
        <f>+'Anticipos 08-25'!D3+'Anticipos 08-25'!D2</f>
        <v>313000</v>
      </c>
      <c r="O20" s="1066">
        <f t="shared" ref="O20:O22" si="11">+J20-K20-L20-M20+N20</f>
        <v>21884665.649999999</v>
      </c>
      <c r="P20" s="1066">
        <f>I20-O20</f>
        <v>2539220.2300000004</v>
      </c>
      <c r="Q20" s="1066">
        <f>+G20-I20</f>
        <v>576114.12000000104</v>
      </c>
      <c r="R20" s="183"/>
      <c r="S20" s="184"/>
      <c r="T20" s="183"/>
      <c r="U20" s="183"/>
    </row>
    <row r="21" spans="2:21">
      <c r="B21" s="1044" t="s">
        <v>50</v>
      </c>
      <c r="C21" s="1023">
        <f>SUM('budget (11)'!D54)</f>
        <v>192383847</v>
      </c>
      <c r="D21" s="1065">
        <v>216565093</v>
      </c>
      <c r="E21" s="1065">
        <f>+'ADI 462 julio 25 '!D34</f>
        <v>226010945.55599999</v>
      </c>
      <c r="F21" s="1067">
        <f>+'ADI 462 AGO25'!D34</f>
        <v>229223672.65103999</v>
      </c>
      <c r="G21" s="1067">
        <f>+'ADI 462 AGO25 final'!D34</f>
        <v>229165392.05675799</v>
      </c>
      <c r="H21" s="1065">
        <f>G21/$H$3</f>
        <v>3756809.7058484918</v>
      </c>
      <c r="I21" s="1066">
        <f>+'Finanza 08-25'!F16</f>
        <v>1169797.55</v>
      </c>
      <c r="J21" s="1066">
        <v>0</v>
      </c>
      <c r="K21" s="1066">
        <v>0</v>
      </c>
      <c r="L21" s="1066"/>
      <c r="M21" s="1066"/>
      <c r="N21" s="1066"/>
      <c r="O21" s="1066">
        <f t="shared" si="11"/>
        <v>0</v>
      </c>
      <c r="P21" s="1066">
        <f>I21-O21</f>
        <v>1169797.55</v>
      </c>
      <c r="Q21" s="1066">
        <f>+G21-I21</f>
        <v>227995594.50675797</v>
      </c>
      <c r="R21" s="183"/>
      <c r="S21" s="184"/>
      <c r="T21" s="183"/>
      <c r="U21" s="183"/>
    </row>
    <row r="22" spans="2:21">
      <c r="B22" s="1044" t="s">
        <v>51</v>
      </c>
      <c r="C22" s="1023">
        <f>SUM('budget (11)'!D53)</f>
        <v>19238385</v>
      </c>
      <c r="D22" s="1065">
        <v>21656509</v>
      </c>
      <c r="E22" s="1065">
        <f>+'ADI 462 julio 25 '!D35</f>
        <v>19825521.539999999</v>
      </c>
      <c r="F22" s="1067">
        <f>+'ADI 462 AGO25'!D35</f>
        <v>19863403.175999999</v>
      </c>
      <c r="G22" s="1067">
        <f>+'ADI 462 AGO25 final'!D35</f>
        <v>19874024.755809002</v>
      </c>
      <c r="H22" s="1065">
        <f>G22/$H$3</f>
        <v>325803.68452145904</v>
      </c>
      <c r="I22" s="1066">
        <f>+'Finanza 08-25'!F17</f>
        <v>0</v>
      </c>
      <c r="J22" s="1066">
        <f>+'Finanza 08-25'!G16</f>
        <v>0</v>
      </c>
      <c r="K22" s="1066">
        <f>+'Finanza 08-25'!H16</f>
        <v>0</v>
      </c>
      <c r="L22" s="1066"/>
      <c r="M22" s="1066"/>
      <c r="N22" s="1066"/>
      <c r="O22" s="1066">
        <f t="shared" si="11"/>
        <v>0</v>
      </c>
      <c r="P22" s="1066">
        <f>I22-O22</f>
        <v>0</v>
      </c>
      <c r="Q22" s="1066">
        <f>+G22-I22</f>
        <v>19874024.755809002</v>
      </c>
      <c r="R22" s="183"/>
      <c r="S22" s="184"/>
      <c r="T22" s="183"/>
      <c r="U22" s="183"/>
    </row>
    <row r="23" spans="2:21" ht="15" thickBot="1">
      <c r="B23" s="254" t="s">
        <v>52</v>
      </c>
      <c r="C23" s="665">
        <f t="shared" ref="C23:Q23" si="12">SUM(C19:C22)</f>
        <v>247412232</v>
      </c>
      <c r="D23" s="1063">
        <f t="shared" si="12"/>
        <v>289511602</v>
      </c>
      <c r="E23" s="1063">
        <f t="shared" ref="E23" si="13">SUM(E19:E22)</f>
        <v>301336467.09600002</v>
      </c>
      <c r="F23" s="1063">
        <f>SUM(F19:F22)</f>
        <v>304587075.82703996</v>
      </c>
      <c r="G23" s="1063">
        <f>SUM(G19:G22)</f>
        <v>304539416.812567</v>
      </c>
      <c r="H23" s="1063">
        <f>SUM(H19:H22)</f>
        <v>4992449.4559437213</v>
      </c>
      <c r="I23" s="1064">
        <f>SUM(I19:I22)</f>
        <v>47022451.429999992</v>
      </c>
      <c r="J23" s="1064">
        <f t="shared" si="12"/>
        <v>40872748.849999994</v>
      </c>
      <c r="K23" s="1064">
        <f t="shared" ref="K23:L23" si="14">SUM(K19:K22)</f>
        <v>278099.52</v>
      </c>
      <c r="L23" s="1064">
        <f t="shared" si="14"/>
        <v>1031681.5800000001</v>
      </c>
      <c r="M23" s="1064">
        <f>SUM(M19:M22)</f>
        <v>1728536.8199999998</v>
      </c>
      <c r="N23" s="1064">
        <f t="shared" si="12"/>
        <v>597315</v>
      </c>
      <c r="O23" s="1064">
        <f t="shared" si="12"/>
        <v>38431745.93</v>
      </c>
      <c r="P23" s="1064">
        <f t="shared" si="12"/>
        <v>8590705.5000000019</v>
      </c>
      <c r="Q23" s="1064">
        <f t="shared" si="12"/>
        <v>257516965.38256699</v>
      </c>
      <c r="R23" s="183"/>
      <c r="S23" s="184"/>
      <c r="T23" s="183"/>
      <c r="U23" s="183"/>
    </row>
    <row r="24" spans="2:21" ht="16.2" thickBot="1">
      <c r="B24" s="1041" t="s">
        <v>1156</v>
      </c>
      <c r="C24" s="1042">
        <f t="shared" ref="C24:H24" si="15">C5+C12+C18+C23</f>
        <v>2831861942.9499998</v>
      </c>
      <c r="D24" s="1068">
        <f t="shared" si="15"/>
        <v>3173098639</v>
      </c>
      <c r="E24" s="1043">
        <f t="shared" si="15"/>
        <v>3340495399.8006001</v>
      </c>
      <c r="F24" s="1043">
        <f t="shared" si="15"/>
        <v>3397764245.9037037</v>
      </c>
      <c r="G24" s="1043">
        <f t="shared" si="15"/>
        <v>3519180425.1540537</v>
      </c>
      <c r="H24" s="1043">
        <f t="shared" si="15"/>
        <v>57691482.379574656</v>
      </c>
      <c r="I24" s="1043">
        <f t="shared" ref="I24:Q24" si="16">I23+I18+I12+I5</f>
        <v>465441669.49000001</v>
      </c>
      <c r="J24" s="1043">
        <f t="shared" si="16"/>
        <v>415833019.14999998</v>
      </c>
      <c r="K24" s="1043">
        <f t="shared" si="16"/>
        <v>14569310.85</v>
      </c>
      <c r="L24" s="1043">
        <f t="shared" si="16"/>
        <v>2118412.4</v>
      </c>
      <c r="M24" s="1043">
        <f>M23+M18+M12+M5</f>
        <v>31326300.380000003</v>
      </c>
      <c r="N24" s="1043">
        <f t="shared" si="16"/>
        <v>11252134.9</v>
      </c>
      <c r="O24" s="1043">
        <f t="shared" si="16"/>
        <v>379071130.41999996</v>
      </c>
      <c r="P24" s="1043">
        <f t="shared" si="16"/>
        <v>68503790.810000002</v>
      </c>
      <c r="Q24" s="1043">
        <f t="shared" si="16"/>
        <v>3053738755.6640539</v>
      </c>
      <c r="R24" s="183"/>
      <c r="S24" s="184"/>
      <c r="T24" s="183"/>
      <c r="U24" s="183"/>
    </row>
    <row r="25" spans="2:21" ht="15" thickBot="1">
      <c r="E25" s="509"/>
      <c r="H25" s="509"/>
      <c r="I25" s="369"/>
      <c r="J25" s="369"/>
      <c r="K25" s="369"/>
      <c r="L25" s="369"/>
      <c r="M25" s="369"/>
      <c r="N25" s="369"/>
      <c r="O25" s="730"/>
      <c r="P25" s="320"/>
      <c r="Q25" s="320"/>
    </row>
    <row r="26" spans="2:21" ht="15" thickBot="1">
      <c r="D26" s="320"/>
      <c r="E26" s="320"/>
      <c r="H26" s="320"/>
      <c r="I26" s="368"/>
      <c r="J26" s="368"/>
      <c r="K26" s="368"/>
      <c r="L26" s="368"/>
      <c r="M26" s="434" t="s">
        <v>653</v>
      </c>
      <c r="N26" s="435">
        <f>+'BCE 07-25'!C45</f>
        <v>159695773.63999999</v>
      </c>
      <c r="O26" s="1016"/>
      <c r="P26" s="142"/>
      <c r="Q26" s="142"/>
      <c r="S26" s="186" t="s">
        <v>189</v>
      </c>
      <c r="T26" s="190">
        <v>2831861942.3920002</v>
      </c>
    </row>
    <row r="27" spans="2:21" ht="18.600000000000001" thickBot="1">
      <c r="B27" s="333" t="s">
        <v>1447</v>
      </c>
      <c r="C27" s="672">
        <v>3515158425</v>
      </c>
      <c r="D27" s="672">
        <f t="shared" ref="D27" si="17">+D14/0.08</f>
        <v>3851629175</v>
      </c>
      <c r="E27" s="672">
        <f>+E28*60</f>
        <v>3996000000</v>
      </c>
      <c r="H27" s="672"/>
      <c r="I27" s="368"/>
      <c r="J27" s="368"/>
      <c r="K27" s="368"/>
      <c r="L27" s="368"/>
      <c r="M27" s="586" t="s">
        <v>1157</v>
      </c>
      <c r="N27" s="587">
        <f>+'BCE 07-25'!C33</f>
        <v>48015000</v>
      </c>
      <c r="O27" s="1016"/>
      <c r="P27" s="1098"/>
      <c r="Q27" s="142"/>
      <c r="S27" s="186"/>
      <c r="T27" s="190"/>
    </row>
    <row r="28" spans="2:21" ht="15" thickBot="1">
      <c r="C28" s="370">
        <f>+C27/59</f>
        <v>59578956.355932206</v>
      </c>
      <c r="D28" s="370">
        <f>+D27/59</f>
        <v>65281850.423728816</v>
      </c>
      <c r="E28" s="370">
        <v>66600000</v>
      </c>
      <c r="H28" s="370"/>
      <c r="I28" s="474"/>
      <c r="M28" s="436" t="s">
        <v>654</v>
      </c>
      <c r="N28" s="437">
        <f>-'BCE 07-25'!C17</f>
        <v>-45448879.799999997</v>
      </c>
      <c r="O28" s="12"/>
      <c r="P28" s="320"/>
      <c r="Q28" s="320"/>
      <c r="S28" s="188" t="s">
        <v>190</v>
      </c>
      <c r="T28" s="189">
        <f>C24</f>
        <v>2831861942.9499998</v>
      </c>
    </row>
    <row r="29" spans="2:21" ht="15" thickBot="1">
      <c r="C29" s="489"/>
      <c r="D29" s="370"/>
      <c r="E29" s="370"/>
      <c r="H29" s="370"/>
      <c r="I29" s="474"/>
      <c r="M29" s="441" t="s">
        <v>655</v>
      </c>
      <c r="N29" s="442">
        <f>+'BCE 07-25'!C35+'BCE 07-25'!C36+'BCE 07-25'!C37+'BCE 07-25'!C38</f>
        <v>432311.75</v>
      </c>
      <c r="O29" s="445"/>
      <c r="P29" s="320"/>
      <c r="Q29" s="320"/>
      <c r="S29" s="187" t="s">
        <v>191</v>
      </c>
      <c r="T29" s="191">
        <f>T26-T28</f>
        <v>-0.55799961090087891</v>
      </c>
    </row>
    <row r="30" spans="2:21" ht="18.600000000000001" thickBot="1">
      <c r="B30" s="333" t="s">
        <v>1448</v>
      </c>
      <c r="C30" s="672">
        <f>+C27-C24</f>
        <v>683296482.05000019</v>
      </c>
      <c r="D30" s="672">
        <f t="shared" ref="D30" si="18">+D27-D24</f>
        <v>678530536</v>
      </c>
      <c r="E30" s="672">
        <f>+E27-E24</f>
        <v>655504600.19939995</v>
      </c>
      <c r="H30" s="672"/>
      <c r="I30" s="474"/>
      <c r="M30" s="441" t="s">
        <v>808</v>
      </c>
      <c r="N30" s="442">
        <f>+'BCE 07-25'!C34</f>
        <v>42907921.100000001</v>
      </c>
      <c r="O30" s="445"/>
      <c r="P30" s="320"/>
      <c r="Q30" s="320"/>
      <c r="S30" s="183"/>
      <c r="T30" s="508"/>
    </row>
    <row r="31" spans="2:21">
      <c r="C31" s="370">
        <f>+C30/59</f>
        <v>11581296.305932207</v>
      </c>
      <c r="D31" s="370">
        <f t="shared" ref="D31" si="19">+D30/59</f>
        <v>11500517.559322033</v>
      </c>
      <c r="E31" s="370">
        <f>+E30/60</f>
        <v>10925076.669989999</v>
      </c>
      <c r="H31" s="370"/>
      <c r="I31" s="474"/>
      <c r="M31" s="441"/>
      <c r="N31" s="442"/>
      <c r="O31" s="445"/>
      <c r="P31" s="320"/>
      <c r="Q31" s="320"/>
      <c r="S31" s="183"/>
      <c r="T31" s="508"/>
    </row>
    <row r="32" spans="2:21">
      <c r="C32" s="489"/>
      <c r="D32" s="370"/>
      <c r="E32" s="370"/>
      <c r="H32" s="370"/>
      <c r="I32" s="474"/>
      <c r="M32" s="441" t="s">
        <v>888</v>
      </c>
      <c r="N32" s="442">
        <f>+'CXP 07-25'!E13</f>
        <v>364684.38</v>
      </c>
      <c r="O32" s="445"/>
      <c r="P32" s="320"/>
      <c r="Q32" s="320"/>
      <c r="S32" s="183"/>
      <c r="T32" s="508"/>
    </row>
    <row r="33" spans="2:16" ht="15" thickBot="1">
      <c r="C33" s="369"/>
      <c r="D33" s="370"/>
      <c r="E33" s="370"/>
      <c r="H33" s="370"/>
      <c r="M33" s="438" t="s">
        <v>656</v>
      </c>
      <c r="N33" s="439">
        <f>SUM(N26:N32)</f>
        <v>205966811.06999996</v>
      </c>
      <c r="O33" s="445"/>
    </row>
    <row r="34" spans="2:16">
      <c r="C34" s="161"/>
      <c r="D34" s="370"/>
      <c r="E34" s="370"/>
      <c r="H34" s="370"/>
      <c r="M34" s="440" t="s">
        <v>657</v>
      </c>
      <c r="N34" s="445">
        <f>+O24</f>
        <v>379071130.41999996</v>
      </c>
    </row>
    <row r="35" spans="2:16">
      <c r="M35" s="443" t="s">
        <v>658</v>
      </c>
      <c r="N35" s="443">
        <f>+N33-N34</f>
        <v>-173104319.34999999</v>
      </c>
      <c r="O35" s="444">
        <f>+'BCE 07-25'!C46+'BCE 07-25'!C47</f>
        <v>953438.13</v>
      </c>
      <c r="P35" s="444">
        <f>+N35+O35</f>
        <v>-172150881.22</v>
      </c>
    </row>
    <row r="36" spans="2:16">
      <c r="B36" s="192"/>
      <c r="C36" s="192"/>
      <c r="D36" s="192"/>
      <c r="E36" s="192"/>
      <c r="F36" s="843"/>
      <c r="G36" s="843"/>
      <c r="H36" s="192"/>
      <c r="I36" s="192"/>
      <c r="J36" s="192"/>
      <c r="K36" s="192"/>
      <c r="L36" s="192"/>
      <c r="M36" s="192"/>
      <c r="N36" s="192"/>
      <c r="O36" s="192"/>
      <c r="P36" s="192"/>
    </row>
    <row r="38" spans="2:16">
      <c r="B38" s="254" t="s">
        <v>47</v>
      </c>
    </row>
    <row r="39" spans="2:16">
      <c r="B39" s="112" t="s">
        <v>48</v>
      </c>
    </row>
    <row r="40" spans="2:16">
      <c r="B40" s="115" t="s">
        <v>49</v>
      </c>
    </row>
    <row r="41" spans="2:16">
      <c r="B41" s="112" t="s">
        <v>50</v>
      </c>
    </row>
    <row r="42" spans="2:16">
      <c r="B42" s="115" t="s">
        <v>51</v>
      </c>
    </row>
    <row r="43" spans="2:16">
      <c r="B43" s="254" t="s">
        <v>52</v>
      </c>
    </row>
    <row r="44" spans="2:16" ht="18.600000000000001" thickBot="1">
      <c r="B44" s="333" t="s">
        <v>229</v>
      </c>
    </row>
    <row r="46" spans="2:16" ht="15" thickBot="1"/>
    <row r="47" spans="2:16">
      <c r="B47" s="335" t="s">
        <v>234</v>
      </c>
      <c r="C47" s="336">
        <v>160000000</v>
      </c>
      <c r="D47" s="336"/>
      <c r="E47" s="336"/>
      <c r="F47" s="844"/>
      <c r="G47" s="844"/>
      <c r="H47" s="336"/>
    </row>
    <row r="48" spans="2:16">
      <c r="B48" s="588" t="s">
        <v>1158</v>
      </c>
      <c r="C48" s="589">
        <v>22200000</v>
      </c>
      <c r="D48" s="589"/>
      <c r="E48" s="589"/>
      <c r="F48" s="845"/>
      <c r="G48" s="845"/>
      <c r="H48" s="589"/>
    </row>
    <row r="49" spans="2:8">
      <c r="B49" s="112" t="s">
        <v>153</v>
      </c>
      <c r="C49" s="403">
        <f>+O24+P24</f>
        <v>447574921.22999996</v>
      </c>
      <c r="D49" s="403"/>
      <c r="E49" s="403"/>
      <c r="F49" s="846"/>
      <c r="G49" s="846"/>
      <c r="H49" s="403">
        <f>C49/C47</f>
        <v>2.7973432576874999</v>
      </c>
    </row>
    <row r="50" spans="2:8" ht="15" thickBot="1">
      <c r="B50" s="339" t="s">
        <v>154</v>
      </c>
      <c r="C50" s="340">
        <f>+C47+C48-C49</f>
        <v>-265374921.22999996</v>
      </c>
      <c r="D50" s="340"/>
      <c r="E50" s="340"/>
      <c r="F50" s="847"/>
      <c r="G50" s="847"/>
      <c r="H50" s="340">
        <f>C50/C47</f>
        <v>-1.6585932576874998</v>
      </c>
    </row>
  </sheetData>
  <mergeCells count="11">
    <mergeCell ref="Q3:Q4"/>
    <mergeCell ref="R1:U2"/>
    <mergeCell ref="J2:N2"/>
    <mergeCell ref="I3:I4"/>
    <mergeCell ref="J3:J4"/>
    <mergeCell ref="K3:K4"/>
    <mergeCell ref="L3:L4"/>
    <mergeCell ref="M3:M4"/>
    <mergeCell ref="N3:N4"/>
    <mergeCell ref="O3:O4"/>
    <mergeCell ref="P3:P4"/>
  </mergeCells>
  <conditionalFormatting sqref="R6:R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R8:R9">
    <cfRule type="iconSet" priority="1">
      <iconSet iconSet="3Arrows">
        <cfvo type="percent" val="0"/>
        <cfvo type="percent" val="45"/>
        <cfvo type="percent" val="80"/>
      </iconSet>
    </cfRule>
  </conditionalFormatting>
  <conditionalFormatting sqref="R14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R16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R20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R22">
    <cfRule type="iconSet" priority="2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ignoredErrors>
    <ignoredError sqref="H12 O12:Q12 H18:Q18 H5" formula="1"/>
  </ignoredErrors>
  <drawing r:id="rId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FE485-D624-4191-BBC6-DB414C528174}">
  <dimension ref="B3:L47"/>
  <sheetViews>
    <sheetView showGridLines="0" topLeftCell="A20" zoomScaleNormal="100" workbookViewId="0">
      <selection activeCell="D30" sqref="D30"/>
    </sheetView>
  </sheetViews>
  <sheetFormatPr baseColWidth="10" defaultColWidth="11.44140625" defaultRowHeight="14.4"/>
  <cols>
    <col min="1" max="1" width="2.44140625" customWidth="1"/>
    <col min="2" max="2" width="30.88671875" bestFit="1" customWidth="1"/>
    <col min="3" max="3" width="20.6640625" style="731" customWidth="1"/>
    <col min="4" max="4" width="16.6640625" style="730" bestFit="1" customWidth="1"/>
    <col min="5" max="6" width="13.44140625" style="730" bestFit="1" customWidth="1"/>
    <col min="7" max="8" width="14.109375" style="730" bestFit="1" customWidth="1"/>
    <col min="9" max="9" width="14.5546875" style="731" bestFit="1" customWidth="1"/>
    <col min="10" max="10" width="20.6640625" bestFit="1" customWidth="1"/>
    <col min="11" max="11" width="13.5546875" bestFit="1" customWidth="1"/>
    <col min="12" max="12" width="14.88671875" bestFit="1" customWidth="1"/>
    <col min="13" max="14" width="12.33203125" bestFit="1" customWidth="1"/>
  </cols>
  <sheetData>
    <row r="3" spans="2:12" hidden="1">
      <c r="B3" s="142">
        <v>160000000</v>
      </c>
    </row>
    <row r="4" spans="2:12" ht="15" hidden="1" thickBot="1">
      <c r="B4" s="284" t="s">
        <v>259</v>
      </c>
    </row>
    <row r="5" spans="2:12" ht="15" hidden="1" thickBot="1">
      <c r="B5" s="284" t="s">
        <v>260</v>
      </c>
    </row>
    <row r="6" spans="2:12" ht="15.6" hidden="1" thickTop="1" thickBot="1">
      <c r="B6" s="285" t="s">
        <v>261</v>
      </c>
    </row>
    <row r="7" spans="2:12" ht="15.6" hidden="1" thickTop="1" thickBot="1">
      <c r="B7" s="285" t="s">
        <v>149</v>
      </c>
    </row>
    <row r="8" spans="2:12" ht="15.6" hidden="1" thickTop="1" thickBot="1">
      <c r="B8" s="285" t="s">
        <v>262</v>
      </c>
    </row>
    <row r="9" spans="2:12" hidden="1"/>
    <row r="10" spans="2:12" hidden="1"/>
    <row r="11" spans="2:12" hidden="1"/>
    <row r="12" spans="2:12" hidden="1"/>
    <row r="13" spans="2:12" hidden="1"/>
    <row r="14" spans="2:12" hidden="1"/>
    <row r="15" spans="2:12" ht="15" thickBot="1">
      <c r="C15" s="731" t="s">
        <v>1286</v>
      </c>
      <c r="F15" s="733" t="s">
        <v>1287</v>
      </c>
      <c r="G15" s="733" t="s">
        <v>1288</v>
      </c>
    </row>
    <row r="16" spans="2:12" ht="16.2" thickBot="1">
      <c r="B16" s="676"/>
      <c r="C16" s="734" t="s">
        <v>1760</v>
      </c>
      <c r="D16" s="735">
        <v>45901</v>
      </c>
      <c r="E16" s="735">
        <v>45931</v>
      </c>
      <c r="F16" s="735">
        <v>45962</v>
      </c>
      <c r="G16" s="735">
        <v>45992</v>
      </c>
      <c r="H16" s="735">
        <v>46023</v>
      </c>
      <c r="I16" s="807" t="s">
        <v>1290</v>
      </c>
      <c r="K16" s="1078">
        <v>778723.04</v>
      </c>
      <c r="L16" s="1079">
        <v>45717</v>
      </c>
    </row>
    <row r="17" spans="2:12" ht="16.2" thickBot="1">
      <c r="B17" s="736" t="s">
        <v>1291</v>
      </c>
      <c r="C17" s="737">
        <f>+'BCE 08-25'!C33</f>
        <v>57642843.719999999</v>
      </c>
      <c r="D17" s="737">
        <v>22480000</v>
      </c>
      <c r="E17" s="737">
        <v>22480000</v>
      </c>
      <c r="F17" s="737">
        <v>22480000</v>
      </c>
      <c r="G17" s="737">
        <v>22480000</v>
      </c>
      <c r="H17" s="737">
        <v>22480000</v>
      </c>
      <c r="I17" s="808">
        <f>SUM(C17:H17)</f>
        <v>170042843.72</v>
      </c>
      <c r="K17" s="1080">
        <v>3371585.6799999997</v>
      </c>
      <c r="L17" s="1081">
        <v>45748</v>
      </c>
    </row>
    <row r="18" spans="2:12" ht="15.6">
      <c r="B18" s="681" t="s">
        <v>1616</v>
      </c>
      <c r="C18" s="738">
        <v>330000000</v>
      </c>
      <c r="D18" s="739">
        <v>55000000</v>
      </c>
      <c r="E18" s="739">
        <v>45000000</v>
      </c>
      <c r="F18" s="739"/>
      <c r="G18" s="739"/>
      <c r="H18" s="739"/>
      <c r="I18" s="809">
        <f>SUM(C18:H18)</f>
        <v>430000000</v>
      </c>
      <c r="K18" s="1080">
        <v>6876530.0099999998</v>
      </c>
      <c r="L18" s="1081">
        <v>45778</v>
      </c>
    </row>
    <row r="19" spans="2:12" ht="15.6">
      <c r="B19" s="681" t="s">
        <v>1617</v>
      </c>
      <c r="C19" s="738">
        <v>49200000</v>
      </c>
      <c r="D19" s="738"/>
      <c r="E19" s="738"/>
      <c r="F19" s="738"/>
      <c r="G19" s="738"/>
      <c r="H19" s="739"/>
      <c r="I19" s="809">
        <f t="shared" ref="I19:I21" si="0">SUM(C19:H19)</f>
        <v>49200000</v>
      </c>
      <c r="K19" s="1080">
        <v>13084169.59</v>
      </c>
      <c r="L19" s="1081">
        <v>45809</v>
      </c>
    </row>
    <row r="20" spans="2:12" ht="16.2" thickBot="1">
      <c r="B20" s="681" t="s">
        <v>1618</v>
      </c>
      <c r="C20" s="738"/>
      <c r="D20" s="738"/>
      <c r="E20" s="730">
        <v>-15000000</v>
      </c>
      <c r="F20" s="739">
        <v>-34200000</v>
      </c>
      <c r="G20" s="738"/>
      <c r="H20" s="739"/>
      <c r="I20" s="809">
        <f t="shared" si="0"/>
        <v>-49200000</v>
      </c>
      <c r="K20" s="1082">
        <v>16013881.909999996</v>
      </c>
      <c r="L20" s="1083">
        <v>45839</v>
      </c>
    </row>
    <row r="21" spans="2:12" ht="15.6" hidden="1">
      <c r="B21" s="681"/>
      <c r="C21" s="738"/>
      <c r="D21" s="739">
        <f>+C19+D19+D18</f>
        <v>104200000</v>
      </c>
      <c r="E21" s="739">
        <f>+D21+E18+D20</f>
        <v>149200000</v>
      </c>
      <c r="F21" s="739">
        <f>+E21+F18+F20</f>
        <v>115000000</v>
      </c>
      <c r="G21" s="739">
        <f>+F21+G19+G20</f>
        <v>115000000</v>
      </c>
      <c r="H21" s="739"/>
      <c r="I21" s="809">
        <f t="shared" si="0"/>
        <v>483400000</v>
      </c>
      <c r="K21" s="368">
        <v>13085679.84</v>
      </c>
      <c r="L21" s="193">
        <v>45888</v>
      </c>
    </row>
    <row r="22" spans="2:12" ht="15.6">
      <c r="B22" s="681" t="s">
        <v>266</v>
      </c>
      <c r="C22" s="738">
        <f>+C18+C19-C23</f>
        <v>130530.99000000954</v>
      </c>
      <c r="D22" s="739">
        <f>+C22+D18+D19-D23+D20</f>
        <v>-2891620.3211835474</v>
      </c>
      <c r="E22" s="739">
        <f t="shared" ref="E22:H22" si="1">+D22+E18+E19-E23+E20</f>
        <v>-7189801.7257004455</v>
      </c>
      <c r="F22" s="739">
        <f>+E22+F18+F19-F23+F20</f>
        <v>-81645760.180217341</v>
      </c>
      <c r="G22" s="739">
        <f t="shared" si="1"/>
        <v>-112115725.50473423</v>
      </c>
      <c r="H22" s="739">
        <f t="shared" si="1"/>
        <v>-143283956.82925114</v>
      </c>
      <c r="I22" s="809">
        <f>+H22</f>
        <v>-143283956.82925114</v>
      </c>
      <c r="J22" s="732"/>
    </row>
    <row r="23" spans="2:12" ht="15.6">
      <c r="B23" s="740" t="s">
        <v>267</v>
      </c>
      <c r="C23" s="741">
        <f>SUM(C24:C40)</f>
        <v>379069469.00999999</v>
      </c>
      <c r="D23" s="741">
        <f>SUM(D24:D40)</f>
        <v>58022151.311183557</v>
      </c>
      <c r="E23" s="741">
        <f>SUM(E24:E40)</f>
        <v>34298181.404516898</v>
      </c>
      <c r="F23" s="741">
        <f>SUM(F24:F40)</f>
        <v>40255958.454516895</v>
      </c>
      <c r="G23" s="741">
        <f t="shared" ref="G23:H23" si="2">SUM(G24:G40)</f>
        <v>30469965.324516896</v>
      </c>
      <c r="H23" s="741">
        <f t="shared" si="2"/>
        <v>31168231.324516896</v>
      </c>
      <c r="I23" s="810">
        <f>SUM(C23:H23)</f>
        <v>573283956.82925117</v>
      </c>
      <c r="J23" s="732"/>
    </row>
    <row r="24" spans="2:12" ht="15.6">
      <c r="B24" s="694" t="s">
        <v>259</v>
      </c>
      <c r="C24" s="743">
        <f>+'PRESENTACIÓN 08-25'!O5</f>
        <v>264425885.16</v>
      </c>
      <c r="D24" s="742">
        <f>+'Compromisos 08-25'!O3+'Reembolsos MMHB 08-25'!E8</f>
        <v>19196</v>
      </c>
      <c r="E24" s="742">
        <f>+'Compromisos 08-25'!P3</f>
        <v>0</v>
      </c>
      <c r="F24" s="742">
        <f>+'Compromisos 08-25'!Q3</f>
        <v>0</v>
      </c>
      <c r="G24" s="742">
        <f>+'Compromisos 08-25'!R3</f>
        <v>0</v>
      </c>
      <c r="H24" s="742">
        <f>+'Compromisos 08-25'!S3</f>
        <v>0</v>
      </c>
      <c r="I24" s="811">
        <f t="shared" ref="I24:I40" si="3">SUM(C24:H24)</f>
        <v>264445081.16</v>
      </c>
    </row>
    <row r="25" spans="2:12" ht="15.6">
      <c r="B25" s="697" t="s">
        <v>260</v>
      </c>
      <c r="C25" s="738">
        <f>+'PRESENTACIÓN 08-25'!O20</f>
        <v>21884665.649999999</v>
      </c>
      <c r="D25" s="739">
        <f>+'Compromisos 08-25'!O13+'Reembolsos MMHB 08-25'!E16</f>
        <v>329865.59999999998</v>
      </c>
      <c r="E25" s="739">
        <f>+'Compromisos 08-25'!P13</f>
        <v>1471715.42</v>
      </c>
      <c r="F25" s="739">
        <f>+'Compromisos 08-25'!Q13</f>
        <v>713839.21</v>
      </c>
      <c r="G25" s="739">
        <f>+'Compromisos 08-25'!R13</f>
        <v>0</v>
      </c>
      <c r="H25" s="739">
        <f>+'Compromisos 08-25'!S13</f>
        <v>0</v>
      </c>
      <c r="I25" s="809">
        <f t="shared" si="3"/>
        <v>24400085.880000003</v>
      </c>
    </row>
    <row r="26" spans="2:12" ht="15.6">
      <c r="B26" s="697" t="s">
        <v>1292</v>
      </c>
      <c r="C26" s="743">
        <f>+'PRESENTACIÓN 08-25'!O19</f>
        <v>16547080.279999999</v>
      </c>
      <c r="D26" s="742">
        <f>+'Compromisos 08-25'!O123+'Reembolsos MMHB 08-25'!E53</f>
        <v>3139514.54</v>
      </c>
      <c r="E26" s="742">
        <f>+'Compromisos 08-25'!P123</f>
        <v>357835</v>
      </c>
      <c r="F26" s="742">
        <f>+'Compromisos 08-25'!Q123</f>
        <v>2449793.9900000002</v>
      </c>
      <c r="G26" s="742">
        <f>+'Compromisos 08-25'!R123</f>
        <v>0</v>
      </c>
      <c r="H26" s="742">
        <f>+'Compromisos 08-25'!S123</f>
        <v>0</v>
      </c>
      <c r="I26" s="811">
        <f t="shared" si="3"/>
        <v>22494223.810000002</v>
      </c>
    </row>
    <row r="27" spans="2:12" ht="15.6">
      <c r="B27" s="697" t="s">
        <v>271</v>
      </c>
      <c r="C27" s="738">
        <f>+'PRESENTACIÓN 08-25'!O6</f>
        <v>24960256.289999992</v>
      </c>
      <c r="D27" s="739">
        <f>+'Compromisos 08-25'!O30+'Reembolsos MMHB 08-25'!E21</f>
        <v>7113019.7599999998</v>
      </c>
      <c r="E27" s="739">
        <f>+'Compromisos 08-25'!P30</f>
        <v>7311463.7400000002</v>
      </c>
      <c r="F27" s="739">
        <f>+'Compromisos 08-25'!Q30</f>
        <v>8985014.9299999997</v>
      </c>
      <c r="G27" s="739">
        <f>+'Compromisos 08-25'!R30</f>
        <v>3683734</v>
      </c>
      <c r="H27" s="739">
        <f>+'Compromisos 08-25'!S30</f>
        <v>3382000</v>
      </c>
      <c r="I27" s="809">
        <f t="shared" si="3"/>
        <v>55435488.719999991</v>
      </c>
    </row>
    <row r="28" spans="2:12" ht="15.6">
      <c r="B28" s="697" t="s">
        <v>681</v>
      </c>
      <c r="C28" s="738">
        <f>+'PRESENTACIÓN 08-25'!O7</f>
        <v>0</v>
      </c>
      <c r="D28" s="739">
        <f>+'Compromisos 08-25'!O36</f>
        <v>0</v>
      </c>
      <c r="E28" s="739">
        <f>+'Compromisos 08-25'!P36</f>
        <v>3000000</v>
      </c>
      <c r="F28" s="739">
        <f>+'Compromisos 08-25'!Q36</f>
        <v>5700000</v>
      </c>
      <c r="G28" s="739">
        <f>+'Compromisos 08-25'!R36</f>
        <v>5000000</v>
      </c>
      <c r="H28" s="739">
        <f>+'Compromisos 08-25'!S36</f>
        <v>6000000</v>
      </c>
      <c r="I28" s="809">
        <f t="shared" si="3"/>
        <v>19700000</v>
      </c>
    </row>
    <row r="29" spans="2:12" ht="15.6">
      <c r="B29" s="697" t="s">
        <v>682</v>
      </c>
      <c r="C29" s="738">
        <f>+'PRESENTACIÓN 08-25'!O10</f>
        <v>0</v>
      </c>
      <c r="D29" s="739">
        <f>+'Compromisos 08-25'!O49</f>
        <v>536663.74</v>
      </c>
      <c r="E29" s="739">
        <f>+'Compromisos 08-25'!P49</f>
        <v>300000</v>
      </c>
      <c r="F29" s="739">
        <f>+'Compromisos 08-25'!Q49</f>
        <v>300000</v>
      </c>
      <c r="G29" s="739">
        <f>+'Compromisos 08-25'!R49</f>
        <v>300000</v>
      </c>
      <c r="H29" s="739">
        <f>+'Compromisos 08-25'!S49</f>
        <v>300000</v>
      </c>
      <c r="I29" s="809">
        <f t="shared" si="3"/>
        <v>1736663.74</v>
      </c>
    </row>
    <row r="30" spans="2:12" ht="15.6">
      <c r="B30" s="697" t="s">
        <v>449</v>
      </c>
      <c r="C30" s="743">
        <f>+'PRESENTACIÓN 08-25'!O16</f>
        <v>15655002.029999999</v>
      </c>
      <c r="D30" s="742">
        <f>+'Compromisos 08-25'!O111+'Reembolsos MMHB 08-25'!E41-'Reembolsos MMHB 08-25'!E35-'Reembolsos MMHB 08-25'!E36</f>
        <v>4803961.8643835625</v>
      </c>
      <c r="E30" s="742">
        <f>+'Compromisos 08-25'!P111</f>
        <v>995731.69438356161</v>
      </c>
      <c r="F30" s="742">
        <f>+'Compromisos 08-25'!Q111</f>
        <v>638860.16438356158</v>
      </c>
      <c r="G30" s="742">
        <f>+'Compromisos 08-25'!R111</f>
        <v>529356.16438356158</v>
      </c>
      <c r="H30" s="742">
        <f>+'Compromisos 08-25'!S111</f>
        <v>529356.16438356158</v>
      </c>
      <c r="I30" s="811">
        <f t="shared" si="3"/>
        <v>23152268.081917804</v>
      </c>
    </row>
    <row r="31" spans="2:12" s="747" customFormat="1" ht="15.6">
      <c r="B31" s="744" t="s">
        <v>810</v>
      </c>
      <c r="C31" s="746">
        <f>+'PRESENTACIÓN 08-25'!O15</f>
        <v>1294927.1399999999</v>
      </c>
      <c r="D31" s="745">
        <f>+'Compromisos 08-25'!O90</f>
        <v>523694.69</v>
      </c>
      <c r="E31" s="745">
        <f>+'Compromisos 08-25'!P90</f>
        <v>250000</v>
      </c>
      <c r="F31" s="745">
        <f>+'Compromisos 08-25'!Q90</f>
        <v>250000</v>
      </c>
      <c r="G31" s="745">
        <f>+'Compromisos 08-25'!R90</f>
        <v>250000</v>
      </c>
      <c r="H31" s="745">
        <f>+'Compromisos 08-25'!S90</f>
        <v>250000</v>
      </c>
      <c r="I31" s="812">
        <f t="shared" si="3"/>
        <v>2818621.83</v>
      </c>
    </row>
    <row r="32" spans="2:12" s="747" customFormat="1" ht="15.6">
      <c r="B32" s="703" t="s">
        <v>767</v>
      </c>
      <c r="C32" s="749">
        <f>+'PRESENTACIÓN 08-25'!O8</f>
        <v>13835468.57</v>
      </c>
      <c r="D32" s="750">
        <f>+'Compromisos 08-25'!O42</f>
        <v>5193693.95</v>
      </c>
      <c r="E32" s="750">
        <f>+'Compromisos 08-25'!P42</f>
        <v>2360000</v>
      </c>
      <c r="F32" s="750">
        <f>+'Compromisos 08-25'!Q42</f>
        <v>2360000</v>
      </c>
      <c r="G32" s="750">
        <f>+'Compromisos 08-25'!R42</f>
        <v>2360000</v>
      </c>
      <c r="H32" s="750">
        <f>+'Compromisos 08-25'!S42</f>
        <v>2360000</v>
      </c>
      <c r="I32" s="813">
        <f t="shared" si="3"/>
        <v>28469162.52</v>
      </c>
    </row>
    <row r="33" spans="2:9" s="747" customFormat="1" ht="15.6">
      <c r="B33" s="703" t="s">
        <v>1607</v>
      </c>
      <c r="C33" s="749">
        <v>0</v>
      </c>
      <c r="D33" s="750">
        <f>+'Compromisos 08-25'!O33</f>
        <v>506964.29680000001</v>
      </c>
      <c r="E33" s="750">
        <f>+'Compromisos 08-25'!P33</f>
        <v>506964.29680000001</v>
      </c>
      <c r="F33" s="750">
        <f>+'Compromisos 08-25'!Q33</f>
        <v>506964.29680000001</v>
      </c>
      <c r="G33" s="750">
        <f>+'Compromisos 08-25'!R33</f>
        <v>506964.29680000001</v>
      </c>
      <c r="H33" s="750">
        <f>+'Compromisos 08-25'!S33</f>
        <v>506964.29680000001</v>
      </c>
      <c r="I33" s="814">
        <f>SUM(C33:H33)</f>
        <v>2534821.4840000002</v>
      </c>
    </row>
    <row r="34" spans="2:9" s="747" customFormat="1" ht="15.6">
      <c r="B34" s="703" t="s">
        <v>768</v>
      </c>
      <c r="C34" s="748">
        <f>+'PRESENTACIÓN 08-25'!O13</f>
        <v>7241175.9700000007</v>
      </c>
      <c r="D34" s="751">
        <f>+'Compromisos 08-25'!O54</f>
        <v>3540000</v>
      </c>
      <c r="E34" s="751">
        <f>+'Compromisos 08-25'!P54</f>
        <v>1770000</v>
      </c>
      <c r="F34" s="751">
        <f>+'Compromisos 08-25'!Q54</f>
        <v>1770000</v>
      </c>
      <c r="G34" s="751">
        <f>+'Compromisos 08-25'!R54</f>
        <v>1770000</v>
      </c>
      <c r="H34" s="751">
        <f>+'Compromisos 08-25'!S54</f>
        <v>1770000</v>
      </c>
      <c r="I34" s="814">
        <f t="shared" si="3"/>
        <v>17861175.969999999</v>
      </c>
    </row>
    <row r="35" spans="2:9" s="747" customFormat="1" ht="15.6">
      <c r="B35" s="703" t="s">
        <v>1451</v>
      </c>
      <c r="C35" s="749">
        <f>+'BCE 08-25'!K17+'BCE 08-25'!K18-'CXP 08-25'!E45-'CXP 08-25'!E46-'CXP 08-25'!E53-'CXP 08-25'!E56-'CXP 08-25'!E57-'CXP 08-25'!E58-'CXP 08-25'!E50</f>
        <v>6287316.04</v>
      </c>
      <c r="D35" s="750">
        <f>+'Compromisos 08-25'!O79</f>
        <v>2298741.08</v>
      </c>
      <c r="E35" s="750">
        <f>+'Compromisos 08-25'!P79</f>
        <v>1453412.92</v>
      </c>
      <c r="F35" s="750">
        <f>+'Compromisos 08-25'!Q79</f>
        <v>1387302.53</v>
      </c>
      <c r="G35" s="750">
        <f>+'Compromisos 08-25'!R79</f>
        <v>1387302.53</v>
      </c>
      <c r="H35" s="750">
        <f>+'Compromisos 08-25'!S79</f>
        <v>1387302.53</v>
      </c>
      <c r="I35" s="813">
        <f t="shared" si="3"/>
        <v>14201377.629999999</v>
      </c>
    </row>
    <row r="36" spans="2:9" s="747" customFormat="1" ht="18" customHeight="1">
      <c r="B36" s="752" t="s">
        <v>962</v>
      </c>
      <c r="C36" s="748">
        <f>+'BCE 08-25'!K16-'CXP 08-25'!E44-'CXP 08-25'!E49</f>
        <v>1234000</v>
      </c>
      <c r="D36" s="751">
        <f>+'Compromisos 08-25'!O85</f>
        <v>1834000</v>
      </c>
      <c r="E36" s="751">
        <f>+'Compromisos 08-25'!P85</f>
        <v>767000</v>
      </c>
      <c r="F36" s="751">
        <f>+'Compromisos 08-25'!Q85</f>
        <v>767000</v>
      </c>
      <c r="G36" s="751">
        <f>+'Compromisos 08-25'!R85</f>
        <v>767000</v>
      </c>
      <c r="H36" s="751">
        <f>+'Compromisos 08-25'!S85</f>
        <v>767000</v>
      </c>
      <c r="I36" s="814">
        <f t="shared" si="3"/>
        <v>6136000</v>
      </c>
    </row>
    <row r="37" spans="2:9" ht="15.6">
      <c r="B37" s="752" t="s">
        <v>770</v>
      </c>
      <c r="C37" s="743">
        <f>+'BCE 08-25'!K15-'CXP 08-25'!E47-'CXP 08-25'!E48-'CXP 08-25'!E51-'CXP 08-25'!E52-'CXP 08-25'!E54-'CXP 08-25'!E55</f>
        <v>5703691.879999999</v>
      </c>
      <c r="D37" s="742">
        <f>+'Compromisos 08-25'!O69</f>
        <v>25903777.459999997</v>
      </c>
      <c r="E37" s="742">
        <f>+'Compromisos 08-25'!P69</f>
        <v>12195400.000000002</v>
      </c>
      <c r="F37" s="742">
        <f>+'Compromisos 08-25'!Q69</f>
        <v>12195400.000000002</v>
      </c>
      <c r="G37" s="742">
        <f>+'Compromisos 08-25'!R69</f>
        <v>12195400.000000002</v>
      </c>
      <c r="H37" s="742">
        <f>+'Compromisos 08-25'!S69</f>
        <v>12195400.000000002</v>
      </c>
      <c r="I37" s="811">
        <f t="shared" si="3"/>
        <v>80389069.340000004</v>
      </c>
    </row>
    <row r="38" spans="2:9" ht="15.6" hidden="1">
      <c r="B38" s="753"/>
      <c r="C38" s="755"/>
      <c r="D38" s="754"/>
      <c r="E38" s="754"/>
      <c r="F38" s="754"/>
      <c r="G38" s="754"/>
      <c r="H38" s="754"/>
      <c r="I38" s="811">
        <f t="shared" si="3"/>
        <v>0</v>
      </c>
    </row>
    <row r="39" spans="2:9" ht="15.6" hidden="1">
      <c r="B39" s="753"/>
      <c r="C39" s="755"/>
      <c r="D39" s="754"/>
      <c r="E39" s="754"/>
      <c r="F39" s="754"/>
      <c r="G39" s="754"/>
      <c r="H39" s="754"/>
      <c r="I39" s="811">
        <f t="shared" si="3"/>
        <v>0</v>
      </c>
    </row>
    <row r="40" spans="2:9" ht="16.2" thickBot="1">
      <c r="B40" s="756" t="s">
        <v>1294</v>
      </c>
      <c r="C40" s="758">
        <f>+'PRESENTACIÓN 07-25'!O21</f>
        <v>0</v>
      </c>
      <c r="D40" s="757">
        <f>+'Compromisos 08-25'!O128</f>
        <v>2279058.33</v>
      </c>
      <c r="E40" s="757">
        <f>((+D21*0.1795)/12)</f>
        <v>1558658.3333333333</v>
      </c>
      <c r="F40" s="757">
        <f>((+E21*0.1795)/12)</f>
        <v>2231783.3333333335</v>
      </c>
      <c r="G40" s="757">
        <f>((+F21*0.1795)/12)</f>
        <v>1720208.3333333333</v>
      </c>
      <c r="H40" s="757">
        <f>((+G21*0.1795)/12)</f>
        <v>1720208.3333333333</v>
      </c>
      <c r="I40" s="816">
        <f t="shared" si="3"/>
        <v>9509916.6633333322</v>
      </c>
    </row>
    <row r="41" spans="2:9" ht="16.2" thickBot="1">
      <c r="B41" s="759"/>
    </row>
    <row r="42" spans="2:9">
      <c r="B42" s="760" t="s">
        <v>1295</v>
      </c>
      <c r="C42" s="761">
        <v>140500</v>
      </c>
    </row>
    <row r="43" spans="2:9">
      <c r="B43" s="762" t="s">
        <v>1296</v>
      </c>
      <c r="C43" s="763">
        <f>+C42*80</f>
        <v>11240000</v>
      </c>
    </row>
    <row r="44" spans="2:9">
      <c r="B44" s="762" t="s">
        <v>1297</v>
      </c>
      <c r="C44" s="763">
        <f>+C43*0.07</f>
        <v>786800.00000000012</v>
      </c>
      <c r="D44" s="370"/>
    </row>
    <row r="45" spans="2:9">
      <c r="B45" s="762" t="s">
        <v>1298</v>
      </c>
      <c r="C45" s="763">
        <v>62</v>
      </c>
    </row>
    <row r="46" spans="2:9">
      <c r="B46" s="764" t="s">
        <v>1299</v>
      </c>
      <c r="C46" s="765">
        <f>+C44*C45</f>
        <v>48781600.000000007</v>
      </c>
    </row>
    <row r="47" spans="2:9" ht="15" thickBot="1">
      <c r="B47" s="766" t="s">
        <v>1300</v>
      </c>
      <c r="C47" s="767">
        <f>+C46/4</f>
        <v>12195400.000000002</v>
      </c>
    </row>
  </sheetData>
  <pageMargins left="0.7" right="0.7" top="0.75" bottom="0.75" header="0.3" footer="0.3"/>
  <ignoredErrors>
    <ignoredError sqref="I22" formula="1"/>
  </ignoredError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C0704-9666-4BD7-BB93-14656BC1F214}">
  <dimension ref="B1:H27"/>
  <sheetViews>
    <sheetView showGridLines="0" zoomScaleNormal="100" workbookViewId="0">
      <selection activeCell="C26" sqref="C26"/>
    </sheetView>
  </sheetViews>
  <sheetFormatPr baseColWidth="10" defaultColWidth="11.44140625" defaultRowHeight="14.4"/>
  <cols>
    <col min="1" max="1" width="2.44140625" customWidth="1"/>
    <col min="2" max="2" width="27.6640625" bestFit="1" customWidth="1"/>
    <col min="3" max="3" width="13.6640625" style="730" customWidth="1"/>
    <col min="4" max="4" width="12.33203125" style="730" customWidth="1"/>
    <col min="5" max="5" width="12.33203125" style="730" bestFit="1" customWidth="1"/>
    <col min="6" max="6" width="13.33203125" style="730" bestFit="1" customWidth="1"/>
    <col min="7" max="7" width="13.44140625" style="731" bestFit="1" customWidth="1"/>
    <col min="8" max="8" width="9.5546875" style="1154" customWidth="1"/>
    <col min="9" max="10" width="12.33203125" bestFit="1" customWidth="1"/>
  </cols>
  <sheetData>
    <row r="1" spans="2:8" ht="27.6" customHeight="1">
      <c r="B1" s="2149" t="s">
        <v>1761</v>
      </c>
      <c r="C1" s="2150"/>
      <c r="D1" s="2150"/>
      <c r="E1" s="2150"/>
      <c r="F1" s="2150"/>
      <c r="G1" s="2150"/>
      <c r="H1" s="2150"/>
    </row>
    <row r="2" spans="2:8" ht="15" thickBot="1"/>
    <row r="3" spans="2:8" ht="15.6">
      <c r="B3" s="1155"/>
      <c r="C3" s="1156">
        <v>45901</v>
      </c>
      <c r="D3" s="1156">
        <v>45931</v>
      </c>
      <c r="E3" s="1156">
        <v>45962</v>
      </c>
      <c r="F3" s="1156">
        <v>45992</v>
      </c>
      <c r="G3" s="1157" t="s">
        <v>1290</v>
      </c>
      <c r="H3" s="1158" t="s">
        <v>1762</v>
      </c>
    </row>
    <row r="4" spans="2:8" ht="15.6">
      <c r="B4" s="1159" t="s">
        <v>267</v>
      </c>
      <c r="C4" s="748">
        <f t="shared" ref="C4:H4" si="0">+C13+C19+C21+C23+C27</f>
        <v>58002955.311183557</v>
      </c>
      <c r="D4" s="748">
        <f t="shared" si="0"/>
        <v>49298181.404516898</v>
      </c>
      <c r="E4" s="748">
        <f t="shared" si="0"/>
        <v>74231583.454516888</v>
      </c>
      <c r="F4" s="748">
        <f t="shared" si="0"/>
        <v>30245590.324516896</v>
      </c>
      <c r="G4" s="1171">
        <f t="shared" si="0"/>
        <v>211778310.49473429</v>
      </c>
      <c r="H4" s="1172">
        <f t="shared" si="0"/>
        <v>0.99999999999999978</v>
      </c>
    </row>
    <row r="5" spans="2:8" ht="6.6" customHeight="1">
      <c r="B5" s="1161"/>
      <c r="C5" s="1149"/>
      <c r="D5" s="1149"/>
      <c r="E5" s="1149"/>
      <c r="F5" s="1149"/>
      <c r="G5" s="1146"/>
      <c r="H5" s="1162"/>
    </row>
    <row r="6" spans="2:8" ht="15.6">
      <c r="B6" s="1163" t="s">
        <v>1763</v>
      </c>
      <c r="C6" s="1147">
        <f>+'Compromisos 08-25'!O13+'Reembolsos MMHB 08-25'!E16</f>
        <v>329865.59999999998</v>
      </c>
      <c r="D6" s="1147">
        <f>+'Compromisos 08-25'!P13</f>
        <v>1471715.42</v>
      </c>
      <c r="E6" s="1147">
        <f>+'Compromisos 08-25'!Q13</f>
        <v>713839.21</v>
      </c>
      <c r="F6" s="1147">
        <f>+'Compromisos 08-25'!R13</f>
        <v>0</v>
      </c>
      <c r="G6" s="1146">
        <f t="shared" ref="G6:G12" si="1">SUM(C6:F6)</f>
        <v>2515420.23</v>
      </c>
      <c r="H6" s="1164">
        <f>+G6/$G$4</f>
        <v>1.1877610243106289E-2</v>
      </c>
    </row>
    <row r="7" spans="2:8" ht="15.6">
      <c r="B7" s="1163" t="s">
        <v>717</v>
      </c>
      <c r="C7" s="1057">
        <f>+'Compromisos 08-25'!O123+'Reembolsos MMHB 08-25'!E53</f>
        <v>3139514.54</v>
      </c>
      <c r="D7" s="1057">
        <f>+'Compromisos 08-25'!P123</f>
        <v>357835</v>
      </c>
      <c r="E7" s="1057">
        <f>+'Compromisos 08-25'!Q123</f>
        <v>2449793.9900000002</v>
      </c>
      <c r="F7" s="1057">
        <f>+'Compromisos 08-25'!R123</f>
        <v>0</v>
      </c>
      <c r="G7" s="1146">
        <f t="shared" si="1"/>
        <v>5947143.5300000003</v>
      </c>
      <c r="H7" s="1164">
        <f t="shared" ref="H7:H12" si="2">+G7/$G$4</f>
        <v>2.8081929240567211E-2</v>
      </c>
    </row>
    <row r="8" spans="2:8" ht="15.6">
      <c r="B8" s="1163" t="s">
        <v>1764</v>
      </c>
      <c r="C8" s="1147">
        <f>+'Compromisos 08-25'!O30+'Reembolsos MMHB 08-25'!E21</f>
        <v>7113019.7599999998</v>
      </c>
      <c r="D8" s="1147">
        <f>+'Compromisos 08-25'!P30</f>
        <v>7311463.7400000002</v>
      </c>
      <c r="E8" s="1147">
        <f>+'Compromisos 08-25'!Q30</f>
        <v>8985014.9299999997</v>
      </c>
      <c r="F8" s="1147">
        <f>+'Compromisos 08-25'!R30</f>
        <v>3683734</v>
      </c>
      <c r="G8" s="1146">
        <f t="shared" si="1"/>
        <v>27093232.43</v>
      </c>
      <c r="H8" s="1164">
        <f t="shared" si="2"/>
        <v>0.12793204538608147</v>
      </c>
    </row>
    <row r="9" spans="2:8" ht="15.6">
      <c r="B9" s="1163" t="s">
        <v>1765</v>
      </c>
      <c r="C9" s="1147">
        <f>+'Compromisos 08-25'!O36</f>
        <v>0</v>
      </c>
      <c r="D9" s="1147">
        <f>+'Compromisos 08-25'!P36</f>
        <v>3000000</v>
      </c>
      <c r="E9" s="1147">
        <f>+'Compromisos 08-25'!Q36</f>
        <v>5700000</v>
      </c>
      <c r="F9" s="1147">
        <f>+'Compromisos 08-25'!R36</f>
        <v>5000000</v>
      </c>
      <c r="G9" s="1146">
        <f t="shared" si="1"/>
        <v>13700000</v>
      </c>
      <c r="H9" s="1164">
        <f t="shared" si="2"/>
        <v>6.4690288481362879E-2</v>
      </c>
    </row>
    <row r="10" spans="2:8" ht="15.6">
      <c r="B10" s="1163" t="s">
        <v>40</v>
      </c>
      <c r="C10" s="1147">
        <f>+'Compromisos 08-25'!O49</f>
        <v>536663.74</v>
      </c>
      <c r="D10" s="1147">
        <f>+'Compromisos 08-25'!P49</f>
        <v>300000</v>
      </c>
      <c r="E10" s="1147">
        <f>+'Compromisos 08-25'!Q49</f>
        <v>300000</v>
      </c>
      <c r="F10" s="1147">
        <f>+'Compromisos 08-25'!R49</f>
        <v>300000</v>
      </c>
      <c r="G10" s="1146">
        <f t="shared" si="1"/>
        <v>1436663.74</v>
      </c>
      <c r="H10" s="1164">
        <f t="shared" si="2"/>
        <v>6.78380961980392E-3</v>
      </c>
    </row>
    <row r="11" spans="2:8" ht="15.6">
      <c r="B11" s="1163" t="s">
        <v>767</v>
      </c>
      <c r="C11" s="1057">
        <f>+'Compromisos 08-25'!O42</f>
        <v>5193693.95</v>
      </c>
      <c r="D11" s="1057">
        <f>+'Compromisos 08-25'!P42</f>
        <v>2360000</v>
      </c>
      <c r="E11" s="1057">
        <f>+'Compromisos 08-25'!Q42</f>
        <v>2360000</v>
      </c>
      <c r="F11" s="1057">
        <f>+'Compromisos 08-25'!R42</f>
        <v>2360000</v>
      </c>
      <c r="G11" s="1146">
        <f t="shared" si="1"/>
        <v>12273693.949999999</v>
      </c>
      <c r="H11" s="1164">
        <f t="shared" si="2"/>
        <v>5.7955387033391106E-2</v>
      </c>
    </row>
    <row r="12" spans="2:8" ht="15.6">
      <c r="B12" s="1163" t="s">
        <v>1607</v>
      </c>
      <c r="C12" s="1152">
        <f>+'Compromisos 08-25'!O33</f>
        <v>506964.29680000001</v>
      </c>
      <c r="D12" s="1152">
        <f>+'Compromisos 08-25'!P33</f>
        <v>506964.29680000001</v>
      </c>
      <c r="E12" s="1152">
        <f>+'Compromisos 08-25'!Q33</f>
        <v>506964.29680000001</v>
      </c>
      <c r="F12" s="1152">
        <f>+'Compromisos 08-25'!R33</f>
        <v>506964.29680000001</v>
      </c>
      <c r="G12" s="1151">
        <f t="shared" si="1"/>
        <v>2027857.1872</v>
      </c>
      <c r="H12" s="1165">
        <f t="shared" si="2"/>
        <v>9.5753771123338015E-3</v>
      </c>
    </row>
    <row r="13" spans="2:8" ht="15.6">
      <c r="B13" s="1166" t="s">
        <v>1766</v>
      </c>
      <c r="C13" s="1149">
        <f>SUM(C6:C12)</f>
        <v>16819721.886799999</v>
      </c>
      <c r="D13" s="1149">
        <f t="shared" ref="D13:F13" si="3">SUM(D6:D12)</f>
        <v>15307978.456800001</v>
      </c>
      <c r="E13" s="1149">
        <f t="shared" si="3"/>
        <v>21015612.426799998</v>
      </c>
      <c r="F13" s="1149">
        <f t="shared" si="3"/>
        <v>11850698.296800001</v>
      </c>
      <c r="G13" s="1146">
        <f>SUM(G6:G12)</f>
        <v>64994011.067199998</v>
      </c>
      <c r="H13" s="1160">
        <f>+G13/G4</f>
        <v>0.30689644711664665</v>
      </c>
    </row>
    <row r="14" spans="2:8" ht="6.6" customHeight="1">
      <c r="B14" s="1167"/>
      <c r="C14" s="1147"/>
      <c r="D14" s="1147"/>
      <c r="E14" s="1147"/>
      <c r="F14" s="1147"/>
      <c r="G14" s="1146"/>
      <c r="H14" s="1162"/>
    </row>
    <row r="15" spans="2:8" s="747" customFormat="1" ht="15.6">
      <c r="B15" s="1163" t="s">
        <v>672</v>
      </c>
      <c r="C15" s="1147">
        <f>+'Compromisos 08-25'!O90</f>
        <v>523694.69</v>
      </c>
      <c r="D15" s="1147">
        <f>+'Compromisos 08-25'!P90</f>
        <v>250000</v>
      </c>
      <c r="E15" s="1147">
        <f>+'Compromisos 08-25'!Q90</f>
        <v>250000</v>
      </c>
      <c r="F15" s="1147">
        <f>+'Compromisos 08-25'!R90</f>
        <v>250000</v>
      </c>
      <c r="G15" s="1146">
        <f>SUM(C15:F15)</f>
        <v>1273694.69</v>
      </c>
      <c r="H15" s="1164">
        <f t="shared" ref="H15:H18" si="4">+G15/$G$4</f>
        <v>6.0142829878306612E-3</v>
      </c>
    </row>
    <row r="16" spans="2:8" s="747" customFormat="1" ht="15.6">
      <c r="B16" s="1163" t="s">
        <v>768</v>
      </c>
      <c r="C16" s="1147">
        <f>+'Compromisos 08-25'!O54</f>
        <v>3540000</v>
      </c>
      <c r="D16" s="1147">
        <f>+'Compromisos 08-25'!P54</f>
        <v>1770000</v>
      </c>
      <c r="E16" s="1147">
        <f>+'Compromisos 08-25'!Q54</f>
        <v>1770000</v>
      </c>
      <c r="F16" s="1147">
        <f>+'Compromisos 08-25'!R54</f>
        <v>1770000</v>
      </c>
      <c r="G16" s="1146">
        <f>SUM(C16:F16)</f>
        <v>8850000</v>
      </c>
      <c r="H16" s="1164">
        <f t="shared" si="4"/>
        <v>4.1788981975186969E-2</v>
      </c>
    </row>
    <row r="17" spans="2:8" s="747" customFormat="1" ht="15.6">
      <c r="B17" s="1163" t="s">
        <v>1451</v>
      </c>
      <c r="C17" s="1057">
        <f>+'Compromisos 08-25'!O79</f>
        <v>2298741.08</v>
      </c>
      <c r="D17" s="1057">
        <f>+'Compromisos 08-25'!P79</f>
        <v>1453412.92</v>
      </c>
      <c r="E17" s="1057">
        <f>+'Compromisos 08-25'!Q79</f>
        <v>1387302.53</v>
      </c>
      <c r="F17" s="1057">
        <f>+'Compromisos 08-25'!R79</f>
        <v>1387302.53</v>
      </c>
      <c r="G17" s="1146">
        <f>SUM(C17:F17)</f>
        <v>6526759.0600000005</v>
      </c>
      <c r="H17" s="1164">
        <f t="shared" si="4"/>
        <v>3.0818826747426923E-2</v>
      </c>
    </row>
    <row r="18" spans="2:8" s="747" customFormat="1" ht="18" customHeight="1">
      <c r="B18" s="1163" t="s">
        <v>962</v>
      </c>
      <c r="C18" s="1153">
        <f>+'Compromisos 08-25'!O85</f>
        <v>1834000</v>
      </c>
      <c r="D18" s="1153">
        <f>+'Compromisos 08-25'!P85</f>
        <v>767000</v>
      </c>
      <c r="E18" s="1153">
        <f>+'Compromisos 08-25'!Q85</f>
        <v>767000</v>
      </c>
      <c r="F18" s="1153">
        <f>+'Compromisos 08-25'!R85</f>
        <v>767000</v>
      </c>
      <c r="G18" s="1151">
        <f>SUM(C18:F18)</f>
        <v>4135000</v>
      </c>
      <c r="H18" s="1165">
        <f t="shared" si="4"/>
        <v>1.9525134516090181E-2</v>
      </c>
    </row>
    <row r="19" spans="2:8" s="747" customFormat="1" ht="18" customHeight="1">
      <c r="B19" s="1166" t="s">
        <v>245</v>
      </c>
      <c r="C19" s="1149">
        <f>SUM(C15:C18)</f>
        <v>8196435.7699999996</v>
      </c>
      <c r="D19" s="1149">
        <f t="shared" ref="D19:G19" si="5">SUM(D15:D18)</f>
        <v>4240412.92</v>
      </c>
      <c r="E19" s="1149">
        <f t="shared" si="5"/>
        <v>4174302.5300000003</v>
      </c>
      <c r="F19" s="1149">
        <f t="shared" si="5"/>
        <v>4174302.5300000003</v>
      </c>
      <c r="G19" s="1146">
        <f t="shared" si="5"/>
        <v>20785453.75</v>
      </c>
      <c r="H19" s="1160">
        <f>+G19/G4</f>
        <v>9.8147226226534726E-2</v>
      </c>
    </row>
    <row r="20" spans="2:8" s="747" customFormat="1" ht="4.2" customHeight="1">
      <c r="B20" s="1167"/>
      <c r="C20" s="1147"/>
      <c r="D20" s="1147"/>
      <c r="E20" s="1147"/>
      <c r="F20" s="1147"/>
      <c r="G20" s="1148"/>
      <c r="H20" s="1164"/>
    </row>
    <row r="21" spans="2:8" ht="15.6">
      <c r="B21" s="1166" t="s">
        <v>770</v>
      </c>
      <c r="C21" s="1150">
        <f>+'Compromisos 08-25'!O69</f>
        <v>25903777.459999997</v>
      </c>
      <c r="D21" s="1150">
        <f>+'Compromisos 08-25'!P69</f>
        <v>12195400.000000002</v>
      </c>
      <c r="E21" s="1150">
        <f>+'Compromisos 08-25'!Q69</f>
        <v>12195400.000000002</v>
      </c>
      <c r="F21" s="1150">
        <f>+'Compromisos 08-25'!R69</f>
        <v>12195400.000000002</v>
      </c>
      <c r="G21" s="1145">
        <f>SUM(C21:F21)</f>
        <v>62489977.460000001</v>
      </c>
      <c r="H21" s="1160">
        <f>+G21/G4</f>
        <v>0.29507260358257398</v>
      </c>
    </row>
    <row r="22" spans="2:8" ht="6" customHeight="1">
      <c r="B22" s="1166"/>
      <c r="C22" s="1150"/>
      <c r="D22" s="1150"/>
      <c r="E22" s="1150"/>
      <c r="F22" s="1150"/>
      <c r="G22" s="1145"/>
      <c r="H22" s="1160"/>
    </row>
    <row r="23" spans="2:8" ht="15.6">
      <c r="B23" s="1166" t="s">
        <v>1767</v>
      </c>
      <c r="C23" s="1150">
        <f>+'Compromisos 08-25'!O111+'Reembolsos MMHB 08-25'!E41-'Reembolsos MMHB 08-25'!E35-'Reembolsos MMHB 08-25'!E36</f>
        <v>4803961.8643835625</v>
      </c>
      <c r="D23" s="1150">
        <f>+'Compromisos 08-25'!P111</f>
        <v>995731.69438356161</v>
      </c>
      <c r="E23" s="1150">
        <f>+'Compromisos 08-25'!Q111</f>
        <v>638860.16438356158</v>
      </c>
      <c r="F23" s="1150">
        <f>+'Compromisos 08-25'!R111</f>
        <v>529356.16438356158</v>
      </c>
      <c r="G23" s="1145">
        <f>SUM(C23:F23)</f>
        <v>6967909.8875342468</v>
      </c>
      <c r="H23" s="1160">
        <f>+G23/G4</f>
        <v>3.2901905163265049E-2</v>
      </c>
    </row>
    <row r="24" spans="2:8" ht="7.2" customHeight="1">
      <c r="B24" s="1167"/>
      <c r="C24" s="1057"/>
      <c r="D24" s="1057"/>
      <c r="E24" s="1057"/>
      <c r="F24" s="1057"/>
      <c r="G24" s="1145"/>
      <c r="H24" s="1160"/>
    </row>
    <row r="25" spans="2:8" ht="15.6">
      <c r="B25" s="1163" t="s">
        <v>1768</v>
      </c>
      <c r="C25" s="1057"/>
      <c r="D25" s="1057">
        <v>15000000</v>
      </c>
      <c r="E25" s="1057">
        <v>34200000</v>
      </c>
      <c r="F25" s="1057"/>
      <c r="G25" s="1146">
        <f>SUM(C25:F25)</f>
        <v>49200000</v>
      </c>
      <c r="H25" s="1164">
        <f t="shared" ref="H25:H26" si="6">+G25/$G$4</f>
        <v>0.23231840826883601</v>
      </c>
    </row>
    <row r="26" spans="2:8" ht="15.6">
      <c r="B26" s="1163" t="s">
        <v>1769</v>
      </c>
      <c r="C26" s="1153">
        <f>+'Compromisos 08-25'!O128</f>
        <v>2279058.33</v>
      </c>
      <c r="D26" s="1153">
        <v>1558658.3333333333</v>
      </c>
      <c r="E26" s="1153">
        <v>2007408.3333333333</v>
      </c>
      <c r="F26" s="1153">
        <v>1495833.3333333333</v>
      </c>
      <c r="G26" s="1151">
        <f>SUM(C26:F26)</f>
        <v>7340958.3299999991</v>
      </c>
      <c r="H26" s="1165">
        <f t="shared" si="6"/>
        <v>3.4663409642143345E-2</v>
      </c>
    </row>
    <row r="27" spans="2:8" ht="16.2" thickBot="1">
      <c r="B27" s="1168" t="s">
        <v>1770</v>
      </c>
      <c r="C27" s="1169">
        <f>SUM(C25:C26)</f>
        <v>2279058.33</v>
      </c>
      <c r="D27" s="1169">
        <f t="shared" ref="D27:G27" si="7">SUM(D25:D26)</f>
        <v>16558658.333333334</v>
      </c>
      <c r="E27" s="1169">
        <f t="shared" si="7"/>
        <v>36207408.333333336</v>
      </c>
      <c r="F27" s="1169">
        <f t="shared" si="7"/>
        <v>1495833.3333333333</v>
      </c>
      <c r="G27" s="1169">
        <f t="shared" si="7"/>
        <v>56540958.329999998</v>
      </c>
      <c r="H27" s="1170">
        <f>+G27/G4</f>
        <v>0.26698181791097936</v>
      </c>
    </row>
  </sheetData>
  <mergeCells count="1">
    <mergeCell ref="B1:H1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FB6EA-141C-4F6B-997D-C11EA3FFD65C}">
  <dimension ref="A1:M25"/>
  <sheetViews>
    <sheetView showGridLines="0" zoomScaleNormal="100" workbookViewId="0">
      <selection activeCell="F3" sqref="F3"/>
    </sheetView>
  </sheetViews>
  <sheetFormatPr baseColWidth="10" defaultColWidth="8" defaultRowHeight="11.4"/>
  <cols>
    <col min="1" max="1" width="13.88671875" style="408" customWidth="1"/>
    <col min="2" max="2" width="30.5546875" style="528" customWidth="1"/>
    <col min="3" max="3" width="12" style="408" bestFit="1" customWidth="1"/>
    <col min="4" max="4" width="11.44140625" style="408" bestFit="1" customWidth="1"/>
    <col min="5" max="5" width="13.6640625" style="408" customWidth="1"/>
    <col min="6" max="6" width="29.33203125" style="408" bestFit="1" customWidth="1"/>
    <col min="7" max="7" width="13.44140625" style="408" bestFit="1" customWidth="1"/>
    <col min="8" max="8" width="11" style="408" bestFit="1" customWidth="1"/>
    <col min="9" max="9" width="11.33203125" style="408" bestFit="1" customWidth="1"/>
    <col min="10" max="10" width="8.6640625" style="408" bestFit="1" customWidth="1"/>
    <col min="11" max="11" width="11.6640625" style="408" bestFit="1" customWidth="1"/>
    <col min="12" max="12" width="8" style="408"/>
    <col min="13" max="13" width="9.6640625" style="408" bestFit="1" customWidth="1"/>
    <col min="14" max="16384" width="8" style="408"/>
  </cols>
  <sheetData>
    <row r="1" spans="1:13" s="405" customFormat="1" ht="16.649999999999999" customHeight="1">
      <c r="A1" s="404" t="s">
        <v>1771</v>
      </c>
      <c r="B1" s="526"/>
      <c r="C1" s="404"/>
      <c r="D1" s="404"/>
      <c r="E1" s="404"/>
      <c r="F1" s="408"/>
      <c r="G1" s="408"/>
      <c r="H1" s="408"/>
      <c r="I1" s="408"/>
      <c r="J1" s="408"/>
      <c r="K1" s="408"/>
      <c r="L1" s="408"/>
      <c r="M1" s="408"/>
    </row>
    <row r="2" spans="1:13" s="407" customFormat="1" ht="14.4" customHeight="1">
      <c r="A2" s="406" t="s">
        <v>236</v>
      </c>
      <c r="B2" s="527"/>
      <c r="C2" s="406"/>
      <c r="D2" s="406"/>
      <c r="E2" s="406"/>
      <c r="F2" s="408"/>
      <c r="G2" s="408"/>
      <c r="H2" s="408"/>
      <c r="I2" s="408"/>
      <c r="J2" s="408"/>
      <c r="K2" s="408"/>
      <c r="L2" s="408"/>
      <c r="M2" s="408"/>
    </row>
    <row r="3" spans="1:13" ht="13.35" customHeight="1">
      <c r="F3" s="1256" t="s">
        <v>1772</v>
      </c>
      <c r="G3" s="1249" t="s">
        <v>1773</v>
      </c>
      <c r="H3" s="1249" t="s">
        <v>1774</v>
      </c>
      <c r="I3" s="1249" t="s">
        <v>1775</v>
      </c>
      <c r="J3" s="1249" t="s">
        <v>1776</v>
      </c>
      <c r="K3" s="1249" t="s">
        <v>1777</v>
      </c>
      <c r="L3" s="1249" t="s">
        <v>1298</v>
      </c>
      <c r="M3" s="1249" t="s">
        <v>1778</v>
      </c>
    </row>
    <row r="4" spans="1:13" ht="13.35" customHeight="1">
      <c r="F4" s="1250" t="s">
        <v>1779</v>
      </c>
      <c r="G4" s="1251">
        <v>34200000</v>
      </c>
      <c r="H4" s="1251">
        <f>+E17+E18+E19</f>
        <v>34200000</v>
      </c>
      <c r="I4" s="1251">
        <f>+G4-H4</f>
        <v>0</v>
      </c>
      <c r="J4" s="1251"/>
      <c r="K4" s="1252">
        <f>+H4+J4</f>
        <v>34200000</v>
      </c>
      <c r="L4" s="1253">
        <v>0.1595</v>
      </c>
      <c r="M4" s="1254">
        <v>45923</v>
      </c>
    </row>
    <row r="5" spans="1:13" ht="13.35" customHeight="1">
      <c r="F5" s="1250" t="s">
        <v>1779</v>
      </c>
      <c r="G5" s="1251">
        <v>15000000</v>
      </c>
      <c r="H5" s="1251">
        <f>+E21+E22+E20</f>
        <v>15000000</v>
      </c>
      <c r="I5" s="1251"/>
      <c r="J5" s="1251"/>
      <c r="K5" s="1252">
        <f>+H5+J5</f>
        <v>15000000</v>
      </c>
      <c r="L5" s="1253">
        <v>0.19</v>
      </c>
      <c r="M5" s="1254">
        <v>45939</v>
      </c>
    </row>
    <row r="6" spans="1:13" ht="13.35" customHeight="1">
      <c r="F6" s="1250" t="s">
        <v>1780</v>
      </c>
      <c r="G6" s="1251">
        <v>100000000</v>
      </c>
      <c r="H6" s="1251">
        <f>+E14</f>
        <v>55184227.399999999</v>
      </c>
      <c r="I6" s="1251">
        <f>+G6-H6</f>
        <v>44815772.600000001</v>
      </c>
      <c r="J6" s="1251">
        <v>0</v>
      </c>
      <c r="K6" s="1252">
        <f>+H6+J6</f>
        <v>55184227.399999999</v>
      </c>
      <c r="L6" s="1253">
        <v>0.18</v>
      </c>
      <c r="M6" s="1254">
        <v>46274</v>
      </c>
    </row>
    <row r="7" spans="1:13" ht="13.35" customHeight="1">
      <c r="F7" s="1248" t="s">
        <v>1781</v>
      </c>
      <c r="G7" s="1255">
        <f>SUM(G4:G6)</f>
        <v>149200000</v>
      </c>
      <c r="H7" s="1255">
        <f t="shared" ref="H7:K7" si="0">SUM(H4:H6)</f>
        <v>104384227.40000001</v>
      </c>
      <c r="I7" s="1255">
        <f t="shared" si="0"/>
        <v>44815772.600000001</v>
      </c>
      <c r="J7" s="1255">
        <f t="shared" si="0"/>
        <v>0</v>
      </c>
      <c r="K7" s="1255">
        <f t="shared" si="0"/>
        <v>104384227.40000001</v>
      </c>
      <c r="L7" s="1255"/>
      <c r="M7" s="1255"/>
    </row>
    <row r="8" spans="1:13" ht="13.35" customHeight="1"/>
    <row r="9" spans="1:13" s="412" customFormat="1" ht="12.15" customHeight="1">
      <c r="A9" s="410" t="s">
        <v>1485</v>
      </c>
      <c r="B9" s="529" t="s">
        <v>817</v>
      </c>
      <c r="C9" s="410" t="s">
        <v>691</v>
      </c>
      <c r="D9" s="411" t="s">
        <v>665</v>
      </c>
      <c r="E9" s="411" t="s">
        <v>666</v>
      </c>
      <c r="F9" s="408"/>
      <c r="G9" s="408"/>
      <c r="H9" s="408"/>
      <c r="I9" s="408"/>
      <c r="J9" s="408"/>
      <c r="K9" s="408"/>
      <c r="L9" s="408"/>
      <c r="M9" s="408"/>
    </row>
    <row r="10" spans="1:13" ht="13.35" customHeight="1"/>
    <row r="11" spans="1:13" s="412" customFormat="1" ht="12.15" customHeight="1">
      <c r="A11" s="409" t="s">
        <v>1782</v>
      </c>
      <c r="B11" s="530"/>
      <c r="C11" s="409"/>
      <c r="D11" s="409"/>
      <c r="E11" s="409"/>
    </row>
    <row r="12" spans="1:13" ht="22.8">
      <c r="A12" s="429">
        <v>45909</v>
      </c>
      <c r="B12" s="531" t="s">
        <v>1783</v>
      </c>
      <c r="C12" s="421" t="s">
        <v>1784</v>
      </c>
      <c r="D12" s="422">
        <v>0</v>
      </c>
      <c r="E12" s="422">
        <v>25000000</v>
      </c>
    </row>
    <row r="13" spans="1:13" ht="22.8">
      <c r="A13" s="430">
        <v>45926</v>
      </c>
      <c r="B13" s="533" t="s">
        <v>1783</v>
      </c>
      <c r="C13" s="414" t="s">
        <v>1784</v>
      </c>
      <c r="D13" s="415">
        <v>0</v>
      </c>
      <c r="E13" s="415">
        <v>30184227.399999999</v>
      </c>
      <c r="F13" s="412"/>
      <c r="G13" s="412"/>
      <c r="H13" s="412"/>
      <c r="I13" s="412"/>
      <c r="J13" s="412"/>
      <c r="K13" s="412"/>
      <c r="L13" s="412"/>
      <c r="M13" s="412"/>
    </row>
    <row r="14" spans="1:13" ht="10.95" customHeight="1">
      <c r="A14" s="416" t="s">
        <v>1785</v>
      </c>
      <c r="B14" s="532"/>
      <c r="C14" s="416"/>
      <c r="D14" s="417">
        <f>SUM(D12:D13)</f>
        <v>0</v>
      </c>
      <c r="E14" s="417">
        <f>SUM(E12:E13)</f>
        <v>55184227.399999999</v>
      </c>
    </row>
    <row r="15" spans="1:13" ht="13.35" customHeight="1"/>
    <row r="16" spans="1:13" s="412" customFormat="1" ht="12.15" customHeight="1">
      <c r="A16" s="409" t="s">
        <v>1786</v>
      </c>
      <c r="B16" s="530"/>
      <c r="C16" s="409"/>
      <c r="D16" s="409"/>
      <c r="E16" s="409"/>
      <c r="F16" s="408"/>
      <c r="G16" s="820"/>
      <c r="H16" s="408"/>
      <c r="I16" s="408"/>
      <c r="J16" s="408"/>
      <c r="K16" s="408"/>
      <c r="L16" s="408"/>
      <c r="M16" s="408"/>
    </row>
    <row r="17" spans="1:5" ht="10.95" customHeight="1">
      <c r="A17" s="429">
        <v>45761</v>
      </c>
      <c r="B17" s="531" t="s">
        <v>1787</v>
      </c>
      <c r="C17" s="414" t="s">
        <v>1788</v>
      </c>
      <c r="D17" s="422">
        <v>0</v>
      </c>
      <c r="E17" s="422">
        <v>15000000</v>
      </c>
    </row>
    <row r="18" spans="1:5" ht="10.95" customHeight="1">
      <c r="A18" s="430">
        <v>45792</v>
      </c>
      <c r="B18" s="531" t="s">
        <v>1787</v>
      </c>
      <c r="C18" s="414" t="s">
        <v>1788</v>
      </c>
      <c r="D18" s="415">
        <v>0</v>
      </c>
      <c r="E18" s="415">
        <v>7200000</v>
      </c>
    </row>
    <row r="19" spans="1:5" ht="10.95" customHeight="1">
      <c r="A19" s="430">
        <v>45820</v>
      </c>
      <c r="B19" s="531" t="s">
        <v>1787</v>
      </c>
      <c r="C19" s="414" t="s">
        <v>1788</v>
      </c>
      <c r="D19" s="415">
        <v>0</v>
      </c>
      <c r="E19" s="415">
        <v>12000000</v>
      </c>
    </row>
    <row r="20" spans="1:5" ht="34.200000000000003">
      <c r="A20" s="430">
        <v>45853</v>
      </c>
      <c r="B20" s="533" t="s">
        <v>1789</v>
      </c>
      <c r="C20" s="414" t="s">
        <v>1788</v>
      </c>
      <c r="D20" s="415">
        <v>0</v>
      </c>
      <c r="E20" s="415">
        <v>1185000</v>
      </c>
    </row>
    <row r="21" spans="1:5" ht="10.95" customHeight="1">
      <c r="A21" s="430">
        <v>45854</v>
      </c>
      <c r="B21" s="531" t="s">
        <v>1787</v>
      </c>
      <c r="C21" s="414" t="s">
        <v>1788</v>
      </c>
      <c r="D21" s="415">
        <v>0</v>
      </c>
      <c r="E21" s="415">
        <v>11000000</v>
      </c>
    </row>
    <row r="22" spans="1:5" ht="10.95" customHeight="1">
      <c r="A22" s="430">
        <v>45862</v>
      </c>
      <c r="B22" s="531" t="s">
        <v>1787</v>
      </c>
      <c r="C22" s="414" t="s">
        <v>1788</v>
      </c>
      <c r="D22" s="415">
        <v>0</v>
      </c>
      <c r="E22" s="415">
        <v>2815000</v>
      </c>
    </row>
    <row r="23" spans="1:5" ht="10.95" customHeight="1">
      <c r="A23" s="416" t="s">
        <v>1790</v>
      </c>
      <c r="B23" s="532"/>
      <c r="C23" s="416"/>
      <c r="D23" s="417">
        <f>SUM(D17:D22)</f>
        <v>0</v>
      </c>
      <c r="E23" s="417">
        <f>SUM(E17:E22)</f>
        <v>49200000</v>
      </c>
    </row>
    <row r="24" spans="1:5" ht="13.35" customHeight="1"/>
    <row r="25" spans="1:5" ht="10.95" customHeight="1">
      <c r="A25" s="419" t="s">
        <v>164</v>
      </c>
      <c r="B25" s="534"/>
      <c r="C25" s="419"/>
      <c r="D25" s="420">
        <f>SUM(D14,D23)</f>
        <v>0</v>
      </c>
      <c r="E25" s="420">
        <f>SUM(E14,E23)</f>
        <v>104384227.40000001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DB4DF-2B89-428A-8626-B2F5D717DE91}">
  <dimension ref="A1:N52"/>
  <sheetViews>
    <sheetView showGridLines="0" zoomScale="90" zoomScaleNormal="90" workbookViewId="0">
      <pane xSplit="1" ySplit="1" topLeftCell="B15" activePane="bottomRight" state="frozen"/>
      <selection pane="topRight" activeCell="C1" sqref="C1"/>
      <selection pane="bottomLeft" activeCell="A2" sqref="A2"/>
      <selection pane="bottomRight" activeCell="A40" sqref="A40:XFD40"/>
    </sheetView>
  </sheetViews>
  <sheetFormatPr baseColWidth="10" defaultColWidth="11.5546875" defaultRowHeight="14.4"/>
  <cols>
    <col min="1" max="1" width="49.33203125" style="412" bestFit="1" customWidth="1"/>
    <col min="2" max="2" width="16.6640625" style="1241" bestFit="1" customWidth="1"/>
    <col min="3" max="4" width="14.44140625" style="1241" bestFit="1" customWidth="1"/>
    <col min="5" max="5" width="14.44140625" style="1236" bestFit="1" customWidth="1"/>
    <col min="6" max="6" width="14.44140625" style="1241" bestFit="1" customWidth="1"/>
    <col min="7" max="7" width="14.44140625" style="1236" bestFit="1" customWidth="1"/>
    <col min="8" max="9" width="15.5546875" style="1236" bestFit="1" customWidth="1"/>
    <col min="10" max="10" width="16.6640625" style="1236" bestFit="1" customWidth="1"/>
    <col min="11" max="11" width="15.5546875" style="1236" bestFit="1" customWidth="1"/>
    <col min="12" max="12" width="16.6640625" style="1236" bestFit="1" customWidth="1"/>
    <col min="13" max="14" width="7.6640625" style="1227" customWidth="1"/>
    <col min="15" max="33" width="7.6640625" style="408" customWidth="1"/>
    <col min="34" max="16384" width="11.5546875" style="408"/>
  </cols>
  <sheetData>
    <row r="1" spans="1:12" s="1228" customFormat="1" ht="13.8">
      <c r="A1" s="1228" t="s">
        <v>1791</v>
      </c>
      <c r="B1" s="1237">
        <v>45627</v>
      </c>
      <c r="C1" s="1237">
        <v>45658</v>
      </c>
      <c r="D1" s="1237">
        <v>45689</v>
      </c>
      <c r="E1" s="1232">
        <v>45717</v>
      </c>
      <c r="F1" s="1237">
        <v>45748</v>
      </c>
      <c r="G1" s="1232">
        <v>45778</v>
      </c>
      <c r="H1" s="1232">
        <v>45809</v>
      </c>
      <c r="I1" s="1232">
        <v>45839</v>
      </c>
      <c r="J1" s="1232">
        <v>45870</v>
      </c>
      <c r="K1" s="1232">
        <v>45901</v>
      </c>
      <c r="L1" s="1244" t="s">
        <v>168</v>
      </c>
    </row>
    <row r="2" spans="1:12" s="1229" customFormat="1" ht="10.199999999999999">
      <c r="A2" s="1229" t="s">
        <v>1487</v>
      </c>
      <c r="B2" s="1238">
        <f>SUM(B3)</f>
        <v>94172341.829999998</v>
      </c>
      <c r="C2" s="1238">
        <f t="shared" ref="C2:K2" si="0">SUM(C3)</f>
        <v>0</v>
      </c>
      <c r="D2" s="1238">
        <f t="shared" si="0"/>
        <v>0</v>
      </c>
      <c r="E2" s="1233">
        <f t="shared" si="0"/>
        <v>0</v>
      </c>
      <c r="F2" s="1238">
        <f t="shared" si="0"/>
        <v>0</v>
      </c>
      <c r="G2" s="1233">
        <f t="shared" si="0"/>
        <v>18880</v>
      </c>
      <c r="H2" s="1233">
        <f t="shared" si="0"/>
        <v>0</v>
      </c>
      <c r="I2" s="1233">
        <f t="shared" si="0"/>
        <v>0</v>
      </c>
      <c r="J2" s="1233">
        <f t="shared" si="0"/>
        <v>170252678.32999998</v>
      </c>
      <c r="K2" s="1233">
        <f t="shared" si="0"/>
        <v>1180</v>
      </c>
      <c r="L2" s="1233">
        <f>SUBTOTAL(9,B2:K2)</f>
        <v>264445080.15999997</v>
      </c>
    </row>
    <row r="3" spans="1:12" s="1231" customFormat="1" ht="10.199999999999999">
      <c r="A3" s="1231" t="s">
        <v>1388</v>
      </c>
      <c r="B3" s="1239">
        <v>94172341.829999998</v>
      </c>
      <c r="C3" s="1239"/>
      <c r="D3" s="1239"/>
      <c r="E3" s="1234"/>
      <c r="F3" s="1239"/>
      <c r="G3" s="1234">
        <v>18880</v>
      </c>
      <c r="H3" s="1234"/>
      <c r="I3" s="1234"/>
      <c r="J3" s="1234">
        <v>170252678.32999998</v>
      </c>
      <c r="K3" s="1234">
        <v>1180</v>
      </c>
      <c r="L3" s="1234"/>
    </row>
    <row r="4" spans="1:12" s="1229" customFormat="1" ht="10.199999999999999">
      <c r="A4" s="1229" t="s">
        <v>1490</v>
      </c>
      <c r="B4" s="1238">
        <f>SUM(B5)</f>
        <v>21168315.640000001</v>
      </c>
      <c r="C4" s="1238">
        <f t="shared" ref="C4:K4" si="1">SUM(C5)</f>
        <v>239349.75</v>
      </c>
      <c r="D4" s="1238">
        <f t="shared" si="1"/>
        <v>0</v>
      </c>
      <c r="E4" s="1233">
        <f t="shared" si="1"/>
        <v>146320</v>
      </c>
      <c r="F4" s="1238">
        <f t="shared" si="1"/>
        <v>108350.26</v>
      </c>
      <c r="G4" s="1233">
        <f t="shared" si="1"/>
        <v>53100</v>
      </c>
      <c r="H4" s="1233">
        <f t="shared" si="1"/>
        <v>0</v>
      </c>
      <c r="I4" s="1233">
        <f t="shared" si="1"/>
        <v>0</v>
      </c>
      <c r="J4" s="1233">
        <f t="shared" si="1"/>
        <v>1595686.82</v>
      </c>
      <c r="K4" s="1233">
        <f t="shared" si="1"/>
        <v>87792</v>
      </c>
      <c r="L4" s="1233">
        <f>SUBTOTAL(9,B4:K4)</f>
        <v>23398914.470000003</v>
      </c>
    </row>
    <row r="5" spans="1:12" s="1231" customFormat="1" ht="10.199999999999999">
      <c r="A5" s="1231" t="s">
        <v>1389</v>
      </c>
      <c r="B5" s="1239">
        <v>21168315.640000001</v>
      </c>
      <c r="C5" s="1242">
        <v>239349.75</v>
      </c>
      <c r="D5" s="1239"/>
      <c r="E5" s="1234">
        <v>146320</v>
      </c>
      <c r="F5" s="1239">
        <v>108350.26</v>
      </c>
      <c r="G5" s="1234">
        <v>53100</v>
      </c>
      <c r="H5" s="1234"/>
      <c r="I5" s="1234"/>
      <c r="J5" s="1234">
        <v>1595686.82</v>
      </c>
      <c r="K5" s="1234">
        <v>87792</v>
      </c>
      <c r="L5" s="1234"/>
    </row>
    <row r="6" spans="1:12" s="1229" customFormat="1" ht="10.199999999999999">
      <c r="A6" s="1229" t="s">
        <v>1792</v>
      </c>
      <c r="B6" s="1238">
        <f>SUM(B7)</f>
        <v>9219083.5899999999</v>
      </c>
      <c r="C6" s="1238">
        <f t="shared" ref="C6:K6" si="2">SUM(C7)</f>
        <v>0</v>
      </c>
      <c r="D6" s="1238">
        <f t="shared" si="2"/>
        <v>0</v>
      </c>
      <c r="E6" s="1233">
        <f t="shared" si="2"/>
        <v>0</v>
      </c>
      <c r="F6" s="1238">
        <f t="shared" si="2"/>
        <v>353433.2</v>
      </c>
      <c r="G6" s="1233">
        <f t="shared" si="2"/>
        <v>93563.38</v>
      </c>
      <c r="H6" s="1233">
        <f t="shared" si="2"/>
        <v>806839.56</v>
      </c>
      <c r="I6" s="1233">
        <f t="shared" si="2"/>
        <v>3069742.21</v>
      </c>
      <c r="J6" s="1233">
        <f t="shared" si="2"/>
        <v>2900560.48</v>
      </c>
      <c r="K6" s="1233">
        <f t="shared" si="2"/>
        <v>342033.18</v>
      </c>
      <c r="L6" s="1233">
        <f>SUBTOTAL(9,B6:K6)</f>
        <v>16785255.600000001</v>
      </c>
    </row>
    <row r="7" spans="1:12" s="1231" customFormat="1" ht="10.199999999999999">
      <c r="A7" s="1231" t="s">
        <v>1793</v>
      </c>
      <c r="B7" s="1239">
        <v>9219083.5899999999</v>
      </c>
      <c r="C7" s="1239"/>
      <c r="D7" s="1239"/>
      <c r="E7" s="1234"/>
      <c r="F7" s="1239">
        <v>353433.2</v>
      </c>
      <c r="G7" s="1234">
        <v>93563.38</v>
      </c>
      <c r="H7" s="1234">
        <v>806839.56</v>
      </c>
      <c r="I7" s="1234">
        <v>3069742.21</v>
      </c>
      <c r="J7" s="1234">
        <v>2900560.48</v>
      </c>
      <c r="K7" s="1234">
        <v>342033.18</v>
      </c>
      <c r="L7" s="1234"/>
    </row>
    <row r="8" spans="1:12" s="1229" customFormat="1" ht="10.199999999999999">
      <c r="A8" s="1229" t="s">
        <v>1794</v>
      </c>
      <c r="B8" s="1238">
        <f>SUM(B9)</f>
        <v>0</v>
      </c>
      <c r="C8" s="1238">
        <f t="shared" ref="C8:K8" si="3">SUM(C9)</f>
        <v>0</v>
      </c>
      <c r="D8" s="1238">
        <f t="shared" si="3"/>
        <v>0</v>
      </c>
      <c r="E8" s="1233">
        <f t="shared" si="3"/>
        <v>0</v>
      </c>
      <c r="F8" s="1238">
        <f t="shared" si="3"/>
        <v>0</v>
      </c>
      <c r="G8" s="1233">
        <f t="shared" si="3"/>
        <v>0</v>
      </c>
      <c r="H8" s="1233">
        <f t="shared" si="3"/>
        <v>0</v>
      </c>
      <c r="I8" s="1233">
        <f t="shared" si="3"/>
        <v>0</v>
      </c>
      <c r="J8" s="1233">
        <f t="shared" si="3"/>
        <v>0</v>
      </c>
      <c r="K8" s="1233">
        <f t="shared" si="3"/>
        <v>0</v>
      </c>
      <c r="L8" s="1233">
        <f>SUBTOTAL(9,B8:K8)</f>
        <v>0</v>
      </c>
    </row>
    <row r="9" spans="1:12" s="1231" customFormat="1" ht="10.199999999999999">
      <c r="A9" s="1231" t="s">
        <v>1795</v>
      </c>
      <c r="B9" s="1239"/>
      <c r="C9" s="1239"/>
      <c r="D9" s="1239"/>
      <c r="E9" s="1234"/>
      <c r="F9" s="1239"/>
      <c r="G9" s="1234"/>
      <c r="H9" s="1234"/>
      <c r="I9" s="1234"/>
      <c r="J9" s="1234"/>
      <c r="K9" s="1234"/>
      <c r="L9" s="1234"/>
    </row>
    <row r="10" spans="1:12" s="1229" customFormat="1" ht="10.199999999999999">
      <c r="A10" s="1229" t="s">
        <v>952</v>
      </c>
      <c r="B10" s="1238">
        <f>SUM(B11)</f>
        <v>1644662.03</v>
      </c>
      <c r="C10" s="1238">
        <f t="shared" ref="C10:K10" si="4">SUM(C11)</f>
        <v>1770000</v>
      </c>
      <c r="D10" s="1238">
        <f t="shared" si="4"/>
        <v>0</v>
      </c>
      <c r="E10" s="1233">
        <f t="shared" si="4"/>
        <v>885000</v>
      </c>
      <c r="F10" s="1238">
        <f t="shared" si="4"/>
        <v>2455806.54</v>
      </c>
      <c r="G10" s="1233">
        <f t="shared" si="4"/>
        <v>2360000</v>
      </c>
      <c r="H10" s="1233">
        <f t="shared" si="4"/>
        <v>2417857.34</v>
      </c>
      <c r="I10" s="1233">
        <f t="shared" si="4"/>
        <v>2664755.19</v>
      </c>
      <c r="J10" s="1233">
        <f t="shared" si="4"/>
        <v>2360000</v>
      </c>
      <c r="K10" s="1233">
        <f t="shared" si="4"/>
        <v>2360000</v>
      </c>
      <c r="L10" s="1233">
        <f>SUBTOTAL(9,B10:K10)</f>
        <v>18918081.100000001</v>
      </c>
    </row>
    <row r="11" spans="1:12" s="1231" customFormat="1" ht="10.199999999999999">
      <c r="A11" s="1231" t="s">
        <v>1796</v>
      </c>
      <c r="B11" s="1239">
        <v>1644662.03</v>
      </c>
      <c r="C11" s="1243">
        <v>1770000</v>
      </c>
      <c r="D11" s="1239"/>
      <c r="E11" s="1234">
        <v>885000</v>
      </c>
      <c r="F11" s="1239">
        <v>2455806.54</v>
      </c>
      <c r="G11" s="1234">
        <v>2360000</v>
      </c>
      <c r="H11" s="1234">
        <v>2417857.34</v>
      </c>
      <c r="I11" s="1234">
        <v>2664755.19</v>
      </c>
      <c r="J11" s="1234">
        <v>2360000</v>
      </c>
      <c r="K11" s="1234">
        <v>2360000</v>
      </c>
      <c r="L11" s="1234"/>
    </row>
    <row r="12" spans="1:12" s="1229" customFormat="1" ht="10.199999999999999">
      <c r="A12" s="1229" t="s">
        <v>1797</v>
      </c>
      <c r="B12" s="1238">
        <f>SUM(B13:B19)</f>
        <v>0</v>
      </c>
      <c r="C12" s="1238">
        <f t="shared" ref="C12:K12" si="5">SUM(C13:C19)</f>
        <v>0</v>
      </c>
      <c r="D12" s="1238">
        <f t="shared" si="5"/>
        <v>0</v>
      </c>
      <c r="E12" s="1233">
        <f t="shared" si="5"/>
        <v>0</v>
      </c>
      <c r="F12" s="1238">
        <f t="shared" si="5"/>
        <v>0</v>
      </c>
      <c r="G12" s="1233">
        <f t="shared" si="5"/>
        <v>0</v>
      </c>
      <c r="H12" s="1233">
        <f t="shared" si="5"/>
        <v>147108.53999999998</v>
      </c>
      <c r="I12" s="1233">
        <f t="shared" si="5"/>
        <v>92700.800000000003</v>
      </c>
      <c r="J12" s="1233">
        <f t="shared" si="5"/>
        <v>96854.399999999994</v>
      </c>
      <c r="K12" s="1233">
        <f t="shared" si="5"/>
        <v>90246.399999999994</v>
      </c>
      <c r="L12" s="1233">
        <f>SUBTOTAL(9,B12:K12)</f>
        <v>426910.14</v>
      </c>
    </row>
    <row r="13" spans="1:12" s="1231" customFormat="1" ht="10.199999999999999">
      <c r="A13" s="1231" t="s">
        <v>1798</v>
      </c>
      <c r="B13" s="1240"/>
      <c r="C13" s="1240"/>
      <c r="D13" s="1240"/>
      <c r="E13" s="1235"/>
      <c r="F13" s="1240"/>
      <c r="G13" s="1235"/>
      <c r="H13" s="1235"/>
      <c r="I13" s="1235"/>
      <c r="J13" s="1235"/>
      <c r="K13" s="1235"/>
      <c r="L13" s="1235"/>
    </row>
    <row r="14" spans="1:12" s="1231" customFormat="1" ht="10.199999999999999">
      <c r="A14" s="1231" t="s">
        <v>1799</v>
      </c>
      <c r="B14" s="1240"/>
      <c r="C14" s="1240"/>
      <c r="D14" s="1240"/>
      <c r="E14" s="1235"/>
      <c r="F14" s="1240"/>
      <c r="G14" s="1235"/>
      <c r="H14" s="1235"/>
      <c r="I14" s="1235"/>
      <c r="J14" s="1235"/>
      <c r="K14" s="1235"/>
      <c r="L14" s="1235"/>
    </row>
    <row r="15" spans="1:12" s="1231" customFormat="1" ht="10.199999999999999">
      <c r="A15" s="1231" t="s">
        <v>1800</v>
      </c>
      <c r="B15" s="1240"/>
      <c r="C15" s="1240"/>
      <c r="D15" s="1240"/>
      <c r="E15" s="1235"/>
      <c r="F15" s="1240"/>
      <c r="G15" s="1235"/>
      <c r="H15" s="1235"/>
      <c r="I15" s="1235"/>
      <c r="J15" s="1235"/>
      <c r="K15" s="1235"/>
      <c r="L15" s="1235"/>
    </row>
    <row r="16" spans="1:12" s="1231" customFormat="1" ht="10.199999999999999">
      <c r="A16" s="1231" t="s">
        <v>1390</v>
      </c>
      <c r="B16" s="1240"/>
      <c r="C16" s="1240"/>
      <c r="D16" s="1240"/>
      <c r="E16" s="1235"/>
      <c r="F16" s="1240"/>
      <c r="G16" s="1235"/>
      <c r="H16" s="1235">
        <v>92323.199999999997</v>
      </c>
      <c r="I16" s="1235">
        <v>92700.800000000003</v>
      </c>
      <c r="J16" s="1235">
        <v>96854.399999999994</v>
      </c>
      <c r="K16" s="1235">
        <v>90246.399999999994</v>
      </c>
      <c r="L16" s="1235"/>
    </row>
    <row r="17" spans="1:12" s="1231" customFormat="1" ht="10.199999999999999">
      <c r="A17" s="1231" t="s">
        <v>1801</v>
      </c>
      <c r="B17" s="1240"/>
      <c r="C17" s="1240"/>
      <c r="D17" s="1240"/>
      <c r="E17" s="1235"/>
      <c r="F17" s="1240"/>
      <c r="G17" s="1235"/>
      <c r="H17" s="1235"/>
      <c r="I17" s="1235"/>
      <c r="J17" s="1235"/>
      <c r="K17" s="1235"/>
      <c r="L17" s="1235"/>
    </row>
    <row r="18" spans="1:12" s="1231" customFormat="1" ht="10.199999999999999">
      <c r="A18" s="1231" t="s">
        <v>1391</v>
      </c>
      <c r="B18" s="1240"/>
      <c r="C18" s="1240"/>
      <c r="D18" s="1240"/>
      <c r="E18" s="1235"/>
      <c r="F18" s="1240"/>
      <c r="G18" s="1235"/>
      <c r="H18" s="1235">
        <v>54785.34</v>
      </c>
      <c r="I18" s="1235"/>
      <c r="J18" s="1235"/>
      <c r="K18" s="1235"/>
      <c r="L18" s="1235"/>
    </row>
    <row r="19" spans="1:12" s="1231" customFormat="1" ht="10.199999999999999">
      <c r="A19" s="1231" t="s">
        <v>1802</v>
      </c>
      <c r="B19" s="1240"/>
      <c r="C19" s="1240"/>
      <c r="D19" s="1240"/>
      <c r="E19" s="1235"/>
      <c r="F19" s="1240"/>
      <c r="G19" s="1235"/>
      <c r="H19" s="1235"/>
      <c r="I19" s="1235"/>
      <c r="J19" s="1235"/>
      <c r="K19" s="1235"/>
      <c r="L19" s="1235"/>
    </row>
    <row r="20" spans="1:12" s="1229" customFormat="1" ht="10.199999999999999">
      <c r="A20" s="1229" t="s">
        <v>1803</v>
      </c>
      <c r="B20" s="1238">
        <f>SUM(B21)</f>
        <v>0</v>
      </c>
      <c r="C20" s="1238">
        <f t="shared" ref="C20:K20" si="6">SUM(C21)</f>
        <v>0</v>
      </c>
      <c r="D20" s="1238">
        <f t="shared" si="6"/>
        <v>0</v>
      </c>
      <c r="E20" s="1233">
        <f t="shared" si="6"/>
        <v>0</v>
      </c>
      <c r="F20" s="1238">
        <f t="shared" si="6"/>
        <v>0</v>
      </c>
      <c r="G20" s="1233">
        <f t="shared" si="6"/>
        <v>0</v>
      </c>
      <c r="H20" s="1233">
        <f t="shared" si="6"/>
        <v>0</v>
      </c>
      <c r="I20" s="1233">
        <f t="shared" si="6"/>
        <v>0</v>
      </c>
      <c r="J20" s="1233">
        <f t="shared" si="6"/>
        <v>0</v>
      </c>
      <c r="K20" s="1233">
        <f t="shared" si="6"/>
        <v>0</v>
      </c>
      <c r="L20" s="1233">
        <f>SUBTOTAL(9,B20:K20)</f>
        <v>0</v>
      </c>
    </row>
    <row r="21" spans="1:12" s="1231" customFormat="1" ht="10.199999999999999">
      <c r="A21" s="1231" t="s">
        <v>1804</v>
      </c>
      <c r="B21" s="1239"/>
      <c r="C21" s="1239"/>
      <c r="D21" s="1239"/>
      <c r="E21" s="1234"/>
      <c r="F21" s="1239"/>
      <c r="G21" s="1234"/>
      <c r="H21" s="1234"/>
      <c r="I21" s="1234"/>
      <c r="J21" s="1234"/>
      <c r="K21" s="1234"/>
      <c r="L21" s="1234"/>
    </row>
    <row r="22" spans="1:12" s="1229" customFormat="1" ht="10.199999999999999">
      <c r="A22" s="1229" t="s">
        <v>1805</v>
      </c>
      <c r="B22" s="1238">
        <f>SUM(B23)</f>
        <v>0</v>
      </c>
      <c r="C22" s="1238">
        <f t="shared" ref="C22:K22" si="7">SUM(C23)</f>
        <v>0</v>
      </c>
      <c r="D22" s="1238">
        <f t="shared" si="7"/>
        <v>0</v>
      </c>
      <c r="E22" s="1233">
        <f t="shared" si="7"/>
        <v>0</v>
      </c>
      <c r="F22" s="1238">
        <f t="shared" si="7"/>
        <v>0</v>
      </c>
      <c r="G22" s="1233">
        <f t="shared" si="7"/>
        <v>0</v>
      </c>
      <c r="H22" s="1233">
        <f t="shared" si="7"/>
        <v>0</v>
      </c>
      <c r="I22" s="1233">
        <f t="shared" si="7"/>
        <v>0</v>
      </c>
      <c r="J22" s="1233">
        <f t="shared" si="7"/>
        <v>0</v>
      </c>
      <c r="K22" s="1233">
        <f t="shared" si="7"/>
        <v>0</v>
      </c>
      <c r="L22" s="1233">
        <f>SUBTOTAL(9,B22:K22)</f>
        <v>0</v>
      </c>
    </row>
    <row r="23" spans="1:12" s="1231" customFormat="1" ht="10.199999999999999">
      <c r="A23" s="1231" t="s">
        <v>1806</v>
      </c>
      <c r="B23" s="1239"/>
      <c r="C23" s="1239"/>
      <c r="D23" s="1239"/>
      <c r="E23" s="1234"/>
      <c r="F23" s="1239"/>
      <c r="G23" s="1234"/>
      <c r="H23" s="1234"/>
      <c r="I23" s="1234"/>
      <c r="J23" s="1234"/>
      <c r="K23" s="1234"/>
      <c r="L23" s="1234"/>
    </row>
    <row r="24" spans="1:12" s="1229" customFormat="1" ht="10.199999999999999">
      <c r="A24" s="1229" t="s">
        <v>1807</v>
      </c>
      <c r="B24" s="1238">
        <f>SUM(B25)</f>
        <v>161175.97</v>
      </c>
      <c r="C24" s="1238">
        <f t="shared" ref="C24:K24" si="8">SUM(C25)</f>
        <v>0</v>
      </c>
      <c r="D24" s="1238">
        <f t="shared" si="8"/>
        <v>0</v>
      </c>
      <c r="E24" s="1233">
        <f t="shared" si="8"/>
        <v>0</v>
      </c>
      <c r="F24" s="1238">
        <f t="shared" si="8"/>
        <v>1770000</v>
      </c>
      <c r="G24" s="1233">
        <f t="shared" si="8"/>
        <v>1770000</v>
      </c>
      <c r="H24" s="1233">
        <f t="shared" si="8"/>
        <v>1770000</v>
      </c>
      <c r="I24" s="1233">
        <f t="shared" si="8"/>
        <v>1770000</v>
      </c>
      <c r="J24" s="1233">
        <f t="shared" si="8"/>
        <v>1770000</v>
      </c>
      <c r="K24" s="1233">
        <f t="shared" si="8"/>
        <v>1770000</v>
      </c>
      <c r="L24" s="1233">
        <f>SUBTOTAL(9,B24:K24)</f>
        <v>10781175.969999999</v>
      </c>
    </row>
    <row r="25" spans="1:12" s="1231" customFormat="1" ht="10.199999999999999">
      <c r="A25" s="1231" t="s">
        <v>954</v>
      </c>
      <c r="B25" s="1239">
        <v>161175.97</v>
      </c>
      <c r="C25" s="1239"/>
      <c r="D25" s="1239"/>
      <c r="E25" s="1234"/>
      <c r="F25" s="1239">
        <v>1770000</v>
      </c>
      <c r="G25" s="1234">
        <v>1770000</v>
      </c>
      <c r="H25" s="1234">
        <v>1770000</v>
      </c>
      <c r="I25" s="1234">
        <v>1770000</v>
      </c>
      <c r="J25" s="1234">
        <v>1770000</v>
      </c>
      <c r="K25" s="1234">
        <v>1770000</v>
      </c>
      <c r="L25" s="1234"/>
    </row>
    <row r="26" spans="1:12" s="1229" customFormat="1" ht="10.199999999999999">
      <c r="A26" s="1229" t="s">
        <v>1808</v>
      </c>
      <c r="B26" s="1238">
        <f>SUM(B27:B30)</f>
        <v>559355.54</v>
      </c>
      <c r="C26" s="1238">
        <f t="shared" ref="C26:K26" si="9">SUM(C27:C30)</f>
        <v>0</v>
      </c>
      <c r="D26" s="1238">
        <f t="shared" si="9"/>
        <v>645765.21</v>
      </c>
      <c r="E26" s="1233">
        <f t="shared" si="9"/>
        <v>595001.35</v>
      </c>
      <c r="F26" s="1238">
        <f t="shared" si="9"/>
        <v>1549872.47</v>
      </c>
      <c r="G26" s="1233">
        <f t="shared" si="9"/>
        <v>1423527.61</v>
      </c>
      <c r="H26" s="1233">
        <f t="shared" si="9"/>
        <v>1733909.84</v>
      </c>
      <c r="I26" s="1233">
        <f t="shared" si="9"/>
        <v>7890097.2200000007</v>
      </c>
      <c r="J26" s="1233">
        <f t="shared" si="9"/>
        <v>16166710.020000001</v>
      </c>
      <c r="K26" s="1233">
        <f t="shared" si="9"/>
        <v>11886550.289999999</v>
      </c>
      <c r="L26" s="1233">
        <f>SUBTOTAL(9,B26:K26)</f>
        <v>42450789.550000004</v>
      </c>
    </row>
    <row r="27" spans="1:12" s="1231" customFormat="1" ht="10.199999999999999">
      <c r="A27" s="1231" t="s">
        <v>1610</v>
      </c>
      <c r="B27" s="1240"/>
      <c r="C27" s="1240"/>
      <c r="D27" s="1240"/>
      <c r="E27" s="1235"/>
      <c r="F27" s="1240"/>
      <c r="G27" s="1235"/>
      <c r="H27" s="1235"/>
      <c r="I27" s="1235">
        <v>6290641.6900000004</v>
      </c>
      <c r="J27" s="1235">
        <v>14391880.130000001</v>
      </c>
      <c r="K27" s="1235">
        <v>9799035.4900000002</v>
      </c>
      <c r="L27" s="1235">
        <f>SUM(B27:K27)</f>
        <v>30481557.310000002</v>
      </c>
    </row>
    <row r="28" spans="1:12" s="1231" customFormat="1" ht="10.199999999999999">
      <c r="A28" s="1231" t="s">
        <v>1279</v>
      </c>
      <c r="B28" s="1240"/>
      <c r="C28" s="1240"/>
      <c r="D28" s="1240"/>
      <c r="E28" s="1235"/>
      <c r="F28" s="1240">
        <v>767000</v>
      </c>
      <c r="G28" s="1235">
        <v>767000</v>
      </c>
      <c r="H28" s="1235">
        <v>767000</v>
      </c>
      <c r="I28" s="1235">
        <v>767000</v>
      </c>
      <c r="J28" s="1235">
        <v>767000</v>
      </c>
      <c r="K28" s="1235">
        <v>767000</v>
      </c>
      <c r="L28" s="1235">
        <f t="shared" ref="L28:L30" si="10">SUM(B28:K28)</f>
        <v>4602000</v>
      </c>
    </row>
    <row r="29" spans="1:12" s="1231" customFormat="1" ht="10.199999999999999">
      <c r="A29" s="1231" t="s">
        <v>1280</v>
      </c>
      <c r="B29" s="1240">
        <v>559355.54</v>
      </c>
      <c r="C29" s="1240"/>
      <c r="D29" s="1240">
        <v>645765.21</v>
      </c>
      <c r="E29" s="1235">
        <v>595001.35</v>
      </c>
      <c r="F29" s="1240">
        <v>677173.63</v>
      </c>
      <c r="G29" s="1235">
        <v>620535.91</v>
      </c>
      <c r="H29" s="1235">
        <v>825710.8</v>
      </c>
      <c r="I29" s="1235">
        <v>832455.53</v>
      </c>
      <c r="J29" s="1235">
        <v>941719.5</v>
      </c>
      <c r="K29" s="1235">
        <v>1237302.53</v>
      </c>
      <c r="L29" s="1235">
        <f t="shared" si="10"/>
        <v>6935020.0000000009</v>
      </c>
    </row>
    <row r="30" spans="1:12" s="1231" customFormat="1" ht="10.199999999999999">
      <c r="A30" s="1231" t="s">
        <v>1757</v>
      </c>
      <c r="B30" s="1240"/>
      <c r="C30" s="1240"/>
      <c r="D30" s="1240"/>
      <c r="E30" s="1235"/>
      <c r="F30" s="1240">
        <v>105698.84</v>
      </c>
      <c r="G30" s="1235">
        <v>35991.699999999997</v>
      </c>
      <c r="H30" s="1235">
        <v>141199.04000000001</v>
      </c>
      <c r="I30" s="1235"/>
      <c r="J30" s="1235">
        <v>66110.39</v>
      </c>
      <c r="K30" s="1235">
        <v>83212.27</v>
      </c>
      <c r="L30" s="1235">
        <f t="shared" si="10"/>
        <v>432212.24</v>
      </c>
    </row>
    <row r="31" spans="1:12" s="1229" customFormat="1" ht="10.199999999999999">
      <c r="A31" s="1229" t="s">
        <v>1809</v>
      </c>
      <c r="B31" s="1238">
        <f>SUM(B32:B33)</f>
        <v>373034.61</v>
      </c>
      <c r="C31" s="1238">
        <f t="shared" ref="C31:K31" si="11">SUM(C32:C33)</f>
        <v>43563.47</v>
      </c>
      <c r="D31" s="1238">
        <f t="shared" si="11"/>
        <v>36723.129999999997</v>
      </c>
      <c r="E31" s="1233">
        <f t="shared" si="11"/>
        <v>37034.89</v>
      </c>
      <c r="F31" s="1238">
        <f t="shared" si="11"/>
        <v>51335.37</v>
      </c>
      <c r="G31" s="1233">
        <f t="shared" si="11"/>
        <v>125971.53</v>
      </c>
      <c r="H31" s="1233">
        <f t="shared" si="11"/>
        <v>205035.01</v>
      </c>
      <c r="I31" s="1233">
        <f t="shared" si="11"/>
        <v>193826.15000000002</v>
      </c>
      <c r="J31" s="1233">
        <f t="shared" si="11"/>
        <v>228402.97999999998</v>
      </c>
      <c r="K31" s="1233">
        <f t="shared" si="11"/>
        <v>824240.61999999988</v>
      </c>
      <c r="L31" s="1233">
        <f>SUBTOTAL(9,B31:K31)</f>
        <v>2119167.7599999998</v>
      </c>
    </row>
    <row r="32" spans="1:12" s="1231" customFormat="1" ht="10.199999999999999">
      <c r="A32" s="1231" t="s">
        <v>1281</v>
      </c>
      <c r="B32" s="1240">
        <v>344499.26</v>
      </c>
      <c r="C32" s="1243">
        <v>36279.57</v>
      </c>
      <c r="D32" s="1240">
        <v>36723.129999999997</v>
      </c>
      <c r="E32" s="1235">
        <v>37034.89</v>
      </c>
      <c r="F32" s="1240">
        <v>37423.760000000002</v>
      </c>
      <c r="G32" s="1235">
        <v>34807.29</v>
      </c>
      <c r="H32" s="1235">
        <v>35695</v>
      </c>
      <c r="I32" s="1235">
        <v>35546.730000000003</v>
      </c>
      <c r="J32" s="1235">
        <v>36234.199999999997</v>
      </c>
      <c r="K32" s="1235">
        <v>627694.68999999994</v>
      </c>
      <c r="L32" s="1235"/>
    </row>
    <row r="33" spans="1:12" s="1231" customFormat="1" ht="10.199999999999999">
      <c r="A33" s="1231" t="s">
        <v>1282</v>
      </c>
      <c r="B33" s="1240">
        <v>28535.35</v>
      </c>
      <c r="C33" s="1243">
        <v>7283.9</v>
      </c>
      <c r="D33" s="1240"/>
      <c r="E33" s="1235"/>
      <c r="F33" s="1240">
        <v>13911.61</v>
      </c>
      <c r="G33" s="1235">
        <v>91164.24</v>
      </c>
      <c r="H33" s="1235">
        <v>169340.01</v>
      </c>
      <c r="I33" s="1235">
        <v>158279.42000000001</v>
      </c>
      <c r="J33" s="1235">
        <v>192168.78</v>
      </c>
      <c r="K33" s="1235">
        <v>196545.93</v>
      </c>
      <c r="L33" s="1235"/>
    </row>
    <row r="34" spans="1:12" s="1229" customFormat="1" ht="10.199999999999999">
      <c r="A34" s="1229" t="s">
        <v>854</v>
      </c>
      <c r="B34" s="1238">
        <f>SUM(B35:B39)</f>
        <v>11066720.34</v>
      </c>
      <c r="C34" s="1238">
        <f t="shared" ref="C34:K34" si="12">SUM(C35:C39)</f>
        <v>915790.08000000007</v>
      </c>
      <c r="D34" s="1238">
        <f t="shared" si="12"/>
        <v>1931201.9</v>
      </c>
      <c r="E34" s="1233">
        <f t="shared" si="12"/>
        <v>1103623.17</v>
      </c>
      <c r="F34" s="1238">
        <f t="shared" si="12"/>
        <v>807731.34</v>
      </c>
      <c r="G34" s="1233">
        <f t="shared" si="12"/>
        <v>740040.2</v>
      </c>
      <c r="H34" s="1233">
        <f t="shared" si="12"/>
        <v>1412884.71</v>
      </c>
      <c r="I34" s="1233">
        <f t="shared" si="12"/>
        <v>3494146.35</v>
      </c>
      <c r="J34" s="1233">
        <f t="shared" si="12"/>
        <v>184710.12999999995</v>
      </c>
      <c r="K34" s="1233">
        <f t="shared" si="12"/>
        <v>551935.67999999993</v>
      </c>
      <c r="L34" s="1233">
        <f>SUBTOTAL(9,B34:K34)</f>
        <v>22208783.899999999</v>
      </c>
    </row>
    <row r="35" spans="1:12" s="1231" customFormat="1" ht="10.199999999999999">
      <c r="A35" s="1231" t="s">
        <v>1283</v>
      </c>
      <c r="B35" s="1240">
        <v>5993469.6799999997</v>
      </c>
      <c r="C35" s="1243">
        <v>292040.78000000003</v>
      </c>
      <c r="D35" s="1240"/>
      <c r="E35" s="1235">
        <v>149662.62</v>
      </c>
      <c r="F35" s="1240">
        <v>167745.43</v>
      </c>
      <c r="G35" s="1235"/>
      <c r="H35" s="1235">
        <v>258175.66</v>
      </c>
      <c r="I35" s="1235"/>
      <c r="J35" s="1235">
        <v>-1537035.04</v>
      </c>
      <c r="K35" s="1235"/>
      <c r="L35" s="1235"/>
    </row>
    <row r="36" spans="1:12" s="1231" customFormat="1" ht="10.199999999999999">
      <c r="A36" s="1231" t="s">
        <v>855</v>
      </c>
      <c r="B36" s="1240">
        <v>3323012.18</v>
      </c>
      <c r="C36" s="1240"/>
      <c r="D36" s="1240">
        <v>1795826.4</v>
      </c>
      <c r="E36" s="1235">
        <v>262952.55</v>
      </c>
      <c r="F36" s="1240">
        <v>215533.04</v>
      </c>
      <c r="G36" s="1235">
        <v>321200.24</v>
      </c>
      <c r="H36" s="1235">
        <v>365492.93</v>
      </c>
      <c r="I36" s="1235">
        <v>415438.75</v>
      </c>
      <c r="J36" s="1235">
        <v>451669.69</v>
      </c>
      <c r="K36" s="1235">
        <v>270024</v>
      </c>
      <c r="L36" s="1235"/>
    </row>
    <row r="37" spans="1:12" s="1231" customFormat="1" ht="10.199999999999999">
      <c r="A37" s="1231" t="s">
        <v>858</v>
      </c>
      <c r="B37" s="1240">
        <v>1750238.48</v>
      </c>
      <c r="C37" s="1243">
        <v>188144.51</v>
      </c>
      <c r="D37" s="1240">
        <v>135375.5</v>
      </c>
      <c r="E37" s="1235">
        <v>543036</v>
      </c>
      <c r="F37" s="1240">
        <v>274710.87</v>
      </c>
      <c r="G37" s="1235">
        <v>276649.96000000002</v>
      </c>
      <c r="H37" s="1235">
        <v>647026.12</v>
      </c>
      <c r="I37" s="1235">
        <v>2934275.6</v>
      </c>
      <c r="J37" s="1235">
        <v>1125376.8</v>
      </c>
      <c r="K37" s="1235">
        <v>130744</v>
      </c>
      <c r="L37" s="1235"/>
    </row>
    <row r="38" spans="1:12" s="1231" customFormat="1" ht="10.199999999999999">
      <c r="A38" s="1231" t="s">
        <v>1758</v>
      </c>
      <c r="B38" s="1240"/>
      <c r="C38" s="1243">
        <v>435604.79</v>
      </c>
      <c r="D38" s="1240"/>
      <c r="E38" s="1235">
        <v>147972</v>
      </c>
      <c r="F38" s="1240">
        <v>149742</v>
      </c>
      <c r="G38" s="1235">
        <v>142190</v>
      </c>
      <c r="H38" s="1235">
        <v>142190</v>
      </c>
      <c r="I38" s="1235">
        <v>144432</v>
      </c>
      <c r="J38" s="1235">
        <v>144698.68</v>
      </c>
      <c r="K38" s="1235">
        <v>151167.67999999999</v>
      </c>
      <c r="L38" s="1235"/>
    </row>
    <row r="39" spans="1:12" s="1231" customFormat="1" ht="10.199999999999999">
      <c r="A39" s="1231" t="s">
        <v>1810</v>
      </c>
      <c r="B39" s="1240"/>
      <c r="C39" s="1240"/>
      <c r="D39" s="1240"/>
      <c r="E39" s="1235"/>
      <c r="F39" s="1240"/>
      <c r="G39" s="1235"/>
      <c r="H39" s="1235"/>
      <c r="I39" s="1235"/>
      <c r="J39" s="1235"/>
      <c r="K39" s="1235"/>
      <c r="L39" s="1235"/>
    </row>
    <row r="40" spans="1:12" s="1229" customFormat="1" ht="10.199999999999999">
      <c r="A40" s="1229" t="s">
        <v>1811</v>
      </c>
      <c r="B40" s="1238">
        <f>SUM(B41:B42)</f>
        <v>0</v>
      </c>
      <c r="C40" s="1238">
        <f t="shared" ref="C40:K40" si="13">SUM(C41:C42)</f>
        <v>0</v>
      </c>
      <c r="D40" s="1238">
        <f t="shared" si="13"/>
        <v>0</v>
      </c>
      <c r="E40" s="1233">
        <f t="shared" si="13"/>
        <v>0</v>
      </c>
      <c r="F40" s="1238">
        <f t="shared" si="13"/>
        <v>0</v>
      </c>
      <c r="G40" s="1233">
        <f t="shared" si="13"/>
        <v>0</v>
      </c>
      <c r="H40" s="1233">
        <f t="shared" si="13"/>
        <v>0</v>
      </c>
      <c r="I40" s="1233">
        <f t="shared" si="13"/>
        <v>0</v>
      </c>
      <c r="J40" s="1233">
        <f t="shared" si="13"/>
        <v>0</v>
      </c>
      <c r="K40" s="1233">
        <f t="shared" si="13"/>
        <v>0</v>
      </c>
      <c r="L40" s="1233">
        <f>SUBTOTAL(9,B40:K40)</f>
        <v>0</v>
      </c>
    </row>
    <row r="41" spans="1:12" s="1231" customFormat="1" ht="10.199999999999999">
      <c r="A41" s="1231" t="s">
        <v>1812</v>
      </c>
      <c r="B41" s="1240"/>
      <c r="C41" s="1240"/>
      <c r="D41" s="1240"/>
      <c r="E41" s="1235"/>
      <c r="F41" s="1240"/>
      <c r="G41" s="1235"/>
      <c r="H41" s="1235"/>
      <c r="I41" s="1235"/>
      <c r="J41" s="1235"/>
      <c r="K41" s="1235"/>
      <c r="L41" s="1235"/>
    </row>
    <row r="42" spans="1:12" s="1231" customFormat="1" ht="10.199999999999999">
      <c r="A42" s="1231" t="s">
        <v>1813</v>
      </c>
      <c r="B42" s="1240"/>
      <c r="C42" s="1240"/>
      <c r="D42" s="1240"/>
      <c r="E42" s="1235"/>
      <c r="F42" s="1240"/>
      <c r="G42" s="1235"/>
      <c r="H42" s="1235"/>
      <c r="I42" s="1235"/>
      <c r="J42" s="1235"/>
      <c r="K42" s="1235"/>
      <c r="L42" s="1235"/>
    </row>
    <row r="43" spans="1:12" s="1229" customFormat="1" ht="10.199999999999999">
      <c r="A43" s="1229" t="s">
        <v>859</v>
      </c>
      <c r="B43" s="1238">
        <f>SUM(B44)</f>
        <v>12715384.379999999</v>
      </c>
      <c r="C43" s="1238">
        <f t="shared" ref="C43:K43" si="14">SUM(C44)</f>
        <v>0</v>
      </c>
      <c r="D43" s="1238">
        <f t="shared" si="14"/>
        <v>0</v>
      </c>
      <c r="E43" s="1233">
        <f t="shared" si="14"/>
        <v>128745.38</v>
      </c>
      <c r="F43" s="1238">
        <f t="shared" si="14"/>
        <v>552632.57999999996</v>
      </c>
      <c r="G43" s="1233">
        <f t="shared" si="14"/>
        <v>120006</v>
      </c>
      <c r="H43" s="1233">
        <f t="shared" si="14"/>
        <v>1543136</v>
      </c>
      <c r="I43" s="1233">
        <f t="shared" si="14"/>
        <v>300</v>
      </c>
      <c r="J43" s="1233">
        <f t="shared" si="14"/>
        <v>223322.53</v>
      </c>
      <c r="K43" s="1233">
        <f t="shared" si="14"/>
        <v>1594150.23</v>
      </c>
      <c r="L43" s="1233">
        <f>SUBTOTAL(9,B43:K43)</f>
        <v>16877677.099999998</v>
      </c>
    </row>
    <row r="44" spans="1:12" s="1231" customFormat="1" ht="10.199999999999999">
      <c r="A44" s="1231" t="s">
        <v>860</v>
      </c>
      <c r="B44" s="1239">
        <v>12715384.379999999</v>
      </c>
      <c r="C44" s="1239"/>
      <c r="D44" s="1239"/>
      <c r="E44" s="1234">
        <v>128745.38</v>
      </c>
      <c r="F44" s="1239">
        <v>552632.57999999996</v>
      </c>
      <c r="G44" s="1234">
        <v>120006</v>
      </c>
      <c r="H44" s="1234">
        <v>1543136</v>
      </c>
      <c r="I44" s="1234">
        <v>300</v>
      </c>
      <c r="J44" s="1234">
        <v>223322.53</v>
      </c>
      <c r="K44" s="1234">
        <f>1099066.83+495083.4</f>
        <v>1594150.23</v>
      </c>
      <c r="L44" s="1234"/>
    </row>
    <row r="45" spans="1:12" s="1229" customFormat="1" ht="10.199999999999999">
      <c r="A45" s="1229" t="s">
        <v>1814</v>
      </c>
      <c r="B45" s="1238">
        <f>SUM(B46)</f>
        <v>0</v>
      </c>
      <c r="C45" s="1238">
        <f t="shared" ref="C45:K45" si="15">SUM(C46)</f>
        <v>0</v>
      </c>
      <c r="D45" s="1238">
        <f t="shared" si="15"/>
        <v>0</v>
      </c>
      <c r="E45" s="1233">
        <f t="shared" si="15"/>
        <v>0</v>
      </c>
      <c r="F45" s="1238">
        <f t="shared" si="15"/>
        <v>0</v>
      </c>
      <c r="G45" s="1233">
        <f t="shared" si="15"/>
        <v>0</v>
      </c>
      <c r="H45" s="1233">
        <f t="shared" si="15"/>
        <v>0</v>
      </c>
      <c r="I45" s="1233">
        <f t="shared" si="15"/>
        <v>0</v>
      </c>
      <c r="J45" s="1233">
        <f t="shared" si="15"/>
        <v>0</v>
      </c>
      <c r="K45" s="1233">
        <f t="shared" si="15"/>
        <v>0</v>
      </c>
      <c r="L45" s="1233">
        <f>SUBTOTAL(9,B45:K45)</f>
        <v>0</v>
      </c>
    </row>
    <row r="46" spans="1:12" s="1231" customFormat="1" ht="10.199999999999999">
      <c r="A46" s="1231" t="s">
        <v>1815</v>
      </c>
      <c r="B46" s="1239"/>
      <c r="C46" s="1239"/>
      <c r="D46" s="1239"/>
      <c r="E46" s="1234"/>
      <c r="F46" s="1239"/>
      <c r="G46" s="1234"/>
      <c r="H46" s="1234"/>
      <c r="I46" s="1234"/>
      <c r="J46" s="1234"/>
      <c r="K46" s="1234"/>
      <c r="L46" s="1234"/>
    </row>
    <row r="47" spans="1:12" s="1229" customFormat="1" ht="10.199999999999999">
      <c r="A47" s="1229" t="s">
        <v>1816</v>
      </c>
      <c r="B47" s="1238">
        <f>SUM(B48)</f>
        <v>0</v>
      </c>
      <c r="C47" s="1238">
        <f t="shared" ref="C47:K47" si="16">SUM(C48)</f>
        <v>0</v>
      </c>
      <c r="D47" s="1238">
        <f t="shared" si="16"/>
        <v>0</v>
      </c>
      <c r="E47" s="1233">
        <f t="shared" si="16"/>
        <v>0</v>
      </c>
      <c r="F47" s="1238">
        <f t="shared" si="16"/>
        <v>0</v>
      </c>
      <c r="G47" s="1233">
        <f t="shared" si="16"/>
        <v>0</v>
      </c>
      <c r="H47" s="1233">
        <f t="shared" si="16"/>
        <v>0</v>
      </c>
      <c r="I47" s="1233">
        <f t="shared" si="16"/>
        <v>0</v>
      </c>
      <c r="J47" s="1233">
        <f t="shared" si="16"/>
        <v>0</v>
      </c>
      <c r="K47" s="1233">
        <f t="shared" si="16"/>
        <v>0</v>
      </c>
      <c r="L47" s="1233">
        <f>SUBTOTAL(9,B47:K47)</f>
        <v>0</v>
      </c>
    </row>
    <row r="48" spans="1:12" s="1231" customFormat="1" ht="10.199999999999999">
      <c r="A48" s="1231" t="s">
        <v>1817</v>
      </c>
      <c r="B48" s="1239"/>
      <c r="C48" s="1239"/>
      <c r="D48" s="1239"/>
      <c r="E48" s="1234"/>
      <c r="F48" s="1239"/>
      <c r="G48" s="1234"/>
      <c r="H48" s="1234"/>
      <c r="I48" s="1234"/>
      <c r="J48" s="1234"/>
      <c r="K48" s="1234"/>
      <c r="L48" s="1234"/>
    </row>
    <row r="49" spans="1:12" s="1245" customFormat="1" ht="13.8">
      <c r="A49" s="1245" t="s">
        <v>1818</v>
      </c>
      <c r="B49" s="1246">
        <f>+B2+B4+B6+B8+B10+B12+B20+B22+B24+B26+B31+B34+B40+B43+B45+B47</f>
        <v>151080073.93000001</v>
      </c>
      <c r="C49" s="1246">
        <f t="shared" ref="C49:L49" si="17">+C2+C4+C6+C8+C10+C12+C20+C22+C24+C26+C31+C34+C40+C43+C45+C47</f>
        <v>2968703.3</v>
      </c>
      <c r="D49" s="1246">
        <f t="shared" si="17"/>
        <v>2613690.2399999998</v>
      </c>
      <c r="E49" s="1247">
        <f t="shared" si="17"/>
        <v>2895724.79</v>
      </c>
      <c r="F49" s="1246">
        <f t="shared" si="17"/>
        <v>7649161.7599999998</v>
      </c>
      <c r="G49" s="1247">
        <f t="shared" si="17"/>
        <v>6705088.7200000007</v>
      </c>
      <c r="H49" s="1247">
        <f t="shared" si="17"/>
        <v>10036771</v>
      </c>
      <c r="I49" s="1247">
        <f t="shared" si="17"/>
        <v>19175567.920000002</v>
      </c>
      <c r="J49" s="1247">
        <f t="shared" si="17"/>
        <v>195778925.68999997</v>
      </c>
      <c r="K49" s="1247">
        <f t="shared" si="17"/>
        <v>19508128.399999999</v>
      </c>
      <c r="L49" s="1247">
        <f t="shared" si="17"/>
        <v>418411835.75000006</v>
      </c>
    </row>
    <row r="52" spans="1:12">
      <c r="J52" s="1236">
        <f>+J50-J51</f>
        <v>0</v>
      </c>
    </row>
  </sheetData>
  <autoFilter ref="A1:K52" xr:uid="{F5A36D24-5ADF-4009-AC1E-37C543D7C3B9}"/>
  <pageMargins left="0.7" right="0.7" top="0.75" bottom="0.75" header="0.3" footer="0.3"/>
  <pageSetup paperSize="9"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14EA2-953F-485D-9E39-835728EFB9EE}">
  <dimension ref="A1:G13"/>
  <sheetViews>
    <sheetView workbookViewId="0">
      <selection activeCell="A3" sqref="A3:XFD3"/>
    </sheetView>
  </sheetViews>
  <sheetFormatPr baseColWidth="10" defaultColWidth="11.44140625" defaultRowHeight="14.4"/>
  <cols>
    <col min="1" max="1" width="26" bestFit="1" customWidth="1"/>
    <col min="2" max="2" width="11" bestFit="1" customWidth="1"/>
    <col min="3" max="3" width="14" style="370" bestFit="1" customWidth="1"/>
    <col min="4" max="4" width="14.5546875" style="370" customWidth="1"/>
    <col min="5" max="5" width="32.5546875" customWidth="1"/>
    <col min="6" max="7" width="20" bestFit="1" customWidth="1"/>
  </cols>
  <sheetData>
    <row r="1" spans="1:7">
      <c r="A1" t="s">
        <v>707</v>
      </c>
      <c r="B1" t="s">
        <v>708</v>
      </c>
      <c r="C1" s="370" t="s">
        <v>164</v>
      </c>
      <c r="D1" s="370" t="s">
        <v>709</v>
      </c>
      <c r="E1" t="s">
        <v>817</v>
      </c>
      <c r="F1" t="s">
        <v>710</v>
      </c>
      <c r="G1" t="s">
        <v>852</v>
      </c>
    </row>
    <row r="2" spans="1:7">
      <c r="A2" t="s">
        <v>737</v>
      </c>
      <c r="B2" s="193">
        <v>45429</v>
      </c>
      <c r="C2" s="370">
        <v>40000</v>
      </c>
      <c r="D2" s="370">
        <v>40000</v>
      </c>
      <c r="E2" t="s">
        <v>738</v>
      </c>
      <c r="F2" t="s">
        <v>853</v>
      </c>
      <c r="G2" t="s">
        <v>853</v>
      </c>
    </row>
    <row r="3" spans="1:7">
      <c r="A3" t="s">
        <v>369</v>
      </c>
      <c r="B3" s="193">
        <v>45266</v>
      </c>
      <c r="C3" s="370">
        <v>273000</v>
      </c>
      <c r="D3" s="370">
        <v>273000</v>
      </c>
      <c r="E3" t="s">
        <v>911</v>
      </c>
      <c r="F3" t="s">
        <v>853</v>
      </c>
      <c r="G3" t="s">
        <v>853</v>
      </c>
    </row>
    <row r="4" spans="1:7">
      <c r="A4" t="s">
        <v>1819</v>
      </c>
      <c r="B4" s="193">
        <v>45860</v>
      </c>
      <c r="C4" s="370">
        <v>70000</v>
      </c>
      <c r="D4" s="370">
        <v>70000</v>
      </c>
      <c r="E4" t="s">
        <v>1820</v>
      </c>
      <c r="F4" t="s">
        <v>853</v>
      </c>
      <c r="G4" t="s">
        <v>853</v>
      </c>
    </row>
    <row r="5" spans="1:7">
      <c r="B5" s="193"/>
      <c r="C5" s="432">
        <f>SUM(C2:C4)</f>
        <v>383000</v>
      </c>
      <c r="D5" s="432">
        <f>SUM(D2:D4)</f>
        <v>383000</v>
      </c>
    </row>
    <row r="6" spans="1:7">
      <c r="A6" t="s">
        <v>715</v>
      </c>
      <c r="B6" s="193">
        <v>45771</v>
      </c>
      <c r="C6" s="370">
        <v>3200000</v>
      </c>
      <c r="D6" s="370">
        <v>638906.42000000004</v>
      </c>
      <c r="E6" t="s">
        <v>1023</v>
      </c>
      <c r="F6" t="s">
        <v>1024</v>
      </c>
      <c r="G6" t="s">
        <v>1025</v>
      </c>
    </row>
    <row r="7" spans="1:7">
      <c r="A7" t="s">
        <v>1084</v>
      </c>
      <c r="B7" s="193">
        <v>45805</v>
      </c>
      <c r="C7" s="370">
        <v>5000000</v>
      </c>
      <c r="D7" s="370">
        <v>5000000</v>
      </c>
      <c r="E7" t="s">
        <v>1189</v>
      </c>
      <c r="F7" t="s">
        <v>1024</v>
      </c>
      <c r="G7" t="s">
        <v>1025</v>
      </c>
    </row>
    <row r="8" spans="1:7">
      <c r="A8" t="s">
        <v>1084</v>
      </c>
      <c r="B8" s="193">
        <v>45826</v>
      </c>
      <c r="C8" s="370">
        <v>5000000</v>
      </c>
      <c r="D8" s="370">
        <v>5000000</v>
      </c>
      <c r="E8" t="s">
        <v>1189</v>
      </c>
      <c r="F8" t="s">
        <v>1024</v>
      </c>
      <c r="G8" t="s">
        <v>1025</v>
      </c>
    </row>
    <row r="9" spans="1:7">
      <c r="A9" t="s">
        <v>1084</v>
      </c>
      <c r="B9" s="193">
        <v>45911</v>
      </c>
      <c r="C9" s="370">
        <v>2000000</v>
      </c>
      <c r="D9" s="370">
        <v>2000000</v>
      </c>
      <c r="E9" t="s">
        <v>1189</v>
      </c>
      <c r="F9" t="s">
        <v>1024</v>
      </c>
      <c r="G9" t="s">
        <v>1025</v>
      </c>
    </row>
    <row r="10" spans="1:7">
      <c r="B10" s="193"/>
      <c r="C10" s="432">
        <f>SUM(C6:C9)</f>
        <v>15200000</v>
      </c>
      <c r="D10" s="432">
        <f>SUM(D6:D9)</f>
        <v>12638906.42</v>
      </c>
    </row>
    <row r="11" spans="1:7">
      <c r="A11" t="s">
        <v>1821</v>
      </c>
      <c r="B11" s="193">
        <v>45887</v>
      </c>
      <c r="C11" s="370">
        <v>284315</v>
      </c>
      <c r="D11" s="370">
        <v>284315</v>
      </c>
      <c r="E11" t="s">
        <v>1658</v>
      </c>
      <c r="F11" t="s">
        <v>1822</v>
      </c>
      <c r="G11" t="s">
        <v>1660</v>
      </c>
    </row>
    <row r="12" spans="1:7">
      <c r="B12" s="193"/>
      <c r="C12" s="432">
        <f>SUM(C11:C11)</f>
        <v>284315</v>
      </c>
      <c r="D12" s="432">
        <f>SUM(D11:D11)</f>
        <v>284315</v>
      </c>
    </row>
    <row r="13" spans="1:7">
      <c r="C13" s="1178">
        <f>+C5+C10+C12</f>
        <v>15867315</v>
      </c>
      <c r="D13" s="1178">
        <f>+D5+D10+D12</f>
        <v>13306221.42</v>
      </c>
    </row>
  </sheetData>
  <autoFilter ref="A1:G1" xr:uid="{8F833D8D-E3A2-49C0-BA28-FAE8897AAB0B}">
    <sortState xmlns:xlrd2="http://schemas.microsoft.com/office/spreadsheetml/2017/richdata2" ref="A2:G11">
      <sortCondition ref="G1"/>
    </sortState>
  </autoFilter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AE64F-3DCE-4212-98F5-D6FE0A5D1871}">
  <dimension ref="A1:E55"/>
  <sheetViews>
    <sheetView showGridLines="0" topLeftCell="A30" zoomScaleNormal="100" workbookViewId="0">
      <selection activeCell="G11" sqref="G11"/>
    </sheetView>
  </sheetViews>
  <sheetFormatPr baseColWidth="10" defaultColWidth="8" defaultRowHeight="11.4"/>
  <cols>
    <col min="1" max="1" width="1.33203125" style="408" customWidth="1"/>
    <col min="2" max="2" width="42.6640625" style="408" customWidth="1"/>
    <col min="3" max="3" width="13.33203125" style="408" customWidth="1"/>
    <col min="4" max="4" width="8" style="408"/>
    <col min="5" max="5" width="11.5546875" style="408" bestFit="1" customWidth="1"/>
    <col min="6" max="16384" width="8" style="408"/>
  </cols>
  <sheetData>
    <row r="1" spans="1:5" s="405" customFormat="1" ht="16.649999999999999" customHeight="1">
      <c r="A1" s="404" t="s">
        <v>235</v>
      </c>
      <c r="B1" s="404"/>
      <c r="C1" s="404"/>
    </row>
    <row r="2" spans="1:5" s="407" customFormat="1" ht="14.4" customHeight="1">
      <c r="A2" s="406" t="s">
        <v>236</v>
      </c>
      <c r="B2" s="406"/>
      <c r="C2" s="406"/>
    </row>
    <row r="3" spans="1:5" s="407" customFormat="1" ht="14.4" customHeight="1">
      <c r="A3" s="406" t="s">
        <v>1823</v>
      </c>
      <c r="B3" s="406"/>
      <c r="C3" s="406"/>
    </row>
    <row r="4" spans="1:5" ht="13.35" customHeight="1"/>
    <row r="5" spans="1:5" s="412" customFormat="1" ht="12.15" customHeight="1">
      <c r="A5" s="409"/>
      <c r="B5" s="410" t="s">
        <v>238</v>
      </c>
      <c r="C5" s="411" t="s">
        <v>1824</v>
      </c>
    </row>
    <row r="6" spans="1:5" ht="13.35" customHeight="1"/>
    <row r="7" spans="1:5" s="412" customFormat="1" ht="12.15" customHeight="1">
      <c r="A7" s="409" t="s">
        <v>239</v>
      </c>
      <c r="B7" s="409"/>
      <c r="C7" s="409"/>
    </row>
    <row r="8" spans="1:5" ht="10.95" customHeight="1">
      <c r="A8" s="413"/>
      <c r="B8" s="413" t="s">
        <v>638</v>
      </c>
      <c r="C8" s="413"/>
    </row>
    <row r="9" spans="1:5" ht="10.95" customHeight="1">
      <c r="B9" s="414" t="s">
        <v>639</v>
      </c>
      <c r="C9" s="1085">
        <v>19975726.620000001</v>
      </c>
    </row>
    <row r="10" spans="1:5" ht="10.95" customHeight="1">
      <c r="B10" s="414" t="s">
        <v>1608</v>
      </c>
      <c r="C10" s="415">
        <v>15910139.65</v>
      </c>
    </row>
    <row r="11" spans="1:5" ht="10.95" customHeight="1">
      <c r="B11" s="414" t="s">
        <v>640</v>
      </c>
      <c r="C11" s="1085">
        <v>822459.64</v>
      </c>
      <c r="E11" s="425">
        <f>+C9+C11</f>
        <v>20798186.260000002</v>
      </c>
    </row>
    <row r="12" spans="1:5" ht="10.95" customHeight="1">
      <c r="B12" s="414" t="s">
        <v>1392</v>
      </c>
      <c r="C12" s="415">
        <v>55521055.68</v>
      </c>
    </row>
    <row r="13" spans="1:5" ht="10.95" customHeight="1">
      <c r="B13" s="414" t="s">
        <v>1394</v>
      </c>
      <c r="C13" s="415">
        <v>6311862.4699999997</v>
      </c>
    </row>
    <row r="14" spans="1:5" ht="10.95" customHeight="1">
      <c r="B14" s="414" t="s">
        <v>844</v>
      </c>
      <c r="C14" s="415">
        <v>428318.3</v>
      </c>
      <c r="E14" s="425"/>
    </row>
    <row r="15" spans="1:5" ht="10.95" customHeight="1">
      <c r="B15" s="414" t="s">
        <v>845</v>
      </c>
      <c r="C15" s="415">
        <v>112546.35</v>
      </c>
      <c r="E15" s="425"/>
    </row>
    <row r="16" spans="1:5" ht="10.95" customHeight="1">
      <c r="B16" s="416" t="s">
        <v>642</v>
      </c>
      <c r="C16" s="417">
        <f>SUM(C9:C15)</f>
        <v>99082108.709999993</v>
      </c>
      <c r="E16" s="425"/>
    </row>
    <row r="17" spans="1:3" ht="10.95" customHeight="1">
      <c r="A17" s="413"/>
      <c r="B17" s="413" t="s">
        <v>240</v>
      </c>
      <c r="C17" s="413"/>
    </row>
    <row r="18" spans="1:3" ht="10.95" customHeight="1">
      <c r="B18" s="414" t="s">
        <v>241</v>
      </c>
      <c r="C18" s="415">
        <v>13306221.5</v>
      </c>
    </row>
    <row r="19" spans="1:3" ht="10.95" customHeight="1">
      <c r="B19" s="416" t="s">
        <v>242</v>
      </c>
      <c r="C19" s="417">
        <f>C18</f>
        <v>13306221.5</v>
      </c>
    </row>
    <row r="20" spans="1:3" ht="10.95" customHeight="1">
      <c r="A20" s="413"/>
      <c r="B20" s="413" t="s">
        <v>243</v>
      </c>
      <c r="C20" s="413"/>
    </row>
    <row r="21" spans="1:3" ht="10.95" customHeight="1">
      <c r="B21" s="414" t="s">
        <v>1278</v>
      </c>
      <c r="C21" s="415">
        <v>4.1900000000000004</v>
      </c>
    </row>
    <row r="22" spans="1:3" ht="10.95" customHeight="1">
      <c r="B22" s="414" t="s">
        <v>800</v>
      </c>
      <c r="C22" s="415">
        <v>323974241.47000003</v>
      </c>
    </row>
    <row r="23" spans="1:3" ht="10.95" customHeight="1">
      <c r="B23" s="414" t="s">
        <v>245</v>
      </c>
      <c r="C23" s="415">
        <v>77559917.180000007</v>
      </c>
    </row>
    <row r="24" spans="1:3" ht="10.95" customHeight="1">
      <c r="B24" s="414" t="s">
        <v>801</v>
      </c>
      <c r="C24" s="415">
        <v>16877677.100000001</v>
      </c>
    </row>
    <row r="25" spans="1:3" ht="10.95" customHeight="1">
      <c r="B25" s="416" t="s">
        <v>247</v>
      </c>
      <c r="C25" s="417">
        <f>SUM(C21:C24)</f>
        <v>418411839.94000006</v>
      </c>
    </row>
    <row r="26" spans="1:3" ht="10.95" customHeight="1">
      <c r="A26" s="416" t="s">
        <v>248</v>
      </c>
      <c r="C26" s="417">
        <f>(0 + ((C16 + C19) + C25))</f>
        <v>530800170.15000004</v>
      </c>
    </row>
    <row r="27" spans="1:3" ht="13.35" customHeight="1"/>
    <row r="28" spans="1:3" s="412" customFormat="1" ht="12.15" customHeight="1">
      <c r="A28" s="409" t="s">
        <v>249</v>
      </c>
      <c r="B28" s="409"/>
      <c r="C28" s="409"/>
    </row>
    <row r="29" spans="1:3" ht="10.95" customHeight="1">
      <c r="A29" s="413"/>
      <c r="B29" s="413" t="s">
        <v>250</v>
      </c>
      <c r="C29" s="413"/>
    </row>
    <row r="30" spans="1:3" ht="10.95" customHeight="1">
      <c r="B30" s="414" t="s">
        <v>1825</v>
      </c>
      <c r="C30" s="415">
        <v>104384227.40000001</v>
      </c>
    </row>
    <row r="31" spans="1:3" ht="10.95" customHeight="1">
      <c r="B31" s="414" t="s">
        <v>799</v>
      </c>
      <c r="C31" s="415">
        <v>233358.24</v>
      </c>
    </row>
    <row r="32" spans="1:3" ht="10.95" customHeight="1">
      <c r="B32" s="414" t="s">
        <v>251</v>
      </c>
      <c r="C32" s="415">
        <v>14758568.25</v>
      </c>
    </row>
    <row r="33" spans="1:3" ht="10.95" customHeight="1">
      <c r="B33" s="414" t="s">
        <v>965</v>
      </c>
      <c r="C33" s="415">
        <v>293474.90999999997</v>
      </c>
    </row>
    <row r="34" spans="1:3" ht="10.95" customHeight="1">
      <c r="B34" s="414" t="s">
        <v>802</v>
      </c>
      <c r="C34" s="415">
        <v>76880590.930000007</v>
      </c>
    </row>
    <row r="35" spans="1:3" ht="10.95" customHeight="1">
      <c r="B35" s="414" t="s">
        <v>1826</v>
      </c>
      <c r="C35" s="415">
        <v>2348222.71</v>
      </c>
    </row>
    <row r="36" spans="1:3" ht="10.95" customHeight="1">
      <c r="B36" s="414" t="s">
        <v>803</v>
      </c>
      <c r="C36" s="415">
        <v>15480</v>
      </c>
    </row>
    <row r="37" spans="1:3" ht="10.95" customHeight="1">
      <c r="B37" s="414" t="s">
        <v>1284</v>
      </c>
      <c r="C37" s="415">
        <v>95083.199999999997</v>
      </c>
    </row>
    <row r="38" spans="1:3" ht="10.95" customHeight="1">
      <c r="B38" s="414" t="s">
        <v>804</v>
      </c>
      <c r="C38" s="415">
        <v>208907.26</v>
      </c>
    </row>
    <row r="39" spans="1:3" ht="10.95" customHeight="1">
      <c r="B39" s="414" t="s">
        <v>813</v>
      </c>
      <c r="C39" s="415">
        <v>216874.76</v>
      </c>
    </row>
    <row r="40" spans="1:3" ht="10.95" customHeight="1">
      <c r="B40" s="414" t="s">
        <v>805</v>
      </c>
      <c r="C40" s="415">
        <v>8600</v>
      </c>
    </row>
    <row r="41" spans="1:3" ht="10.95" customHeight="1">
      <c r="B41" s="416" t="s">
        <v>253</v>
      </c>
      <c r="C41" s="417">
        <f>SUM(C30:C40)</f>
        <v>199443387.66</v>
      </c>
    </row>
    <row r="42" spans="1:3" ht="10.95" customHeight="1">
      <c r="A42" s="416" t="s">
        <v>254</v>
      </c>
      <c r="C42" s="417">
        <f>(0 + C41)</f>
        <v>199443387.66</v>
      </c>
    </row>
    <row r="43" spans="1:3" ht="13.35" customHeight="1"/>
    <row r="44" spans="1:3" ht="10.95" customHeight="1">
      <c r="B44" s="419" t="s">
        <v>255</v>
      </c>
      <c r="C44" s="420">
        <f>(C26 - C42)</f>
        <v>331356782.49000001</v>
      </c>
    </row>
    <row r="45" spans="1:3" ht="13.35" customHeight="1"/>
    <row r="46" spans="1:3" s="412" customFormat="1" ht="12.15" customHeight="1">
      <c r="A46" s="409" t="s">
        <v>256</v>
      </c>
      <c r="B46" s="409"/>
      <c r="C46" s="409"/>
    </row>
    <row r="47" spans="1:3" ht="10.95" customHeight="1">
      <c r="B47" s="421" t="s">
        <v>257</v>
      </c>
      <c r="C47" s="422">
        <v>329948451.97000003</v>
      </c>
    </row>
    <row r="48" spans="1:3" ht="10.95" customHeight="1">
      <c r="B48" s="414" t="s">
        <v>647</v>
      </c>
      <c r="C48" s="415">
        <v>1270492.05</v>
      </c>
    </row>
    <row r="49" spans="1:3" ht="10.95" customHeight="1">
      <c r="B49" s="414" t="s">
        <v>846</v>
      </c>
      <c r="C49" s="415">
        <v>137838.47</v>
      </c>
    </row>
    <row r="50" spans="1:3" ht="10.95" customHeight="1">
      <c r="A50" s="416" t="s">
        <v>258</v>
      </c>
      <c r="C50" s="417">
        <f>SUM(C47:C49)</f>
        <v>331356782.49000007</v>
      </c>
    </row>
    <row r="51" spans="1:3" ht="13.35" customHeight="1"/>
    <row r="52" spans="1:3" ht="13.35" customHeight="1"/>
    <row r="53" spans="1:3" ht="10.95" customHeight="1">
      <c r="A53" s="423" t="s">
        <v>648</v>
      </c>
    </row>
    <row r="54" spans="1:3" ht="10.95" customHeight="1">
      <c r="A54" s="424" t="s">
        <v>1824</v>
      </c>
    </row>
    <row r="55" spans="1:3" ht="10.95" customHeight="1">
      <c r="A55" s="423" t="s">
        <v>1827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60168-D56F-44A6-AFE2-D5B3F80A5578}">
  <dimension ref="A1:G88"/>
  <sheetViews>
    <sheetView showGridLines="0" topLeftCell="A84" zoomScaleNormal="100" workbookViewId="0">
      <selection activeCell="F91" sqref="F91"/>
    </sheetView>
  </sheetViews>
  <sheetFormatPr baseColWidth="10" defaultColWidth="8" defaultRowHeight="11.4"/>
  <cols>
    <col min="1" max="1" width="54.88671875" style="1212" customWidth="1"/>
    <col min="2" max="2" width="12.6640625" style="1212" customWidth="1"/>
    <col min="3" max="3" width="11.44140625" style="1212" customWidth="1"/>
    <col min="4" max="4" width="17.6640625" style="1212" customWidth="1"/>
    <col min="5" max="5" width="11.88671875" style="1212" bestFit="1" customWidth="1"/>
    <col min="6" max="7" width="9.88671875" style="1212" bestFit="1" customWidth="1"/>
    <col min="8" max="16384" width="8" style="1212"/>
  </cols>
  <sheetData>
    <row r="1" spans="1:5" s="1221" customFormat="1" ht="16.649999999999999" customHeight="1">
      <c r="A1" s="1960" t="s">
        <v>771</v>
      </c>
      <c r="B1" s="1960"/>
      <c r="C1" s="1960"/>
      <c r="D1" s="1960"/>
      <c r="E1" s="1960"/>
    </row>
    <row r="2" spans="1:5" s="1220" customFormat="1" ht="14.4" customHeight="1">
      <c r="A2" s="1961" t="s">
        <v>236</v>
      </c>
      <c r="B2" s="1961"/>
      <c r="C2" s="1961"/>
      <c r="D2" s="1961"/>
      <c r="E2" s="1961"/>
    </row>
    <row r="3" spans="1:5" s="1220" customFormat="1" ht="14.4" customHeight="1">
      <c r="A3" s="1961" t="s">
        <v>1823</v>
      </c>
      <c r="B3" s="1961"/>
      <c r="C3" s="1961"/>
      <c r="D3" s="1961"/>
      <c r="E3" s="1961"/>
    </row>
    <row r="4" spans="1:5" s="1220" customFormat="1" ht="14.4" customHeight="1">
      <c r="A4" s="1961" t="s">
        <v>724</v>
      </c>
      <c r="B4" s="1961"/>
      <c r="C4" s="1961"/>
      <c r="D4" s="1961"/>
      <c r="E4" s="1961"/>
    </row>
    <row r="5" spans="1:5" ht="13.35" customHeight="1"/>
    <row r="6" spans="1:5" s="1216" customFormat="1" ht="12.15" customHeight="1">
      <c r="A6" s="1962" t="s">
        <v>690</v>
      </c>
      <c r="B6" s="1962" t="s">
        <v>689</v>
      </c>
      <c r="C6" s="1962" t="s">
        <v>823</v>
      </c>
      <c r="D6" s="1962" t="s">
        <v>773</v>
      </c>
      <c r="E6" s="1963" t="s">
        <v>164</v>
      </c>
    </row>
    <row r="7" spans="1:5" ht="13.35" customHeight="1"/>
    <row r="8" spans="1:5" s="1216" customFormat="1" ht="12.15" customHeight="1">
      <c r="A8" s="1964" t="s">
        <v>889</v>
      </c>
      <c r="B8" s="1964"/>
      <c r="C8" s="1964"/>
      <c r="D8" s="1964"/>
      <c r="E8" s="1964"/>
    </row>
    <row r="9" spans="1:5" ht="10.95" customHeight="1">
      <c r="A9" s="1214" t="s">
        <v>301</v>
      </c>
      <c r="B9" s="1215">
        <v>45888</v>
      </c>
      <c r="C9" s="1215">
        <v>45891</v>
      </c>
      <c r="D9" s="1214" t="s">
        <v>1629</v>
      </c>
      <c r="E9" s="1213">
        <v>1427678.42</v>
      </c>
    </row>
    <row r="10" spans="1:5" ht="10.95" customHeight="1">
      <c r="A10" s="1218" t="s">
        <v>1631</v>
      </c>
      <c r="B10" s="1219">
        <v>45908</v>
      </c>
      <c r="C10" s="1219">
        <v>45908</v>
      </c>
      <c r="D10" s="1218" t="s">
        <v>1828</v>
      </c>
      <c r="E10" s="1217">
        <v>45904.800000000003</v>
      </c>
    </row>
    <row r="11" spans="1:5" ht="10.95" customHeight="1">
      <c r="A11" s="1965" t="s">
        <v>1829</v>
      </c>
      <c r="B11" s="1965"/>
      <c r="C11" s="1965"/>
      <c r="D11" s="1965"/>
      <c r="E11" s="1966">
        <f>SUM(E9:E10)</f>
        <v>1473583.22</v>
      </c>
    </row>
    <row r="12" spans="1:5" ht="13.35" customHeight="1"/>
    <row r="13" spans="1:5" s="1216" customFormat="1" ht="12.15" customHeight="1">
      <c r="A13" s="1964" t="s">
        <v>1030</v>
      </c>
      <c r="B13" s="1964"/>
      <c r="C13" s="1964"/>
      <c r="D13" s="1964"/>
      <c r="E13" s="1964"/>
    </row>
    <row r="14" spans="1:5" ht="10.95" customHeight="1">
      <c r="A14" s="1214" t="s">
        <v>317</v>
      </c>
      <c r="B14" s="1215">
        <v>45845</v>
      </c>
      <c r="C14" s="1215">
        <v>45856</v>
      </c>
      <c r="D14" s="1214" t="s">
        <v>1469</v>
      </c>
      <c r="E14" s="1213">
        <v>487071.07</v>
      </c>
    </row>
    <row r="15" spans="1:5" ht="10.95" customHeight="1">
      <c r="A15" s="1218" t="s">
        <v>317</v>
      </c>
      <c r="B15" s="1219">
        <v>45873</v>
      </c>
      <c r="C15" s="1219">
        <v>45903</v>
      </c>
      <c r="D15" s="1218" t="s">
        <v>1633</v>
      </c>
      <c r="E15" s="1217">
        <v>469430.56</v>
      </c>
    </row>
    <row r="16" spans="1:5" ht="10.95" customHeight="1">
      <c r="A16" s="1218" t="s">
        <v>1111</v>
      </c>
      <c r="B16" s="1219">
        <v>45881</v>
      </c>
      <c r="C16" s="1219">
        <v>45881</v>
      </c>
      <c r="D16" s="1218" t="s">
        <v>1634</v>
      </c>
      <c r="E16" s="1217">
        <v>275627.24</v>
      </c>
    </row>
    <row r="17" spans="1:5" ht="10.95" customHeight="1">
      <c r="A17" s="1218" t="s">
        <v>317</v>
      </c>
      <c r="B17" s="1219">
        <v>45908</v>
      </c>
      <c r="C17" s="1219">
        <v>45938</v>
      </c>
      <c r="D17" s="1218" t="s">
        <v>1830</v>
      </c>
      <c r="E17" s="1217">
        <v>342033.18</v>
      </c>
    </row>
    <row r="18" spans="1:5" ht="10.95" customHeight="1">
      <c r="A18" s="1965" t="s">
        <v>1831</v>
      </c>
      <c r="B18" s="1965"/>
      <c r="C18" s="1965"/>
      <c r="D18" s="1965"/>
      <c r="E18" s="1966">
        <f>SUM(E14:E17)</f>
        <v>1574162.05</v>
      </c>
    </row>
    <row r="19" spans="1:5" ht="13.35" customHeight="1"/>
    <row r="20" spans="1:5" s="1216" customFormat="1" ht="12.15" customHeight="1">
      <c r="A20" s="1964" t="s">
        <v>1036</v>
      </c>
      <c r="B20" s="1964"/>
      <c r="C20" s="1964"/>
      <c r="D20" s="1964"/>
      <c r="E20" s="1964"/>
    </row>
    <row r="21" spans="1:5" ht="10.95" customHeight="1">
      <c r="A21" s="1214" t="s">
        <v>715</v>
      </c>
      <c r="B21" s="1215">
        <v>45918</v>
      </c>
      <c r="C21" s="1215">
        <v>45930</v>
      </c>
      <c r="D21" s="1214" t="s">
        <v>1832</v>
      </c>
      <c r="E21" s="1213">
        <v>2360000</v>
      </c>
    </row>
    <row r="22" spans="1:5" ht="10.95" customHeight="1">
      <c r="A22" s="1965" t="s">
        <v>1833</v>
      </c>
      <c r="B22" s="1965"/>
      <c r="C22" s="1965"/>
      <c r="D22" s="1965"/>
      <c r="E22" s="1966">
        <f>E21</f>
        <v>2360000</v>
      </c>
    </row>
    <row r="23" spans="1:5" ht="13.35" customHeight="1"/>
    <row r="24" spans="1:5" s="1216" customFormat="1" ht="12.15" customHeight="1">
      <c r="A24" s="1964" t="s">
        <v>1308</v>
      </c>
      <c r="B24" s="1964"/>
      <c r="C24" s="1964"/>
      <c r="D24" s="1964"/>
      <c r="E24" s="1964"/>
    </row>
    <row r="25" spans="1:5" ht="10.95" customHeight="1">
      <c r="A25" s="1214" t="s">
        <v>1045</v>
      </c>
      <c r="B25" s="1215">
        <v>45869</v>
      </c>
      <c r="C25" s="1215">
        <v>45900</v>
      </c>
      <c r="D25" s="1214" t="s">
        <v>1472</v>
      </c>
      <c r="E25" s="1213">
        <v>92700.800000000003</v>
      </c>
    </row>
    <row r="26" spans="1:5" ht="10.95" customHeight="1">
      <c r="A26" s="1218" t="s">
        <v>1045</v>
      </c>
      <c r="B26" s="1219">
        <v>45900</v>
      </c>
      <c r="C26" s="1219">
        <v>45900</v>
      </c>
      <c r="D26" s="1218" t="s">
        <v>1637</v>
      </c>
      <c r="E26" s="1217">
        <v>96854.399999999994</v>
      </c>
    </row>
    <row r="27" spans="1:5" ht="10.95" customHeight="1">
      <c r="A27" s="1218" t="s">
        <v>1045</v>
      </c>
      <c r="B27" s="1219">
        <v>45930</v>
      </c>
      <c r="C27" s="1219">
        <v>45960</v>
      </c>
      <c r="D27" s="1218" t="s">
        <v>1834</v>
      </c>
      <c r="E27" s="1217">
        <v>90246.399999999994</v>
      </c>
    </row>
    <row r="28" spans="1:5" ht="10.95" customHeight="1">
      <c r="A28" s="1965" t="s">
        <v>1835</v>
      </c>
      <c r="B28" s="1965"/>
      <c r="C28" s="1965"/>
      <c r="D28" s="1965"/>
      <c r="E28" s="1966">
        <f>SUM(E25:E27)</f>
        <v>279801.59999999998</v>
      </c>
    </row>
    <row r="29" spans="1:5" ht="13.35" customHeight="1"/>
    <row r="30" spans="1:5" s="1216" customFormat="1" ht="12.15" customHeight="1">
      <c r="A30" s="1964" t="s">
        <v>1836</v>
      </c>
      <c r="B30" s="1964"/>
      <c r="C30" s="1964"/>
      <c r="D30" s="1964"/>
      <c r="E30" s="1964"/>
    </row>
    <row r="31" spans="1:5" ht="10.95" customHeight="1">
      <c r="A31" s="1214" t="s">
        <v>295</v>
      </c>
      <c r="B31" s="1215">
        <v>45909</v>
      </c>
      <c r="C31" s="1215">
        <v>45909</v>
      </c>
      <c r="D31" s="1214" t="s">
        <v>1837</v>
      </c>
      <c r="E31" s="1213">
        <v>1770000</v>
      </c>
    </row>
    <row r="32" spans="1:5" ht="10.95" customHeight="1">
      <c r="A32" s="1965" t="s">
        <v>1838</v>
      </c>
      <c r="B32" s="1965"/>
      <c r="C32" s="1965"/>
      <c r="D32" s="1965"/>
      <c r="E32" s="1966">
        <f>E31</f>
        <v>1770000</v>
      </c>
    </row>
    <row r="34" spans="1:5" s="1216" customFormat="1" ht="12.15" customHeight="1">
      <c r="A34" s="1964" t="s">
        <v>1475</v>
      </c>
      <c r="B34" s="1964"/>
      <c r="C34" s="1964"/>
      <c r="D34" s="1964"/>
      <c r="E34" s="1964"/>
    </row>
    <row r="35" spans="1:5" ht="10.95" customHeight="1">
      <c r="A35" s="1214" t="s">
        <v>389</v>
      </c>
      <c r="B35" s="1215">
        <v>45908</v>
      </c>
      <c r="C35" s="1215">
        <v>45908</v>
      </c>
      <c r="D35" s="1214" t="s">
        <v>1839</v>
      </c>
      <c r="E35" s="1213">
        <v>458114.92</v>
      </c>
    </row>
    <row r="36" spans="1:5" ht="10.95" customHeight="1">
      <c r="A36" s="1218" t="s">
        <v>914</v>
      </c>
      <c r="B36" s="1219">
        <v>45910</v>
      </c>
      <c r="C36" s="1219">
        <v>45925</v>
      </c>
      <c r="D36" s="1218" t="s">
        <v>1840</v>
      </c>
      <c r="E36" s="1217">
        <v>2032347.81</v>
      </c>
    </row>
    <row r="37" spans="1:5" ht="10.95" customHeight="1">
      <c r="A37" s="1965" t="s">
        <v>1841</v>
      </c>
      <c r="B37" s="1965"/>
      <c r="C37" s="1965"/>
      <c r="D37" s="1965"/>
      <c r="E37" s="1966">
        <f>SUM(E35:E36)</f>
        <v>2490462.73</v>
      </c>
    </row>
    <row r="38" spans="1:5" ht="13.35" customHeight="1"/>
    <row r="39" spans="1:5" s="1216" customFormat="1" ht="12.15" customHeight="1">
      <c r="A39" s="1964" t="s">
        <v>1842</v>
      </c>
      <c r="B39" s="1964"/>
      <c r="C39" s="1964"/>
      <c r="D39" s="1964"/>
      <c r="E39" s="1964"/>
    </row>
    <row r="40" spans="1:5" ht="10.95" customHeight="1">
      <c r="A40" s="1214" t="s">
        <v>389</v>
      </c>
      <c r="B40" s="1215">
        <v>45814</v>
      </c>
      <c r="C40" s="1215">
        <v>45814</v>
      </c>
      <c r="D40" s="1214" t="s">
        <v>1313</v>
      </c>
      <c r="E40" s="1213">
        <v>300000</v>
      </c>
    </row>
    <row r="41" spans="1:5" ht="10.95" customHeight="1">
      <c r="A41" s="1218" t="s">
        <v>389</v>
      </c>
      <c r="B41" s="1219">
        <v>45908</v>
      </c>
      <c r="C41" s="1219">
        <v>45908</v>
      </c>
      <c r="D41" s="1218" t="s">
        <v>1843</v>
      </c>
      <c r="E41" s="1217">
        <v>767000</v>
      </c>
    </row>
    <row r="42" spans="1:5" ht="10.95" customHeight="1">
      <c r="A42" s="1965" t="s">
        <v>1844</v>
      </c>
      <c r="B42" s="1965"/>
      <c r="C42" s="1965"/>
      <c r="D42" s="1965"/>
      <c r="E42" s="1966">
        <f>SUM(E40:E41)</f>
        <v>1067000</v>
      </c>
    </row>
    <row r="43" spans="1:5" ht="13.35" customHeight="1"/>
    <row r="44" spans="1:5" s="1216" customFormat="1" ht="12.15" customHeight="1">
      <c r="A44" s="1964" t="s">
        <v>1314</v>
      </c>
      <c r="B44" s="1964"/>
      <c r="C44" s="1964"/>
      <c r="D44" s="1964"/>
      <c r="E44" s="1964"/>
    </row>
    <row r="45" spans="1:5" ht="10.95" customHeight="1">
      <c r="A45" s="1214" t="s">
        <v>778</v>
      </c>
      <c r="B45" s="1215">
        <v>45903</v>
      </c>
      <c r="C45" s="1215">
        <v>45903</v>
      </c>
      <c r="D45" s="1214" t="s">
        <v>1845</v>
      </c>
      <c r="E45" s="1213">
        <v>1237302.53</v>
      </c>
    </row>
    <row r="46" spans="1:5" ht="10.95" customHeight="1">
      <c r="A46" s="1965" t="s">
        <v>1846</v>
      </c>
      <c r="B46" s="1965"/>
      <c r="C46" s="1965"/>
      <c r="D46" s="1965"/>
      <c r="E46" s="1966">
        <f>E45</f>
        <v>1237302.53</v>
      </c>
    </row>
    <row r="47" spans="1:5" ht="13.35" customHeight="1"/>
    <row r="48" spans="1:5" s="1216" customFormat="1" ht="12.15" customHeight="1">
      <c r="A48" s="1964" t="s">
        <v>1847</v>
      </c>
      <c r="B48" s="1964"/>
      <c r="C48" s="1964"/>
      <c r="D48" s="1964"/>
      <c r="E48" s="1964"/>
    </row>
    <row r="49" spans="1:5" ht="10.95" customHeight="1">
      <c r="A49" s="1214" t="s">
        <v>1043</v>
      </c>
      <c r="B49" s="1215">
        <v>45881</v>
      </c>
      <c r="C49" s="1215">
        <v>45900</v>
      </c>
      <c r="D49" s="1214" t="s">
        <v>1646</v>
      </c>
      <c r="E49" s="1213">
        <v>15056.19</v>
      </c>
    </row>
    <row r="50" spans="1:5" ht="10.95" customHeight="1">
      <c r="A50" s="1218" t="s">
        <v>1043</v>
      </c>
      <c r="B50" s="1219">
        <v>45897</v>
      </c>
      <c r="C50" s="1219">
        <v>45897</v>
      </c>
      <c r="D50" s="1218" t="s">
        <v>1649</v>
      </c>
      <c r="E50" s="1217">
        <v>14804.6</v>
      </c>
    </row>
    <row r="51" spans="1:5" ht="10.95" customHeight="1">
      <c r="A51" s="1218" t="s">
        <v>1045</v>
      </c>
      <c r="B51" s="1219">
        <v>45900</v>
      </c>
      <c r="C51" s="1219">
        <v>45900</v>
      </c>
      <c r="D51" s="1218" t="s">
        <v>1650</v>
      </c>
      <c r="E51" s="1217">
        <v>36249.599999999999</v>
      </c>
    </row>
    <row r="52" spans="1:5" ht="10.95" customHeight="1">
      <c r="A52" s="1218" t="s">
        <v>1043</v>
      </c>
      <c r="B52" s="1219">
        <v>45916</v>
      </c>
      <c r="C52" s="1219">
        <v>45930</v>
      </c>
      <c r="D52" s="1218" t="s">
        <v>1848</v>
      </c>
      <c r="E52" s="1217">
        <v>15244.27</v>
      </c>
    </row>
    <row r="53" spans="1:5" ht="10.95" customHeight="1">
      <c r="A53" s="1218" t="s">
        <v>1045</v>
      </c>
      <c r="B53" s="1219">
        <v>45930</v>
      </c>
      <c r="C53" s="1219">
        <v>45960</v>
      </c>
      <c r="D53" s="1218" t="s">
        <v>1849</v>
      </c>
      <c r="E53" s="1217">
        <v>67968</v>
      </c>
    </row>
    <row r="54" spans="1:5" ht="10.95" customHeight="1">
      <c r="A54" s="1965" t="s">
        <v>1850</v>
      </c>
      <c r="B54" s="1965"/>
      <c r="C54" s="1965"/>
      <c r="D54" s="1965"/>
      <c r="E54" s="1966">
        <f>SUM(E49:E53)</f>
        <v>149322.66</v>
      </c>
    </row>
    <row r="55" spans="1:5" ht="13.35" customHeight="1"/>
    <row r="56" spans="1:5" s="1216" customFormat="1" ht="12.15" customHeight="1">
      <c r="A56" s="1964" t="s">
        <v>1851</v>
      </c>
      <c r="B56" s="1964"/>
      <c r="C56" s="1964"/>
      <c r="D56" s="1964"/>
      <c r="E56" s="1964"/>
    </row>
    <row r="57" spans="1:5" ht="10.95" customHeight="1">
      <c r="A57" s="1214" t="s">
        <v>1734</v>
      </c>
      <c r="B57" s="1215">
        <v>45929</v>
      </c>
      <c r="C57" s="1215">
        <v>45930</v>
      </c>
      <c r="D57" s="1214" t="s">
        <v>1852</v>
      </c>
      <c r="E57" s="1213">
        <v>354000</v>
      </c>
    </row>
    <row r="58" spans="1:5" ht="10.95" customHeight="1">
      <c r="A58" s="1965" t="s">
        <v>1853</v>
      </c>
      <c r="B58" s="1965"/>
      <c r="C58" s="1965"/>
      <c r="D58" s="1965"/>
      <c r="E58" s="1966">
        <f>E57</f>
        <v>354000</v>
      </c>
    </row>
    <row r="59" spans="1:5" ht="13.35" customHeight="1"/>
    <row r="60" spans="1:5" s="1216" customFormat="1" ht="12.15" customHeight="1">
      <c r="A60" s="1964" t="s">
        <v>892</v>
      </c>
      <c r="B60" s="1964"/>
      <c r="C60" s="1964"/>
      <c r="D60" s="1964"/>
      <c r="E60" s="1964"/>
    </row>
    <row r="61" spans="1:5" ht="10.95" customHeight="1">
      <c r="A61" s="1214" t="s">
        <v>740</v>
      </c>
      <c r="B61" s="1215">
        <v>45908</v>
      </c>
      <c r="C61" s="1215">
        <v>45932</v>
      </c>
      <c r="D61" s="1214" t="s">
        <v>1854</v>
      </c>
      <c r="E61" s="1213">
        <v>23086.7</v>
      </c>
    </row>
    <row r="62" spans="1:5" ht="10.95" customHeight="1">
      <c r="A62" s="1218" t="s">
        <v>1855</v>
      </c>
      <c r="B62" s="1219">
        <v>45915</v>
      </c>
      <c r="C62" s="1219">
        <v>45930</v>
      </c>
      <c r="D62" s="1218" t="s">
        <v>1856</v>
      </c>
      <c r="E62" s="1217">
        <v>94400</v>
      </c>
    </row>
    <row r="63" spans="1:5" ht="10.95" customHeight="1">
      <c r="A63" s="1965" t="s">
        <v>1857</v>
      </c>
      <c r="B63" s="1965"/>
      <c r="C63" s="1965"/>
      <c r="D63" s="1965"/>
      <c r="E63" s="1966">
        <f>SUM(E61:E62)</f>
        <v>117486.7</v>
      </c>
    </row>
    <row r="65" spans="1:7" s="1216" customFormat="1" ht="12.15" customHeight="1">
      <c r="A65" s="1964" t="s">
        <v>868</v>
      </c>
      <c r="B65" s="1964"/>
      <c r="C65" s="1964"/>
      <c r="D65" s="1964"/>
      <c r="E65" s="1964"/>
      <c r="F65" s="1967"/>
      <c r="G65" s="1967"/>
    </row>
    <row r="66" spans="1:7" ht="10.95" customHeight="1">
      <c r="A66" s="1214" t="s">
        <v>856</v>
      </c>
      <c r="B66" s="1215">
        <v>45727</v>
      </c>
      <c r="C66" s="1215">
        <v>45731</v>
      </c>
      <c r="D66" s="1214" t="s">
        <v>1318</v>
      </c>
      <c r="E66" s="1213">
        <v>826</v>
      </c>
    </row>
    <row r="67" spans="1:7" ht="10.95" customHeight="1">
      <c r="A67" s="1218" t="s">
        <v>1254</v>
      </c>
      <c r="B67" s="1219">
        <v>45841</v>
      </c>
      <c r="C67" s="1219">
        <v>45849</v>
      </c>
      <c r="D67" s="1218" t="s">
        <v>1477</v>
      </c>
      <c r="E67" s="1217">
        <v>11000</v>
      </c>
    </row>
    <row r="68" spans="1:7" ht="10.95" customHeight="1">
      <c r="A68" s="1218" t="s">
        <v>1367</v>
      </c>
      <c r="B68" s="1219">
        <v>45856</v>
      </c>
      <c r="C68" s="1219">
        <v>45856</v>
      </c>
      <c r="D68" s="1218" t="s">
        <v>1479</v>
      </c>
      <c r="E68" s="1217">
        <v>213816</v>
      </c>
    </row>
    <row r="69" spans="1:7" ht="10.95" customHeight="1">
      <c r="A69" s="1218" t="s">
        <v>1367</v>
      </c>
      <c r="B69" s="1219">
        <v>45859</v>
      </c>
      <c r="C69" s="1219">
        <v>45859</v>
      </c>
      <c r="D69" s="1218" t="s">
        <v>1481</v>
      </c>
      <c r="E69" s="1217">
        <v>118000</v>
      </c>
    </row>
    <row r="70" spans="1:7" ht="10.95" customHeight="1">
      <c r="A70" s="1218" t="s">
        <v>1207</v>
      </c>
      <c r="B70" s="1219">
        <v>45869</v>
      </c>
      <c r="C70" s="1219">
        <v>45898</v>
      </c>
      <c r="D70" s="1218" t="s">
        <v>1482</v>
      </c>
      <c r="E70" s="1217">
        <v>44132</v>
      </c>
    </row>
    <row r="71" spans="1:7" ht="10.95" customHeight="1">
      <c r="A71" s="1218" t="s">
        <v>1591</v>
      </c>
      <c r="B71" s="1219">
        <v>45870</v>
      </c>
      <c r="C71" s="1219">
        <v>45883</v>
      </c>
      <c r="D71" s="1218" t="s">
        <v>1652</v>
      </c>
      <c r="E71" s="1217">
        <v>29358.400000000001</v>
      </c>
    </row>
    <row r="72" spans="1:7" ht="10.95" customHeight="1">
      <c r="A72" s="1218" t="s">
        <v>1367</v>
      </c>
      <c r="B72" s="1219">
        <v>45875</v>
      </c>
      <c r="C72" s="1219">
        <v>45889</v>
      </c>
      <c r="D72" s="1218" t="s">
        <v>1654</v>
      </c>
      <c r="E72" s="1217">
        <v>870840</v>
      </c>
      <c r="F72" s="400">
        <v>400000</v>
      </c>
      <c r="G72" s="400">
        <f>+E72-F72</f>
        <v>470840</v>
      </c>
    </row>
    <row r="73" spans="1:7" ht="10.95" customHeight="1">
      <c r="A73" s="1218" t="s">
        <v>756</v>
      </c>
      <c r="B73" s="1219">
        <v>45876</v>
      </c>
      <c r="C73" s="1219">
        <v>45890</v>
      </c>
      <c r="D73" s="1218" t="s">
        <v>1655</v>
      </c>
      <c r="E73" s="1217">
        <v>88264</v>
      </c>
    </row>
    <row r="74" spans="1:7" ht="10.95" customHeight="1">
      <c r="A74" s="1218" t="s">
        <v>746</v>
      </c>
      <c r="B74" s="1219">
        <v>45901</v>
      </c>
      <c r="C74" s="1219">
        <v>45930</v>
      </c>
      <c r="D74" s="1218" t="s">
        <v>1858</v>
      </c>
      <c r="E74" s="1217">
        <v>21240</v>
      </c>
    </row>
    <row r="75" spans="1:7" ht="10.95" customHeight="1">
      <c r="A75" s="1218" t="s">
        <v>756</v>
      </c>
      <c r="B75" s="1219">
        <v>45925</v>
      </c>
      <c r="C75" s="1219">
        <v>45955</v>
      </c>
      <c r="D75" s="1218" t="s">
        <v>1859</v>
      </c>
      <c r="E75" s="1217">
        <v>88264</v>
      </c>
    </row>
    <row r="76" spans="1:7" ht="10.95" customHeight="1">
      <c r="A76" s="1218" t="s">
        <v>746</v>
      </c>
      <c r="B76" s="1219">
        <v>45926</v>
      </c>
      <c r="C76" s="1219">
        <v>45954</v>
      </c>
      <c r="D76" s="1218" t="s">
        <v>1323</v>
      </c>
      <c r="E76" s="1217">
        <v>21240</v>
      </c>
    </row>
    <row r="77" spans="1:7" ht="10.95" customHeight="1">
      <c r="A77" s="1965" t="s">
        <v>1860</v>
      </c>
      <c r="B77" s="1965"/>
      <c r="C77" s="1965"/>
      <c r="D77" s="1965"/>
      <c r="E77" s="1966">
        <f>SUM(E66:E76)</f>
        <v>1506980.4</v>
      </c>
    </row>
    <row r="78" spans="1:7" ht="13.35" customHeight="1"/>
    <row r="79" spans="1:7" s="1216" customFormat="1" ht="12.15" customHeight="1">
      <c r="A79" s="1964" t="s">
        <v>1861</v>
      </c>
      <c r="B79" s="1964"/>
      <c r="C79" s="1964"/>
      <c r="D79" s="1964"/>
      <c r="E79" s="1964"/>
      <c r="F79" s="1967"/>
      <c r="G79" s="1967"/>
    </row>
    <row r="80" spans="1:7" ht="10.95" customHeight="1">
      <c r="A80" s="1214" t="s">
        <v>389</v>
      </c>
      <c r="B80" s="1215">
        <v>45874</v>
      </c>
      <c r="C80" s="1215">
        <v>45874</v>
      </c>
      <c r="D80" s="1214" t="s">
        <v>1653</v>
      </c>
      <c r="E80" s="1213">
        <v>144698.68</v>
      </c>
    </row>
    <row r="81" spans="1:5" ht="10.95" customHeight="1">
      <c r="A81" s="1218" t="s">
        <v>389</v>
      </c>
      <c r="B81" s="1219">
        <v>45908</v>
      </c>
      <c r="C81" s="1219">
        <v>45908</v>
      </c>
      <c r="D81" s="1218" t="s">
        <v>1862</v>
      </c>
      <c r="E81" s="1217">
        <v>151167.67999999999</v>
      </c>
    </row>
    <row r="82" spans="1:5" ht="10.95" customHeight="1">
      <c r="A82" s="1965" t="s">
        <v>1863</v>
      </c>
      <c r="B82" s="1965"/>
      <c r="C82" s="1965"/>
      <c r="D82" s="1965"/>
      <c r="E82" s="1966">
        <f>SUM(E80:E81)</f>
        <v>295866.36</v>
      </c>
    </row>
    <row r="83" spans="1:5" ht="13.35" customHeight="1"/>
    <row r="84" spans="1:5" s="1216" customFormat="1" ht="12.15" customHeight="1">
      <c r="A84" s="1964" t="s">
        <v>919</v>
      </c>
      <c r="B84" s="1964"/>
      <c r="C84" s="1964"/>
      <c r="D84" s="1964"/>
      <c r="E84" s="1964"/>
    </row>
    <row r="85" spans="1:5" ht="10.95" customHeight="1">
      <c r="A85" s="1214" t="s">
        <v>1656</v>
      </c>
      <c r="B85" s="1215">
        <v>45889</v>
      </c>
      <c r="C85" s="1215">
        <v>45900</v>
      </c>
      <c r="D85" s="1214" t="s">
        <v>1657</v>
      </c>
      <c r="E85" s="1213">
        <v>82600</v>
      </c>
    </row>
    <row r="86" spans="1:5" ht="10.95" customHeight="1">
      <c r="A86" s="1965" t="s">
        <v>1864</v>
      </c>
      <c r="B86" s="1965"/>
      <c r="C86" s="1965"/>
      <c r="D86" s="1965"/>
      <c r="E86" s="1966">
        <f>E85</f>
        <v>82600</v>
      </c>
    </row>
    <row r="87" spans="1:5" ht="13.35" customHeight="1"/>
    <row r="88" spans="1:5" ht="10.95" customHeight="1">
      <c r="A88" s="1968" t="s">
        <v>164</v>
      </c>
      <c r="B88" s="1968"/>
      <c r="C88" s="1968"/>
      <c r="D88" s="1968"/>
      <c r="E88" s="1969">
        <f>SUM(E11,E18,E22,E28,E32,E37,E42,E46,E54,E58,E63,E77,E82,E86)</f>
        <v>14758568.249999998</v>
      </c>
    </row>
  </sheetData>
  <autoFilter ref="A1:E89" xr:uid="{F9760168-D56F-44A6-AFE2-D5B3F80A5578}"/>
  <pageMargins left="0.7" right="0.7" top="0.75" bottom="0.75" header="0.3" footer="0.3"/>
  <pageSetup paperSize="9" fitToWidth="0" fitToHeight="0" orientation="portrait" horizontalDpi="0" verticalDpi="0"/>
  <legacy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BD777-0645-4A57-A514-52C6A2CD1953}">
  <sheetPr>
    <pageSetUpPr fitToPage="1"/>
  </sheetPr>
  <dimension ref="A1:H72"/>
  <sheetViews>
    <sheetView showGridLines="0" topLeftCell="A71" zoomScaleNormal="100" workbookViewId="0">
      <selection activeCell="G4" sqref="G4"/>
    </sheetView>
  </sheetViews>
  <sheetFormatPr baseColWidth="10" defaultColWidth="8" defaultRowHeight="11.4"/>
  <cols>
    <col min="1" max="1" width="20.6640625" style="408" customWidth="1"/>
    <col min="2" max="2" width="22" style="408" customWidth="1"/>
    <col min="3" max="3" width="41.88671875" style="528" customWidth="1"/>
    <col min="4" max="4" width="14.5546875" style="408" customWidth="1"/>
    <col min="5" max="5" width="12.6640625" style="408" hidden="1" customWidth="1"/>
    <col min="6" max="6" width="13.6640625" style="408" hidden="1" customWidth="1"/>
    <col min="7" max="7" width="13.6640625" style="408" customWidth="1"/>
    <col min="8" max="8" width="13.6640625" style="408" hidden="1" customWidth="1"/>
    <col min="9" max="9" width="9.33203125" style="408" bestFit="1" customWidth="1"/>
    <col min="10" max="16384" width="8" style="408"/>
  </cols>
  <sheetData>
    <row r="1" spans="1:8" s="405" customFormat="1" ht="17.399999999999999">
      <c r="A1" s="404" t="s">
        <v>1865</v>
      </c>
      <c r="B1" s="404"/>
      <c r="C1" s="526"/>
      <c r="D1" s="404"/>
      <c r="E1" s="404"/>
      <c r="F1" s="404"/>
      <c r="G1" s="404"/>
      <c r="H1" s="404"/>
    </row>
    <row r="2" spans="1:8" s="407" customFormat="1" ht="15">
      <c r="A2" s="2151" t="s">
        <v>236</v>
      </c>
      <c r="B2" s="2151"/>
      <c r="C2" s="2151"/>
      <c r="D2" s="2152"/>
      <c r="E2" s="2152"/>
      <c r="F2" s="2152"/>
      <c r="G2" s="2152"/>
      <c r="H2" s="2151"/>
    </row>
    <row r="3" spans="1:8" s="407" customFormat="1" ht="15">
      <c r="A3" s="406" t="s">
        <v>1866</v>
      </c>
      <c r="B3" s="406"/>
      <c r="C3" s="527"/>
      <c r="D3" s="406"/>
      <c r="E3" s="406"/>
      <c r="F3" s="406"/>
      <c r="G3" s="406"/>
      <c r="H3" s="406"/>
    </row>
    <row r="5" spans="1:8" s="412" customFormat="1" ht="13.2">
      <c r="A5" s="410" t="s">
        <v>1485</v>
      </c>
      <c r="B5" s="410" t="s">
        <v>1867</v>
      </c>
      <c r="C5" s="529" t="s">
        <v>817</v>
      </c>
      <c r="D5" s="410" t="s">
        <v>691</v>
      </c>
      <c r="E5" s="411" t="s">
        <v>665</v>
      </c>
      <c r="F5" s="411" t="s">
        <v>666</v>
      </c>
      <c r="G5" s="411" t="s">
        <v>1868</v>
      </c>
      <c r="H5" s="411" t="s">
        <v>1869</v>
      </c>
    </row>
    <row r="7" spans="1:8" s="412" customFormat="1" ht="13.2">
      <c r="A7" s="409" t="s">
        <v>1388</v>
      </c>
      <c r="B7" s="409"/>
      <c r="C7" s="530"/>
      <c r="D7" s="409"/>
      <c r="E7" s="409"/>
      <c r="F7" s="409"/>
      <c r="G7" s="409"/>
      <c r="H7" s="409"/>
    </row>
    <row r="8" spans="1:8">
      <c r="A8" s="429">
        <v>45799</v>
      </c>
      <c r="B8" s="421" t="s">
        <v>1870</v>
      </c>
      <c r="C8" s="531" t="s">
        <v>1488</v>
      </c>
      <c r="D8" s="421" t="s">
        <v>1197</v>
      </c>
      <c r="E8" s="422">
        <v>0</v>
      </c>
      <c r="F8" s="422">
        <v>18016</v>
      </c>
      <c r="G8" s="422">
        <v>18016</v>
      </c>
      <c r="H8" s="422"/>
    </row>
    <row r="9" spans="1:8" ht="12">
      <c r="A9" s="416" t="s">
        <v>33</v>
      </c>
      <c r="B9" s="416"/>
      <c r="C9" s="532"/>
      <c r="D9" s="416"/>
      <c r="E9" s="417">
        <f>E8</f>
        <v>0</v>
      </c>
      <c r="F9" s="417">
        <f>F8</f>
        <v>18016</v>
      </c>
      <c r="G9" s="417">
        <f t="shared" ref="G9:H9" si="0">G8</f>
        <v>18016</v>
      </c>
      <c r="H9" s="417">
        <f t="shared" si="0"/>
        <v>0</v>
      </c>
    </row>
    <row r="11" spans="1:8" s="412" customFormat="1" ht="13.2">
      <c r="A11" s="409" t="s">
        <v>1389</v>
      </c>
      <c r="B11" s="409"/>
      <c r="C11" s="530"/>
      <c r="D11" s="409"/>
      <c r="E11" s="409"/>
      <c r="F11" s="409"/>
      <c r="G11" s="409"/>
      <c r="H11" s="409"/>
    </row>
    <row r="12" spans="1:8">
      <c r="A12" s="430">
        <v>45429</v>
      </c>
      <c r="B12" s="414" t="s">
        <v>1871</v>
      </c>
      <c r="C12" s="414" t="s">
        <v>1491</v>
      </c>
      <c r="D12" s="414" t="s">
        <v>738</v>
      </c>
      <c r="E12" s="415">
        <v>0</v>
      </c>
      <c r="F12" s="415">
        <v>40000</v>
      </c>
      <c r="G12" s="408">
        <v>0</v>
      </c>
      <c r="H12" s="415">
        <v>40000</v>
      </c>
    </row>
    <row r="13" spans="1:8">
      <c r="A13" s="430">
        <v>45469</v>
      </c>
      <c r="B13" s="414" t="s">
        <v>1871</v>
      </c>
      <c r="C13" s="533" t="s">
        <v>1492</v>
      </c>
      <c r="D13" s="414" t="s">
        <v>821</v>
      </c>
      <c r="E13" s="415">
        <v>0</v>
      </c>
      <c r="F13" s="415">
        <v>38250</v>
      </c>
      <c r="G13" s="415">
        <v>38250</v>
      </c>
      <c r="H13" s="415"/>
    </row>
    <row r="14" spans="1:8" ht="22.8">
      <c r="A14" s="430">
        <v>45778</v>
      </c>
      <c r="B14" s="414" t="s">
        <v>1870</v>
      </c>
      <c r="C14" s="533" t="s">
        <v>1493</v>
      </c>
      <c r="D14" s="414" t="s">
        <v>1494</v>
      </c>
      <c r="E14" s="415">
        <v>0</v>
      </c>
      <c r="F14" s="415">
        <v>50670</v>
      </c>
      <c r="G14" s="415">
        <v>50670</v>
      </c>
      <c r="H14" s="415"/>
    </row>
    <row r="15" spans="1:8" ht="22.8">
      <c r="A15" s="430">
        <v>45791</v>
      </c>
      <c r="B15" s="414" t="s">
        <v>1870</v>
      </c>
      <c r="C15" s="533" t="s">
        <v>1493</v>
      </c>
      <c r="D15" s="414" t="s">
        <v>1201</v>
      </c>
      <c r="E15" s="415">
        <v>0</v>
      </c>
      <c r="F15" s="415">
        <v>25335</v>
      </c>
      <c r="G15" s="415">
        <v>25335</v>
      </c>
      <c r="H15" s="415"/>
    </row>
    <row r="16" spans="1:8" ht="22.8">
      <c r="A16" s="430">
        <v>45799</v>
      </c>
      <c r="B16" s="414" t="s">
        <v>1870</v>
      </c>
      <c r="C16" s="533" t="s">
        <v>1493</v>
      </c>
      <c r="D16" s="414" t="s">
        <v>1201</v>
      </c>
      <c r="E16" s="415">
        <v>0</v>
      </c>
      <c r="F16" s="415">
        <v>25335</v>
      </c>
      <c r="G16" s="415">
        <v>25335</v>
      </c>
      <c r="H16" s="415"/>
    </row>
    <row r="17" spans="1:8">
      <c r="A17" s="430">
        <v>45860</v>
      </c>
      <c r="B17" s="414" t="s">
        <v>1871</v>
      </c>
      <c r="C17" s="414" t="s">
        <v>1872</v>
      </c>
      <c r="D17" s="414" t="s">
        <v>1873</v>
      </c>
      <c r="E17" s="415">
        <v>0</v>
      </c>
      <c r="F17" s="415">
        <v>70000</v>
      </c>
      <c r="G17" s="408">
        <v>0</v>
      </c>
      <c r="H17" s="415">
        <v>70000</v>
      </c>
    </row>
    <row r="18" spans="1:8">
      <c r="A18" s="430">
        <v>45915</v>
      </c>
      <c r="B18" s="414" t="s">
        <v>1870</v>
      </c>
      <c r="C18" s="533" t="s">
        <v>1874</v>
      </c>
      <c r="D18" s="414" t="s">
        <v>1630</v>
      </c>
      <c r="E18" s="415">
        <v>0</v>
      </c>
      <c r="F18" s="415">
        <v>38250</v>
      </c>
      <c r="G18" s="415">
        <v>38250</v>
      </c>
      <c r="H18" s="415"/>
    </row>
    <row r="19" spans="1:8" ht="12">
      <c r="A19" s="416" t="s">
        <v>49</v>
      </c>
      <c r="B19" s="416"/>
      <c r="C19" s="532"/>
      <c r="D19" s="416"/>
      <c r="E19" s="417">
        <f>SUM(E12:E18)</f>
        <v>0</v>
      </c>
      <c r="F19" s="417">
        <f>SUM(F12:F18)</f>
        <v>287840</v>
      </c>
      <c r="G19" s="417">
        <f t="shared" ref="G19" si="1">SUM(G12:G18)</f>
        <v>177840</v>
      </c>
      <c r="H19" s="417">
        <f>SUM(H12:H18)</f>
        <v>110000</v>
      </c>
    </row>
    <row r="21" spans="1:8" s="412" customFormat="1" ht="13.2">
      <c r="A21" s="409" t="s">
        <v>1025</v>
      </c>
      <c r="B21" s="409"/>
      <c r="C21" s="530"/>
      <c r="D21" s="409"/>
      <c r="E21" s="409"/>
      <c r="F21" s="409"/>
      <c r="G21" s="409"/>
      <c r="H21" s="409"/>
    </row>
    <row r="22" spans="1:8">
      <c r="A22" s="430">
        <v>45812</v>
      </c>
      <c r="B22" s="414" t="s">
        <v>1870</v>
      </c>
      <c r="C22" s="533" t="s">
        <v>1496</v>
      </c>
      <c r="D22" s="414" t="s">
        <v>1203</v>
      </c>
      <c r="E22" s="415">
        <v>0</v>
      </c>
      <c r="F22" s="415">
        <v>50122.86</v>
      </c>
      <c r="G22" s="415">
        <v>50122.86</v>
      </c>
      <c r="H22" s="415"/>
    </row>
    <row r="23" spans="1:8">
      <c r="A23" s="430">
        <v>45856</v>
      </c>
      <c r="B23" s="414" t="s">
        <v>1871</v>
      </c>
      <c r="C23" s="533" t="s">
        <v>1497</v>
      </c>
      <c r="D23" s="414" t="s">
        <v>1498</v>
      </c>
      <c r="E23" s="415">
        <v>0</v>
      </c>
      <c r="F23" s="415">
        <v>11203.7</v>
      </c>
      <c r="G23" s="415">
        <v>11203.7</v>
      </c>
      <c r="H23" s="415"/>
    </row>
    <row r="24" spans="1:8" ht="12">
      <c r="A24" s="416" t="s">
        <v>1764</v>
      </c>
      <c r="B24" s="416"/>
      <c r="C24" s="532"/>
      <c r="D24" s="416"/>
      <c r="E24" s="417">
        <f>SUM(E22:E23)</f>
        <v>0</v>
      </c>
      <c r="F24" s="417">
        <f>SUM(F22:F23)</f>
        <v>61326.559999999998</v>
      </c>
      <c r="G24" s="417">
        <f t="shared" ref="G24:H24" si="2">SUM(G22:G23)</f>
        <v>61326.559999999998</v>
      </c>
      <c r="H24" s="417">
        <f t="shared" si="2"/>
        <v>0</v>
      </c>
    </row>
    <row r="26" spans="1:8" s="412" customFormat="1" ht="13.2">
      <c r="A26" s="409" t="s">
        <v>1610</v>
      </c>
      <c r="B26" s="409"/>
      <c r="C26" s="530"/>
      <c r="D26" s="409"/>
      <c r="E26" s="409"/>
      <c r="F26" s="409"/>
      <c r="G26" s="409"/>
      <c r="H26" s="409"/>
    </row>
    <row r="27" spans="1:8">
      <c r="A27" s="429">
        <v>45900</v>
      </c>
      <c r="B27" s="421" t="s">
        <v>1870</v>
      </c>
      <c r="C27" s="421" t="s">
        <v>1875</v>
      </c>
      <c r="D27" s="421" t="s">
        <v>1876</v>
      </c>
      <c r="E27" s="422">
        <v>0</v>
      </c>
      <c r="F27" s="422">
        <v>279017.3</v>
      </c>
      <c r="G27" s="422">
        <v>0</v>
      </c>
      <c r="H27" s="422">
        <v>279018.3</v>
      </c>
    </row>
    <row r="28" spans="1:8">
      <c r="A28" s="430">
        <v>45900</v>
      </c>
      <c r="B28" s="414" t="s">
        <v>1870</v>
      </c>
      <c r="C28" s="414" t="s">
        <v>1875</v>
      </c>
      <c r="D28" s="414" t="s">
        <v>1876</v>
      </c>
      <c r="E28" s="415">
        <v>0</v>
      </c>
      <c r="F28" s="415">
        <v>14457.61</v>
      </c>
      <c r="G28" s="415">
        <v>0</v>
      </c>
      <c r="H28" s="415">
        <v>14458.61</v>
      </c>
    </row>
    <row r="29" spans="1:8" ht="12">
      <c r="A29" s="416" t="s">
        <v>1877</v>
      </c>
      <c r="B29" s="416"/>
      <c r="C29" s="416"/>
      <c r="D29" s="416"/>
      <c r="E29" s="417">
        <f>SUM(E27:E28)</f>
        <v>0</v>
      </c>
      <c r="F29" s="417">
        <f>SUM(F27:F28)</f>
        <v>293474.90999999997</v>
      </c>
      <c r="G29" s="417">
        <f t="shared" ref="G29:H29" si="3">SUM(G27:G28)</f>
        <v>0</v>
      </c>
      <c r="H29" s="417">
        <f t="shared" si="3"/>
        <v>293476.90999999997</v>
      </c>
    </row>
    <row r="31" spans="1:8" s="412" customFormat="1" ht="13.2">
      <c r="A31" s="409" t="s">
        <v>1757</v>
      </c>
      <c r="B31" s="409"/>
      <c r="C31" s="530"/>
      <c r="D31" s="409"/>
      <c r="E31" s="409"/>
      <c r="F31" s="409"/>
      <c r="G31" s="409"/>
      <c r="H31" s="409"/>
    </row>
    <row r="32" spans="1:8">
      <c r="A32" s="429">
        <v>45812</v>
      </c>
      <c r="B32" s="421" t="s">
        <v>1870</v>
      </c>
      <c r="C32" s="531" t="s">
        <v>1505</v>
      </c>
      <c r="D32" s="421" t="s">
        <v>1211</v>
      </c>
      <c r="E32" s="422">
        <v>0</v>
      </c>
      <c r="F32" s="422">
        <v>12761.28</v>
      </c>
      <c r="G32" s="422">
        <v>12761.28</v>
      </c>
      <c r="H32" s="422"/>
    </row>
    <row r="33" spans="1:8" ht="12">
      <c r="A33" s="416" t="s">
        <v>1878</v>
      </c>
      <c r="B33" s="416"/>
      <c r="C33" s="532"/>
      <c r="D33" s="416"/>
      <c r="E33" s="417">
        <f>E32</f>
        <v>0</v>
      </c>
      <c r="F33" s="417">
        <f>F32</f>
        <v>12761.28</v>
      </c>
      <c r="G33" s="417">
        <f t="shared" ref="G33:H33" si="4">G32</f>
        <v>12761.28</v>
      </c>
      <c r="H33" s="417">
        <f t="shared" si="4"/>
        <v>0</v>
      </c>
    </row>
    <row r="35" spans="1:8" s="412" customFormat="1" ht="13.2">
      <c r="A35" s="409" t="s">
        <v>855</v>
      </c>
      <c r="B35" s="409"/>
      <c r="C35" s="530"/>
      <c r="D35" s="409"/>
      <c r="E35" s="409"/>
      <c r="F35" s="409"/>
      <c r="G35" s="409"/>
      <c r="H35" s="409"/>
    </row>
    <row r="36" spans="1:8">
      <c r="A36" s="429">
        <v>45826</v>
      </c>
      <c r="B36" s="421" t="s">
        <v>1870</v>
      </c>
      <c r="C36" s="531" t="s">
        <v>1507</v>
      </c>
      <c r="D36" s="421" t="s">
        <v>1319</v>
      </c>
      <c r="E36" s="422">
        <v>0</v>
      </c>
      <c r="F36" s="422">
        <v>135978.59</v>
      </c>
      <c r="G36" s="422">
        <v>135978.59</v>
      </c>
      <c r="H36" s="422"/>
    </row>
    <row r="37" spans="1:8">
      <c r="A37" s="430">
        <v>45861</v>
      </c>
      <c r="B37" s="414" t="s">
        <v>1870</v>
      </c>
      <c r="C37" s="533" t="s">
        <v>1507</v>
      </c>
      <c r="D37" s="414" t="s">
        <v>1512</v>
      </c>
      <c r="E37" s="415">
        <v>0</v>
      </c>
      <c r="F37" s="415">
        <v>171165.39</v>
      </c>
      <c r="G37" s="415">
        <v>171165.39</v>
      </c>
      <c r="H37" s="415"/>
    </row>
    <row r="38" spans="1:8">
      <c r="A38" s="430">
        <v>45894</v>
      </c>
      <c r="B38" s="414" t="s">
        <v>1870</v>
      </c>
      <c r="C38" s="533" t="s">
        <v>1507</v>
      </c>
      <c r="D38" s="414" t="s">
        <v>1664</v>
      </c>
      <c r="E38" s="415">
        <v>0</v>
      </c>
      <c r="F38" s="415">
        <v>189666.62</v>
      </c>
      <c r="G38" s="415">
        <v>189666.62</v>
      </c>
      <c r="H38" s="415"/>
    </row>
    <row r="39" spans="1:8">
      <c r="A39" s="430">
        <v>45925</v>
      </c>
      <c r="B39" s="414" t="s">
        <v>1870</v>
      </c>
      <c r="C39" s="414" t="s">
        <v>1507</v>
      </c>
      <c r="D39" s="414" t="s">
        <v>1879</v>
      </c>
      <c r="E39" s="415">
        <v>0</v>
      </c>
      <c r="F39" s="415">
        <v>89554.5</v>
      </c>
      <c r="G39" s="415">
        <v>0</v>
      </c>
      <c r="H39" s="415">
        <v>89555.5</v>
      </c>
    </row>
    <row r="40" spans="1:8" ht="12">
      <c r="A40" s="416" t="s">
        <v>1880</v>
      </c>
      <c r="B40" s="416"/>
      <c r="C40" s="532"/>
      <c r="D40" s="416"/>
      <c r="E40" s="417">
        <f>SUM(E36:E39)</f>
        <v>0</v>
      </c>
      <c r="F40" s="417">
        <f>SUM(F36:F39)</f>
        <v>586365.1</v>
      </c>
      <c r="G40" s="417">
        <f t="shared" ref="G40:H40" si="5">SUM(G36:G39)</f>
        <v>496810.6</v>
      </c>
      <c r="H40" s="417">
        <f t="shared" si="5"/>
        <v>89555.5</v>
      </c>
    </row>
    <row r="42" spans="1:8" s="412" customFormat="1" ht="13.2">
      <c r="A42" s="409" t="s">
        <v>858</v>
      </c>
      <c r="B42" s="409"/>
      <c r="C42" s="530"/>
      <c r="D42" s="409"/>
      <c r="E42" s="409"/>
      <c r="F42" s="409"/>
      <c r="G42" s="409"/>
      <c r="H42" s="409"/>
    </row>
    <row r="43" spans="1:8">
      <c r="A43" s="429">
        <v>45653</v>
      </c>
      <c r="B43" s="421" t="s">
        <v>1870</v>
      </c>
      <c r="C43" s="531" t="s">
        <v>1500</v>
      </c>
      <c r="D43" s="421" t="s">
        <v>1317</v>
      </c>
      <c r="E43" s="422">
        <v>0</v>
      </c>
      <c r="F43" s="422">
        <v>16250</v>
      </c>
      <c r="H43" s="422">
        <v>16250</v>
      </c>
    </row>
    <row r="44" spans="1:8">
      <c r="A44" s="430">
        <v>45785</v>
      </c>
      <c r="B44" s="414" t="s">
        <v>1870</v>
      </c>
      <c r="C44" s="533" t="s">
        <v>1501</v>
      </c>
      <c r="D44" s="414" t="s">
        <v>1206</v>
      </c>
      <c r="E44" s="415">
        <v>0</v>
      </c>
      <c r="F44" s="415">
        <v>47329.17</v>
      </c>
      <c r="G44" s="415">
        <v>47329.17</v>
      </c>
      <c r="H44" s="415"/>
    </row>
    <row r="45" spans="1:8">
      <c r="A45" s="430">
        <v>45800</v>
      </c>
      <c r="B45" s="414" t="s">
        <v>1870</v>
      </c>
      <c r="C45" s="533" t="s">
        <v>1501</v>
      </c>
      <c r="D45" s="414" t="s">
        <v>1206</v>
      </c>
      <c r="E45" s="415">
        <v>0</v>
      </c>
      <c r="F45" s="415">
        <v>31552.79</v>
      </c>
      <c r="G45" s="415">
        <v>31552.79</v>
      </c>
      <c r="H45" s="415"/>
    </row>
    <row r="46" spans="1:8">
      <c r="A46" s="430">
        <v>45809</v>
      </c>
      <c r="B46" s="414" t="s">
        <v>1871</v>
      </c>
      <c r="C46" s="533" t="s">
        <v>1502</v>
      </c>
      <c r="D46" s="414" t="s">
        <v>1503</v>
      </c>
      <c r="E46" s="415">
        <v>0</v>
      </c>
      <c r="F46" s="415">
        <v>29859.9</v>
      </c>
      <c r="G46" s="415">
        <v>29859.9</v>
      </c>
      <c r="H46" s="415"/>
    </row>
    <row r="47" spans="1:8">
      <c r="A47" s="430">
        <v>45812</v>
      </c>
      <c r="B47" s="414" t="s">
        <v>1870</v>
      </c>
      <c r="C47" s="533" t="s">
        <v>1501</v>
      </c>
      <c r="D47" s="414" t="s">
        <v>1504</v>
      </c>
      <c r="E47" s="415">
        <v>0</v>
      </c>
      <c r="F47" s="415">
        <v>48000</v>
      </c>
      <c r="G47" s="415">
        <v>48000</v>
      </c>
      <c r="H47" s="415"/>
    </row>
    <row r="48" spans="1:8">
      <c r="A48" s="430">
        <v>45812</v>
      </c>
      <c r="B48" s="414" t="s">
        <v>1870</v>
      </c>
      <c r="C48" s="533" t="s">
        <v>1506</v>
      </c>
      <c r="D48" s="414" t="s">
        <v>1205</v>
      </c>
      <c r="E48" s="415">
        <v>0</v>
      </c>
      <c r="F48" s="415">
        <v>21240</v>
      </c>
      <c r="G48" s="415">
        <v>21240</v>
      </c>
      <c r="H48" s="415"/>
    </row>
    <row r="49" spans="1:8">
      <c r="A49" s="430">
        <v>45821</v>
      </c>
      <c r="B49" s="414" t="s">
        <v>1870</v>
      </c>
      <c r="C49" s="533" t="s">
        <v>1501</v>
      </c>
      <c r="D49" s="414" t="s">
        <v>1328</v>
      </c>
      <c r="E49" s="415">
        <v>0</v>
      </c>
      <c r="F49" s="415">
        <v>93546.76</v>
      </c>
      <c r="G49" s="415">
        <v>93546.76</v>
      </c>
      <c r="H49" s="415"/>
    </row>
    <row r="50" spans="1:8">
      <c r="A50" s="430">
        <v>45834</v>
      </c>
      <c r="B50" s="414" t="s">
        <v>1870</v>
      </c>
      <c r="C50" s="533" t="s">
        <v>1501</v>
      </c>
      <c r="D50" s="414" t="s">
        <v>1328</v>
      </c>
      <c r="E50" s="415">
        <v>0</v>
      </c>
      <c r="F50" s="415">
        <v>62363.360000000001</v>
      </c>
      <c r="G50" s="415">
        <v>62363.360000000001</v>
      </c>
      <c r="H50" s="415"/>
    </row>
    <row r="51" spans="1:8">
      <c r="A51" s="430">
        <v>45846</v>
      </c>
      <c r="B51" s="414" t="s">
        <v>1870</v>
      </c>
      <c r="C51" s="533" t="s">
        <v>1501</v>
      </c>
      <c r="D51" s="414" t="s">
        <v>1504</v>
      </c>
      <c r="E51" s="415">
        <v>0</v>
      </c>
      <c r="F51" s="415">
        <v>32000</v>
      </c>
      <c r="G51" s="415">
        <v>32000</v>
      </c>
      <c r="H51" s="415"/>
    </row>
    <row r="52" spans="1:8">
      <c r="A52" s="430">
        <v>45869</v>
      </c>
      <c r="B52" s="414" t="s">
        <v>1871</v>
      </c>
      <c r="C52" s="533" t="s">
        <v>1881</v>
      </c>
      <c r="D52" s="414" t="s">
        <v>1882</v>
      </c>
      <c r="E52" s="415">
        <v>0</v>
      </c>
      <c r="F52" s="415">
        <v>20000</v>
      </c>
      <c r="G52" s="415">
        <v>20000</v>
      </c>
      <c r="H52" s="415"/>
    </row>
    <row r="53" spans="1:8" ht="22.8">
      <c r="A53" s="430">
        <v>45874</v>
      </c>
      <c r="B53" s="414" t="s">
        <v>1870</v>
      </c>
      <c r="C53" s="533" t="s">
        <v>1665</v>
      </c>
      <c r="D53" s="414" t="s">
        <v>1666</v>
      </c>
      <c r="E53" s="415">
        <v>0</v>
      </c>
      <c r="F53" s="415">
        <v>95674.4</v>
      </c>
      <c r="G53" s="415">
        <v>95674.4</v>
      </c>
      <c r="H53" s="415"/>
    </row>
    <row r="54" spans="1:8" ht="12">
      <c r="A54" s="416" t="s">
        <v>1883</v>
      </c>
      <c r="B54" s="416"/>
      <c r="C54" s="532"/>
      <c r="D54" s="416"/>
      <c r="E54" s="417">
        <f>SUM(E43:E53)</f>
        <v>0</v>
      </c>
      <c r="F54" s="417">
        <f>SUM(F43:F53)</f>
        <v>497816.38</v>
      </c>
      <c r="G54" s="417">
        <f t="shared" ref="G54:H54" si="6">SUM(G43:G53)</f>
        <v>481566.38</v>
      </c>
      <c r="H54" s="417">
        <f t="shared" si="6"/>
        <v>16250</v>
      </c>
    </row>
    <row r="56" spans="1:8" s="412" customFormat="1" ht="13.2">
      <c r="A56" s="409" t="s">
        <v>860</v>
      </c>
      <c r="B56" s="409"/>
      <c r="C56" s="530"/>
      <c r="D56" s="409"/>
      <c r="E56" s="409"/>
      <c r="F56" s="409"/>
      <c r="G56" s="409"/>
      <c r="H56" s="409"/>
    </row>
    <row r="57" spans="1:8">
      <c r="A57" s="430">
        <v>45747</v>
      </c>
      <c r="B57" s="414" t="s">
        <v>1871</v>
      </c>
      <c r="C57" s="414" t="s">
        <v>1884</v>
      </c>
      <c r="D57" s="414" t="s">
        <v>1885</v>
      </c>
      <c r="E57" s="415">
        <v>0</v>
      </c>
      <c r="F57" s="415">
        <v>5000</v>
      </c>
      <c r="G57" s="408">
        <v>0</v>
      </c>
      <c r="H57" s="415">
        <v>5000</v>
      </c>
    </row>
    <row r="58" spans="1:8">
      <c r="A58" s="430">
        <v>45747</v>
      </c>
      <c r="B58" s="414" t="s">
        <v>1871</v>
      </c>
      <c r="C58" s="414" t="s">
        <v>1884</v>
      </c>
      <c r="D58" s="414" t="s">
        <v>1886</v>
      </c>
      <c r="E58" s="415">
        <v>0</v>
      </c>
      <c r="F58" s="415">
        <v>5000</v>
      </c>
      <c r="G58" s="408">
        <v>0</v>
      </c>
      <c r="H58" s="415">
        <v>5000</v>
      </c>
    </row>
    <row r="59" spans="1:8" ht="22.8">
      <c r="A59" s="430">
        <v>45783</v>
      </c>
      <c r="B59" s="414" t="s">
        <v>1870</v>
      </c>
      <c r="C59" s="533" t="s">
        <v>1519</v>
      </c>
      <c r="D59" s="414" t="s">
        <v>1329</v>
      </c>
      <c r="E59" s="415">
        <v>0</v>
      </c>
      <c r="F59" s="415">
        <v>77442</v>
      </c>
      <c r="G59" s="415">
        <v>77442</v>
      </c>
      <c r="H59" s="415"/>
    </row>
    <row r="60" spans="1:8" ht="22.8">
      <c r="A60" s="430">
        <v>45826</v>
      </c>
      <c r="B60" s="414" t="s">
        <v>1870</v>
      </c>
      <c r="C60" s="533" t="s">
        <v>1520</v>
      </c>
      <c r="D60" s="414" t="s">
        <v>1330</v>
      </c>
      <c r="E60" s="415">
        <v>0</v>
      </c>
      <c r="F60" s="415">
        <v>352775.8</v>
      </c>
      <c r="G60" s="415">
        <v>352775.8</v>
      </c>
      <c r="H60" s="415"/>
    </row>
    <row r="61" spans="1:8">
      <c r="A61" s="430">
        <v>45883</v>
      </c>
      <c r="B61" s="414" t="s">
        <v>1870</v>
      </c>
      <c r="C61" s="533" t="s">
        <v>1667</v>
      </c>
      <c r="D61" s="414" t="s">
        <v>1668</v>
      </c>
      <c r="E61" s="415">
        <v>0</v>
      </c>
      <c r="F61" s="415">
        <v>21660</v>
      </c>
      <c r="G61" s="415">
        <v>21660</v>
      </c>
      <c r="H61" s="415"/>
    </row>
    <row r="62" spans="1:8">
      <c r="A62" s="430">
        <v>45883</v>
      </c>
      <c r="B62" s="414" t="s">
        <v>1870</v>
      </c>
      <c r="C62" s="533" t="s">
        <v>1669</v>
      </c>
      <c r="D62" s="414" t="s">
        <v>1670</v>
      </c>
      <c r="E62" s="415">
        <v>0</v>
      </c>
      <c r="F62" s="415">
        <v>1425.03</v>
      </c>
      <c r="G62" s="415">
        <v>1425.03</v>
      </c>
      <c r="H62" s="415"/>
    </row>
    <row r="63" spans="1:8">
      <c r="A63" s="430">
        <v>45887</v>
      </c>
      <c r="B63" s="414" t="s">
        <v>1870</v>
      </c>
      <c r="C63" s="414" t="s">
        <v>1520</v>
      </c>
      <c r="D63" s="414" t="s">
        <v>1671</v>
      </c>
      <c r="E63" s="415">
        <v>0</v>
      </c>
      <c r="F63" s="415">
        <v>42225</v>
      </c>
      <c r="G63" s="408">
        <v>0</v>
      </c>
      <c r="H63" s="415">
        <v>42225</v>
      </c>
    </row>
    <row r="64" spans="1:8">
      <c r="A64" s="430">
        <v>45887</v>
      </c>
      <c r="B64" s="414" t="s">
        <v>1870</v>
      </c>
      <c r="C64" s="414" t="s">
        <v>1520</v>
      </c>
      <c r="D64" s="414" t="s">
        <v>1671</v>
      </c>
      <c r="E64" s="415">
        <v>0</v>
      </c>
      <c r="F64" s="415">
        <v>59818.75</v>
      </c>
      <c r="G64" s="408">
        <v>0</v>
      </c>
      <c r="H64" s="415">
        <v>59818.75</v>
      </c>
    </row>
    <row r="65" spans="1:8">
      <c r="A65" s="430">
        <v>45887</v>
      </c>
      <c r="B65" s="414" t="s">
        <v>1871</v>
      </c>
      <c r="C65" s="414" t="s">
        <v>1672</v>
      </c>
      <c r="D65" s="414" t="s">
        <v>1673</v>
      </c>
      <c r="E65" s="415">
        <v>0</v>
      </c>
      <c r="F65" s="415">
        <v>284315</v>
      </c>
      <c r="G65" s="408">
        <v>0</v>
      </c>
      <c r="H65" s="415">
        <v>284315</v>
      </c>
    </row>
    <row r="66" spans="1:8">
      <c r="A66" s="430">
        <v>45916</v>
      </c>
      <c r="B66" s="414" t="s">
        <v>1870</v>
      </c>
      <c r="C66" s="414" t="s">
        <v>1669</v>
      </c>
      <c r="D66" s="414" t="s">
        <v>1887</v>
      </c>
      <c r="E66" s="415">
        <v>0</v>
      </c>
      <c r="F66" s="415">
        <v>21611.01</v>
      </c>
      <c r="G66" s="408">
        <v>0</v>
      </c>
      <c r="H66" s="415">
        <v>21611.01</v>
      </c>
    </row>
    <row r="67" spans="1:8">
      <c r="A67" s="430">
        <v>45923</v>
      </c>
      <c r="B67" s="414" t="s">
        <v>1870</v>
      </c>
      <c r="C67" s="414" t="s">
        <v>1888</v>
      </c>
      <c r="D67" s="414" t="s">
        <v>1889</v>
      </c>
      <c r="E67" s="415">
        <v>0</v>
      </c>
      <c r="F67" s="415">
        <v>10000</v>
      </c>
      <c r="G67" s="408">
        <v>0</v>
      </c>
      <c r="H67" s="415">
        <v>10000</v>
      </c>
    </row>
    <row r="68" spans="1:8" ht="12">
      <c r="A68" s="416" t="s">
        <v>1890</v>
      </c>
      <c r="B68" s="416"/>
      <c r="C68" s="532"/>
      <c r="D68" s="416"/>
      <c r="E68" s="417">
        <f>SUM(E57:E67)</f>
        <v>0</v>
      </c>
      <c r="F68" s="417">
        <f>SUM(F57:F67)</f>
        <v>881272.59000000008</v>
      </c>
      <c r="G68" s="417">
        <f t="shared" ref="G68:H68" si="7">SUM(G57:G67)</f>
        <v>453302.83</v>
      </c>
      <c r="H68" s="417">
        <f t="shared" si="7"/>
        <v>427969.76</v>
      </c>
    </row>
    <row r="70" spans="1:8" ht="12">
      <c r="A70" s="419" t="s">
        <v>164</v>
      </c>
      <c r="B70" s="419"/>
      <c r="C70" s="534"/>
      <c r="D70" s="419"/>
      <c r="E70" s="420"/>
      <c r="F70" s="420">
        <f>SUM(F9,F19,F24,F29,F33,F40,F54,F68)</f>
        <v>2638872.8200000003</v>
      </c>
      <c r="G70" s="420">
        <f t="shared" ref="G70:H70" si="8">SUM(G9,G19,G24,G29,G33,G40,G54,G68)</f>
        <v>1701623.65</v>
      </c>
      <c r="H70" s="420">
        <f t="shared" si="8"/>
        <v>937252.16999999993</v>
      </c>
    </row>
    <row r="71" spans="1:8">
      <c r="F71" s="400">
        <f>+'BCE 09-25'!C33+'BCE 09-25'!C35</f>
        <v>2641697.62</v>
      </c>
      <c r="G71" s="400">
        <v>2641697.62</v>
      </c>
      <c r="H71" s="400">
        <v>2641698.62</v>
      </c>
    </row>
    <row r="72" spans="1:8">
      <c r="F72" s="400">
        <f>+F70-F71</f>
        <v>-2824.7999999998137</v>
      </c>
      <c r="G72" s="400">
        <v>-394.79999999981374</v>
      </c>
      <c r="H72" s="400">
        <v>-393.79999999981402</v>
      </c>
    </row>
  </sheetData>
  <autoFilter ref="A1:H72" xr:uid="{21EBD777-0645-4A57-A514-52C6A2CD1953}"/>
  <mergeCells count="1">
    <mergeCell ref="A2:H2"/>
  </mergeCells>
  <pageMargins left="0.7" right="0.7" top="0.75" bottom="0.75" header="0.3" footer="0.3"/>
  <pageSetup scale="75" orientation="portrait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DFEA3-A93D-49EB-BF22-A1E60DD739C6}">
  <sheetPr>
    <pageSetUpPr autoPageBreaks="0" fitToPage="1"/>
  </sheetPr>
  <dimension ref="B1:X35"/>
  <sheetViews>
    <sheetView showGridLines="0" topLeftCell="A10" zoomScale="120" zoomScaleNormal="120" zoomScalePageLayoutView="125" workbookViewId="0">
      <selection activeCell="D22" sqref="D22"/>
    </sheetView>
  </sheetViews>
  <sheetFormatPr baseColWidth="10" defaultColWidth="2.6640625" defaultRowHeight="13.8"/>
  <cols>
    <col min="1" max="1" width="1.33203125" style="1173" customWidth="1"/>
    <col min="2" max="2" width="26.6640625" style="1173" customWidth="1"/>
    <col min="3" max="3" width="15" style="1177" bestFit="1" customWidth="1"/>
    <col min="4" max="5" width="15.5546875" style="1173" customWidth="1"/>
    <col min="6" max="7" width="13.6640625" style="1173" customWidth="1"/>
    <col min="8" max="8" width="12.6640625" style="1173" customWidth="1"/>
    <col min="9" max="9" width="12.5546875" style="1173" customWidth="1"/>
    <col min="10" max="10" width="10.5546875" style="1173" customWidth="1"/>
    <col min="11" max="11" width="11.33203125" style="1173" customWidth="1"/>
    <col min="12" max="12" width="10.5546875" style="1173" customWidth="1"/>
    <col min="13" max="14" width="11.44140625" style="1173" customWidth="1"/>
    <col min="15" max="16" width="12.44140625" style="1173" customWidth="1"/>
    <col min="17" max="17" width="12.5546875" style="1173" customWidth="1"/>
    <col min="18" max="23" width="12.44140625" style="1173" customWidth="1"/>
    <col min="24" max="24" width="13.88671875" style="1173" bestFit="1" customWidth="1"/>
    <col min="25" max="16384" width="2.6640625" style="1173"/>
  </cols>
  <sheetData>
    <row r="1" spans="2:24" ht="23.4">
      <c r="B1" s="1175" t="s">
        <v>1891</v>
      </c>
      <c r="C1" s="1176"/>
      <c r="F1" s="1257" t="s">
        <v>1892</v>
      </c>
    </row>
    <row r="2" spans="2:24" ht="9.6" customHeight="1">
      <c r="B2" s="1179"/>
      <c r="C2" s="1180"/>
      <c r="F2" s="1181"/>
      <c r="G2" s="1181"/>
    </row>
    <row r="3" spans="2:24" ht="28.8">
      <c r="B3" s="2153" t="s">
        <v>1893</v>
      </c>
      <c r="C3" s="2153"/>
      <c r="D3" s="1970" t="s">
        <v>1894</v>
      </c>
      <c r="E3" s="1971"/>
    </row>
    <row r="4" spans="2:24" s="1183" customFormat="1" ht="12">
      <c r="B4" s="1184" t="s">
        <v>29</v>
      </c>
      <c r="C4" s="1184" t="s">
        <v>1895</v>
      </c>
      <c r="D4" s="1184" t="s">
        <v>1896</v>
      </c>
      <c r="E4" s="1401"/>
      <c r="F4" s="1401"/>
      <c r="G4" s="1184"/>
      <c r="H4" s="1185"/>
      <c r="I4" s="1185"/>
      <c r="J4" s="1185" t="s">
        <v>1897</v>
      </c>
      <c r="K4" s="1185">
        <v>45658</v>
      </c>
      <c r="L4" s="1185">
        <v>45689</v>
      </c>
      <c r="M4" s="1185">
        <v>45717</v>
      </c>
      <c r="N4" s="1185">
        <v>45748</v>
      </c>
      <c r="O4" s="1185">
        <v>45778</v>
      </c>
      <c r="P4" s="1185">
        <v>45809</v>
      </c>
      <c r="Q4" s="1185">
        <v>45839</v>
      </c>
      <c r="R4" s="1185">
        <v>45870</v>
      </c>
      <c r="S4" s="1185">
        <v>45901</v>
      </c>
      <c r="T4" s="1185">
        <v>45931</v>
      </c>
      <c r="U4" s="1185">
        <v>45962</v>
      </c>
      <c r="V4" s="1185">
        <v>45992</v>
      </c>
      <c r="W4" s="1185">
        <v>46023</v>
      </c>
      <c r="X4" s="1184" t="s">
        <v>1898</v>
      </c>
    </row>
    <row r="5" spans="2:24" s="1183" customFormat="1" ht="12.6" thickBot="1">
      <c r="B5" s="1261" t="s">
        <v>1899</v>
      </c>
      <c r="C5" s="1258">
        <v>462</v>
      </c>
      <c r="D5" s="1402">
        <f>SUM(J5:S5)</f>
        <v>76</v>
      </c>
      <c r="E5" s="1264"/>
      <c r="F5" s="1259"/>
      <c r="G5" s="1259"/>
      <c r="P5" s="1183">
        <v>3</v>
      </c>
      <c r="Q5" s="1183">
        <v>29</v>
      </c>
      <c r="R5" s="1183">
        <v>20</v>
      </c>
      <c r="S5" s="1260">
        <v>24</v>
      </c>
      <c r="T5" s="1260"/>
      <c r="U5" s="1260"/>
      <c r="V5" s="1260"/>
      <c r="W5" s="1260"/>
      <c r="X5" s="1384">
        <f>+C5-D5</f>
        <v>386</v>
      </c>
    </row>
    <row r="6" spans="2:24" s="1183" customFormat="1" ht="12.6" thickBot="1">
      <c r="B6" s="1266" t="s">
        <v>1900</v>
      </c>
      <c r="C6" s="1373">
        <f>+'ADI 09-25'!D50</f>
        <v>68068862.399999991</v>
      </c>
      <c r="D6" s="1403">
        <f>SUM(J6:S6)</f>
        <v>13885050</v>
      </c>
      <c r="E6" s="1373"/>
      <c r="F6" s="1186"/>
      <c r="G6" s="1186"/>
      <c r="H6" s="1187"/>
      <c r="I6" s="1362"/>
      <c r="J6" s="1405"/>
      <c r="K6" s="1405">
        <v>138050</v>
      </c>
      <c r="L6" s="1405"/>
      <c r="M6" s="1405"/>
      <c r="N6" s="1405">
        <v>403450</v>
      </c>
      <c r="O6" s="1405">
        <v>3464300</v>
      </c>
      <c r="P6" s="1405">
        <v>1453610</v>
      </c>
      <c r="Q6" s="1405">
        <v>3115440</v>
      </c>
      <c r="R6" s="1405">
        <v>2848600</v>
      </c>
      <c r="S6" s="1406">
        <v>2461600</v>
      </c>
      <c r="T6" s="1364"/>
      <c r="U6" s="1364"/>
      <c r="V6" s="1364"/>
      <c r="W6" s="1364"/>
      <c r="X6" s="1364">
        <f>+C6-D6</f>
        <v>54183812.399999991</v>
      </c>
    </row>
    <row r="7" spans="2:24" s="1183" customFormat="1" ht="12.6" thickBot="1">
      <c r="B7" s="1407" t="s">
        <v>1901</v>
      </c>
      <c r="C7" s="1373"/>
      <c r="D7" s="1403"/>
      <c r="E7" s="1373"/>
      <c r="F7" s="1186"/>
      <c r="G7" s="1186"/>
      <c r="H7" s="1187"/>
      <c r="I7" s="1362"/>
      <c r="J7" s="1405"/>
      <c r="K7" s="1405"/>
      <c r="L7" s="1405"/>
      <c r="M7" s="1405"/>
      <c r="N7" s="1405"/>
      <c r="O7" s="1405"/>
      <c r="P7" s="1405"/>
      <c r="Q7" s="1405"/>
      <c r="R7" s="1405"/>
      <c r="S7" s="1406"/>
      <c r="T7" s="1364"/>
      <c r="U7" s="1364"/>
      <c r="V7" s="1364"/>
      <c r="W7" s="1364"/>
      <c r="X7" s="1364"/>
    </row>
    <row r="8" spans="2:24" s="1183" customFormat="1" ht="12.6" thickBot="1">
      <c r="B8" s="1262" t="s">
        <v>1902</v>
      </c>
      <c r="C8" s="1365">
        <f>+'ADI 09-25'!C50</f>
        <v>4152200606.3999996</v>
      </c>
      <c r="D8" s="1404">
        <f>SUM(J8:S8)</f>
        <v>76880590.930000007</v>
      </c>
      <c r="E8" s="1365"/>
      <c r="F8" s="1263">
        <f>+D8</f>
        <v>76880590.930000007</v>
      </c>
      <c r="G8" s="1263"/>
      <c r="H8" s="1265"/>
      <c r="I8" s="1363"/>
      <c r="J8" s="1374">
        <v>597566.75</v>
      </c>
      <c r="K8" s="1374">
        <v>123420.98</v>
      </c>
      <c r="L8" s="1374">
        <v>-123572.38</v>
      </c>
      <c r="M8" s="1374">
        <v>61261.19</v>
      </c>
      <c r="N8" s="1374">
        <v>3006924.23</v>
      </c>
      <c r="O8" s="1374">
        <v>6287923.8600000003</v>
      </c>
      <c r="P8" s="1374">
        <v>12848147.640000001</v>
      </c>
      <c r="Q8" s="1374">
        <v>18376055.530000001</v>
      </c>
      <c r="R8" s="1374">
        <v>16465115.92</v>
      </c>
      <c r="S8" s="1375">
        <v>19237747.210000001</v>
      </c>
      <c r="T8" s="1366"/>
      <c r="U8" s="1366"/>
      <c r="V8" s="1366"/>
      <c r="W8" s="1366"/>
      <c r="X8" s="1366">
        <f>+C8-D8</f>
        <v>4075320015.4699998</v>
      </c>
    </row>
    <row r="9" spans="2:24" s="1183" customFormat="1" ht="15" customHeight="1" thickBot="1">
      <c r="B9" s="1262" t="s">
        <v>1903</v>
      </c>
      <c r="C9" s="1225"/>
      <c r="D9" s="1226"/>
      <c r="E9" s="1226"/>
      <c r="F9" s="1226"/>
      <c r="G9" s="1226"/>
      <c r="J9" s="1189"/>
      <c r="K9" s="1189"/>
      <c r="L9" s="1189"/>
      <c r="M9" s="1189"/>
      <c r="N9" s="1189"/>
      <c r="O9" s="1189"/>
      <c r="P9" s="1189"/>
      <c r="Q9" s="1189"/>
      <c r="R9" s="1189"/>
      <c r="S9" s="1189"/>
      <c r="T9" s="1189"/>
      <c r="U9" s="1189"/>
      <c r="V9" s="1189"/>
      <c r="W9" s="1189"/>
      <c r="X9" s="1189"/>
    </row>
    <row r="10" spans="2:24" s="1183" customFormat="1" ht="12">
      <c r="C10" s="1188"/>
      <c r="D10" s="2155" t="s">
        <v>1904</v>
      </c>
      <c r="E10" s="2156"/>
      <c r="F10" s="2156"/>
      <c r="G10" s="2156"/>
      <c r="H10" s="2156"/>
      <c r="I10" s="2157"/>
      <c r="J10" s="1189"/>
      <c r="K10" s="1189"/>
      <c r="L10" s="1189"/>
      <c r="M10" s="1189"/>
      <c r="N10" s="1189"/>
      <c r="O10" s="1189"/>
      <c r="P10" s="1189"/>
      <c r="Q10" s="1189"/>
      <c r="R10" s="1189"/>
      <c r="S10" s="1189"/>
      <c r="T10" s="1189"/>
      <c r="U10" s="1189"/>
      <c r="V10" s="1189"/>
      <c r="W10" s="1189"/>
      <c r="X10" s="1189"/>
    </row>
    <row r="11" spans="2:24" s="1183" customFormat="1" ht="24">
      <c r="B11" s="2154" t="s">
        <v>1905</v>
      </c>
      <c r="C11" s="2154"/>
      <c r="D11" s="1222" t="s">
        <v>1906</v>
      </c>
      <c r="E11" s="1222" t="s">
        <v>1907</v>
      </c>
      <c r="F11" s="1222" t="s">
        <v>1908</v>
      </c>
      <c r="G11" s="1223" t="s">
        <v>1909</v>
      </c>
      <c r="H11" s="1223" t="s">
        <v>1910</v>
      </c>
      <c r="I11" s="1223" t="s">
        <v>1911</v>
      </c>
      <c r="J11" s="1190"/>
      <c r="O11" s="1191"/>
    </row>
    <row r="12" spans="2:24" s="1183" customFormat="1" ht="15.6">
      <c r="B12" s="1182"/>
      <c r="C12" s="1182"/>
      <c r="D12" s="1224" t="s">
        <v>1912</v>
      </c>
      <c r="E12" s="1224" t="s">
        <v>1913</v>
      </c>
      <c r="F12" s="1224" t="s">
        <v>1914</v>
      </c>
      <c r="G12" s="1224" t="s">
        <v>1915</v>
      </c>
      <c r="H12" s="1224" t="s">
        <v>1916</v>
      </c>
      <c r="I12" s="1224" t="s">
        <v>1917</v>
      </c>
      <c r="J12" s="1190" t="s">
        <v>1918</v>
      </c>
      <c r="O12" s="1191"/>
      <c r="T12" s="1183" t="s">
        <v>1919</v>
      </c>
    </row>
    <row r="13" spans="2:24" s="1192" customFormat="1" ht="12">
      <c r="B13" s="1193" t="s">
        <v>29</v>
      </c>
      <c r="C13" s="1193" t="s">
        <v>1895</v>
      </c>
      <c r="D13" s="1193"/>
      <c r="E13" s="1193"/>
      <c r="F13" s="1193"/>
      <c r="G13" s="1193"/>
      <c r="H13" s="1193"/>
      <c r="I13" s="1194">
        <v>45901</v>
      </c>
      <c r="J13" s="1194" t="s">
        <v>1897</v>
      </c>
      <c r="K13" s="1194">
        <v>45658</v>
      </c>
      <c r="L13" s="1194">
        <v>45689</v>
      </c>
      <c r="M13" s="1194">
        <v>45717</v>
      </c>
      <c r="N13" s="1194">
        <v>45748</v>
      </c>
      <c r="O13" s="1194">
        <v>45778</v>
      </c>
      <c r="P13" s="1194">
        <v>45809</v>
      </c>
      <c r="Q13" s="1194">
        <v>45839</v>
      </c>
      <c r="R13" s="1194">
        <v>45870</v>
      </c>
      <c r="S13" s="1194">
        <v>45901</v>
      </c>
      <c r="T13" s="1194">
        <v>45931</v>
      </c>
      <c r="U13" s="1194">
        <v>45962</v>
      </c>
      <c r="V13" s="1194">
        <v>45992</v>
      </c>
      <c r="W13" s="1194">
        <v>46023</v>
      </c>
      <c r="X13" s="1193" t="s">
        <v>1898</v>
      </c>
    </row>
    <row r="14" spans="2:24" s="1183" customFormat="1" ht="12">
      <c r="B14" s="1195" t="s">
        <v>1428</v>
      </c>
      <c r="C14" s="1196">
        <f>+'ADI 09-25'!C18</f>
        <v>106933000</v>
      </c>
      <c r="D14" s="1196">
        <f t="shared" ref="D14:D20" si="0">SUM(G14:H14)</f>
        <v>264445080.15999997</v>
      </c>
      <c r="E14" s="1196">
        <f>+C14-D14</f>
        <v>-157512080.15999997</v>
      </c>
      <c r="F14" s="1196">
        <f t="shared" ref="F14:F20" si="1">SUM(G14:I14)</f>
        <v>264427064.15999997</v>
      </c>
      <c r="G14" s="1196">
        <f>SUM(J14:S14)</f>
        <v>264445080.15999997</v>
      </c>
      <c r="H14" s="1196"/>
      <c r="I14" s="1196">
        <f>-'CXP MMHB'!F9</f>
        <v>-18016</v>
      </c>
      <c r="J14" s="1376">
        <f>+'Costos a Sept-25'!B2</f>
        <v>94172341.829999998</v>
      </c>
      <c r="K14" s="1376">
        <f>+'Costos a Sept-25'!C2</f>
        <v>0</v>
      </c>
      <c r="L14" s="1376">
        <f>+'Costos a Sept-25'!D2</f>
        <v>0</v>
      </c>
      <c r="M14" s="1376">
        <f>+'Costos a Sept-25'!E2</f>
        <v>0</v>
      </c>
      <c r="N14" s="1376">
        <f>+'Costos a Sept-25'!F2</f>
        <v>0</v>
      </c>
      <c r="O14" s="1376">
        <f>+'Costos a Sept-25'!G2</f>
        <v>18880</v>
      </c>
      <c r="P14" s="1376">
        <f>+'Costos a Sept-25'!H2</f>
        <v>0</v>
      </c>
      <c r="Q14" s="1376">
        <f>+'Costos a Sept-25'!I2</f>
        <v>0</v>
      </c>
      <c r="R14" s="1376">
        <f>+'Costos a Sept-25'!J2</f>
        <v>170252678.32999998</v>
      </c>
      <c r="S14" s="1377">
        <f>+'Costos a Sept-25'!K2</f>
        <v>1180</v>
      </c>
      <c r="T14" s="1208"/>
      <c r="U14" s="1208">
        <f>+'Costos a Sept-25'!M2</f>
        <v>0</v>
      </c>
      <c r="V14" s="1208">
        <f>+'Costos a Sept-25'!N2</f>
        <v>0</v>
      </c>
      <c r="W14" s="1208">
        <f>+'Costos a Sept-25'!O2</f>
        <v>0</v>
      </c>
      <c r="X14" s="1208">
        <f>SUM(T14:W14)</f>
        <v>0</v>
      </c>
    </row>
    <row r="15" spans="2:24" s="1183" customFormat="1" ht="12">
      <c r="B15" s="1197" t="s">
        <v>35</v>
      </c>
      <c r="C15" s="1198">
        <f>+'ADI 09-25'!C19</f>
        <v>469173666.60000002</v>
      </c>
      <c r="D15" s="1198">
        <f t="shared" si="0"/>
        <v>29424162.020000003</v>
      </c>
      <c r="E15" s="1198">
        <f t="shared" ref="E15:E31" si="2">+C15-D15</f>
        <v>439749504.58000004</v>
      </c>
      <c r="F15" s="1198">
        <f t="shared" si="1"/>
        <v>27788673.410000004</v>
      </c>
      <c r="G15" s="1198">
        <f>SUM(J15:S15)</f>
        <v>16785255.600000001</v>
      </c>
      <c r="H15" s="1198">
        <f>+'Anticipos 09-25'!D10</f>
        <v>12638906.42</v>
      </c>
      <c r="I15" s="1198">
        <f>-'CXP 09-25'!E18-'CXP MMHB'!F24</f>
        <v>-1635488.61</v>
      </c>
      <c r="J15" s="1378">
        <f>+'Costos a Sept-25'!B6</f>
        <v>9219083.5899999999</v>
      </c>
      <c r="K15" s="1378">
        <f>+'Costos a Sept-25'!C6</f>
        <v>0</v>
      </c>
      <c r="L15" s="1378">
        <f>+'Costos a Sept-25'!D6</f>
        <v>0</v>
      </c>
      <c r="M15" s="1378">
        <f>+'Costos a Sept-25'!E6</f>
        <v>0</v>
      </c>
      <c r="N15" s="1378">
        <f>+'Costos a Sept-25'!F6</f>
        <v>353433.2</v>
      </c>
      <c r="O15" s="1378">
        <f>+'Costos a Sept-25'!G6</f>
        <v>93563.38</v>
      </c>
      <c r="P15" s="1378">
        <f>+'Costos a Sept-25'!H6</f>
        <v>806839.56</v>
      </c>
      <c r="Q15" s="1378">
        <f>+'Costos a Sept-25'!I6</f>
        <v>3069742.21</v>
      </c>
      <c r="R15" s="1378">
        <f>+'Costos a Sept-25'!J6</f>
        <v>2900560.48</v>
      </c>
      <c r="S15" s="1379">
        <f>+'Costos a Sept-25'!K6</f>
        <v>342033.18</v>
      </c>
      <c r="T15" s="1209">
        <f>+'Compromisos 09-25'!F19</f>
        <v>2052449.4100000001</v>
      </c>
      <c r="U15" s="1209">
        <f>+'Compromisos 09-25'!G19</f>
        <v>4000000</v>
      </c>
      <c r="V15" s="1209">
        <f>+'Compromisos 09-25'!H19</f>
        <v>5500000</v>
      </c>
      <c r="W15" s="1209">
        <f>+'Compromisos 09-25'!I19</f>
        <v>6683734</v>
      </c>
      <c r="X15" s="1209">
        <f t="shared" ref="X15:X31" si="3">SUM(T15:W15)</f>
        <v>18236183.41</v>
      </c>
    </row>
    <row r="16" spans="2:24" s="1183" customFormat="1" ht="12">
      <c r="B16" s="1197" t="s">
        <v>38</v>
      </c>
      <c r="C16" s="1198">
        <f>+'ADI 09-25'!C20</f>
        <v>1517166651</v>
      </c>
      <c r="D16" s="1198">
        <f t="shared" si="0"/>
        <v>0</v>
      </c>
      <c r="E16" s="1198">
        <f t="shared" si="2"/>
        <v>1517166651</v>
      </c>
      <c r="F16" s="1198">
        <f t="shared" si="1"/>
        <v>0</v>
      </c>
      <c r="G16" s="1198">
        <f t="shared" ref="G16:G20" si="4">SUM(J16:S16)</f>
        <v>0</v>
      </c>
      <c r="H16" s="1198"/>
      <c r="I16" s="1198"/>
      <c r="J16" s="1378">
        <f>+'Costos a Sept-25'!B8</f>
        <v>0</v>
      </c>
      <c r="K16" s="1378">
        <f>+'Costos a Sept-25'!C8</f>
        <v>0</v>
      </c>
      <c r="L16" s="1378">
        <f>+'Costos a Sept-25'!D8</f>
        <v>0</v>
      </c>
      <c r="M16" s="1378">
        <f>+'Costos a Sept-25'!E8</f>
        <v>0</v>
      </c>
      <c r="N16" s="1378">
        <f>+'Costos a Sept-25'!F8</f>
        <v>0</v>
      </c>
      <c r="O16" s="1378">
        <f>+'Costos a Sept-25'!G8</f>
        <v>0</v>
      </c>
      <c r="P16" s="1378">
        <f>+'Costos a Sept-25'!H8</f>
        <v>0</v>
      </c>
      <c r="Q16" s="1378">
        <f>+'Costos a Sept-25'!I8</f>
        <v>0</v>
      </c>
      <c r="R16" s="1378">
        <f>+'Costos a Sept-25'!J8</f>
        <v>0</v>
      </c>
      <c r="S16" s="1379">
        <f>+'Costos a Sept-25'!K8</f>
        <v>0</v>
      </c>
      <c r="T16" s="1209"/>
      <c r="U16" s="1209">
        <f>+'Costos a Sept-25'!M8</f>
        <v>0</v>
      </c>
      <c r="V16" s="1209">
        <f>+'Costos a Sept-25'!N8</f>
        <v>0</v>
      </c>
      <c r="W16" s="1209">
        <f>+'Costos a Sept-25'!O8</f>
        <v>0</v>
      </c>
      <c r="X16" s="1209">
        <f t="shared" si="3"/>
        <v>0</v>
      </c>
    </row>
    <row r="17" spans="2:24" s="1183" customFormat="1" ht="12">
      <c r="B17" s="1197" t="s">
        <v>1920</v>
      </c>
      <c r="C17" s="1198">
        <f>+'ADI 09-25'!C21</f>
        <v>234388157.47679996</v>
      </c>
      <c r="D17" s="1198">
        <f t="shared" si="0"/>
        <v>18918081.100000001</v>
      </c>
      <c r="E17" s="1198">
        <f t="shared" si="2"/>
        <v>215470076.37679997</v>
      </c>
      <c r="F17" s="1198">
        <f t="shared" si="1"/>
        <v>16558081.100000001</v>
      </c>
      <c r="G17" s="1198">
        <f t="shared" si="4"/>
        <v>18918081.100000001</v>
      </c>
      <c r="H17" s="1198"/>
      <c r="I17" s="1198">
        <f>-'CXP 09-25'!E22</f>
        <v>-2360000</v>
      </c>
      <c r="J17" s="1378">
        <f>+'Costos a Sept-25'!B10</f>
        <v>1644662.03</v>
      </c>
      <c r="K17" s="1378">
        <f>+'Costos a Sept-25'!C10</f>
        <v>1770000</v>
      </c>
      <c r="L17" s="1378">
        <f>+'Costos a Sept-25'!D10</f>
        <v>0</v>
      </c>
      <c r="M17" s="1378">
        <f>+'Costos a Sept-25'!E10</f>
        <v>885000</v>
      </c>
      <c r="N17" s="1378">
        <f>+'Costos a Sept-25'!F10</f>
        <v>2455806.54</v>
      </c>
      <c r="O17" s="1378">
        <f>+'Costos a Sept-25'!G10</f>
        <v>2360000</v>
      </c>
      <c r="P17" s="1378">
        <f>+'Costos a Sept-25'!H10</f>
        <v>2417857.34</v>
      </c>
      <c r="Q17" s="1378">
        <f>+'Costos a Sept-25'!I10</f>
        <v>2664755.19</v>
      </c>
      <c r="R17" s="1378">
        <f>+'Costos a Sept-25'!J10</f>
        <v>2360000</v>
      </c>
      <c r="S17" s="1379">
        <f>+'Costos a Sept-25'!K10</f>
        <v>2360000</v>
      </c>
      <c r="T17" s="1209">
        <f>+'Compromisos 09-25'!F26</f>
        <v>2360000</v>
      </c>
      <c r="U17" s="1209">
        <f>+'Compromisos 09-25'!G26</f>
        <v>2360000</v>
      </c>
      <c r="V17" s="1209">
        <f>+'Compromisos 09-25'!H26</f>
        <v>2360000</v>
      </c>
      <c r="W17" s="1209">
        <f>+'Compromisos 09-25'!I26</f>
        <v>2360000</v>
      </c>
      <c r="X17" s="1209">
        <f t="shared" si="3"/>
        <v>9440000</v>
      </c>
    </row>
    <row r="18" spans="2:24" s="1183" customFormat="1" ht="12">
      <c r="B18" s="1197" t="s">
        <v>1921</v>
      </c>
      <c r="C18" s="1198">
        <f>+'ADI 09-25'!C22</f>
        <v>19264643</v>
      </c>
      <c r="D18" s="1198">
        <f t="shared" si="0"/>
        <v>0</v>
      </c>
      <c r="E18" s="1198">
        <f t="shared" si="2"/>
        <v>19264643</v>
      </c>
      <c r="F18" s="1198">
        <f t="shared" si="1"/>
        <v>0</v>
      </c>
      <c r="G18" s="1198">
        <f t="shared" si="4"/>
        <v>0</v>
      </c>
      <c r="H18" s="1198"/>
      <c r="I18" s="1198"/>
      <c r="J18" s="1378">
        <f>+'Costos a Sept-25'!B22</f>
        <v>0</v>
      </c>
      <c r="K18" s="1378">
        <f>+'Costos a Sept-25'!C22</f>
        <v>0</v>
      </c>
      <c r="L18" s="1378">
        <f>+'Costos a Sept-25'!D22</f>
        <v>0</v>
      </c>
      <c r="M18" s="1378">
        <f>+'Costos a Sept-25'!E22</f>
        <v>0</v>
      </c>
      <c r="N18" s="1378">
        <f>+'Costos a Sept-25'!F22</f>
        <v>0</v>
      </c>
      <c r="O18" s="1378">
        <f>+'Costos a Sept-25'!G22</f>
        <v>0</v>
      </c>
      <c r="P18" s="1378">
        <f>+'Costos a Sept-25'!H22</f>
        <v>0</v>
      </c>
      <c r="Q18" s="1378">
        <f>+'Costos a Sept-25'!I22</f>
        <v>0</v>
      </c>
      <c r="R18" s="1378">
        <f>+'Costos a Sept-25'!J22</f>
        <v>0</v>
      </c>
      <c r="S18" s="1379">
        <f>+'Costos a Sept-25'!K22</f>
        <v>0</v>
      </c>
      <c r="T18" s="1372">
        <f>+'Compromisos 09-25'!F30</f>
        <v>506964.3</v>
      </c>
      <c r="U18" s="1372">
        <f>+'Compromisos 09-25'!G30</f>
        <v>506964.3</v>
      </c>
      <c r="V18" s="1372">
        <f>+'Compromisos 09-25'!H30</f>
        <v>506964.3</v>
      </c>
      <c r="W18" s="1372">
        <f>+'Compromisos 09-25'!I30</f>
        <v>506964.3</v>
      </c>
      <c r="X18" s="1372">
        <f t="shared" si="3"/>
        <v>2027857.2</v>
      </c>
    </row>
    <row r="19" spans="2:24" s="1183" customFormat="1" ht="12">
      <c r="B19" s="1197" t="s">
        <v>40</v>
      </c>
      <c r="C19" s="1198">
        <f>+'ADI 09-25'!C23</f>
        <v>47672167.622400001</v>
      </c>
      <c r="D19" s="1198">
        <f t="shared" si="0"/>
        <v>426910.14</v>
      </c>
      <c r="E19" s="1198">
        <f t="shared" si="2"/>
        <v>47245257.4824</v>
      </c>
      <c r="F19" s="1198">
        <f t="shared" si="1"/>
        <v>147108.54000000004</v>
      </c>
      <c r="G19" s="1198">
        <f t="shared" si="4"/>
        <v>426910.14</v>
      </c>
      <c r="H19" s="1198"/>
      <c r="I19" s="1198">
        <f>-'CXP 09-25'!E28</f>
        <v>-279801.59999999998</v>
      </c>
      <c r="J19" s="1378">
        <f>+'Costos a Sept-25'!B12</f>
        <v>0</v>
      </c>
      <c r="K19" s="1378">
        <f>+'Costos a Sept-25'!C12</f>
        <v>0</v>
      </c>
      <c r="L19" s="1378">
        <f>+'Costos a Sept-25'!D12</f>
        <v>0</v>
      </c>
      <c r="M19" s="1378">
        <f>+'Costos a Sept-25'!E12</f>
        <v>0</v>
      </c>
      <c r="N19" s="1378">
        <f>+'Costos a Sept-25'!F12</f>
        <v>0</v>
      </c>
      <c r="O19" s="1378">
        <f>+'Costos a Sept-25'!G12</f>
        <v>0</v>
      </c>
      <c r="P19" s="1378">
        <f>+'Costos a Sept-25'!H12</f>
        <v>147108.53999999998</v>
      </c>
      <c r="Q19" s="1378">
        <f>+'Costos a Sept-25'!I12</f>
        <v>92700.800000000003</v>
      </c>
      <c r="R19" s="1378">
        <f>+'Costos a Sept-25'!J12</f>
        <v>96854.399999999994</v>
      </c>
      <c r="S19" s="1379">
        <f>+'Costos a Sept-25'!K12</f>
        <v>90246.399999999994</v>
      </c>
      <c r="T19" s="1209">
        <f>+'Compromisos 09-25'!F34</f>
        <v>250000</v>
      </c>
      <c r="U19" s="1209">
        <f>+'Compromisos 09-25'!G34</f>
        <v>250000</v>
      </c>
      <c r="V19" s="1209">
        <f>+'Compromisos 09-25'!H34</f>
        <v>250000</v>
      </c>
      <c r="W19" s="1209">
        <f>+'Compromisos 09-25'!I34</f>
        <v>250000</v>
      </c>
      <c r="X19" s="1209">
        <f t="shared" si="3"/>
        <v>1000000</v>
      </c>
    </row>
    <row r="20" spans="2:24" s="1183" customFormat="1" ht="12">
      <c r="B20" s="1197" t="s">
        <v>764</v>
      </c>
      <c r="C20" s="1198">
        <f>+'ADI 09-25'!C24</f>
        <v>39726806.351999998</v>
      </c>
      <c r="D20" s="1198">
        <f t="shared" si="0"/>
        <v>0</v>
      </c>
      <c r="E20" s="1198">
        <f t="shared" si="2"/>
        <v>39726806.351999998</v>
      </c>
      <c r="F20" s="1198">
        <f t="shared" si="1"/>
        <v>0</v>
      </c>
      <c r="G20" s="1198">
        <f t="shared" si="4"/>
        <v>0</v>
      </c>
      <c r="H20" s="1198"/>
      <c r="I20" s="1198"/>
      <c r="J20" s="1378">
        <f>+'Costos a Sept-25'!B20</f>
        <v>0</v>
      </c>
      <c r="K20" s="1378">
        <f>+'Costos a Sept-25'!C20</f>
        <v>0</v>
      </c>
      <c r="L20" s="1378">
        <f>+'Costos a Sept-25'!D20</f>
        <v>0</v>
      </c>
      <c r="M20" s="1378">
        <f>+'Costos a Sept-25'!E20</f>
        <v>0</v>
      </c>
      <c r="N20" s="1378">
        <f>+'Costos a Sept-25'!F20</f>
        <v>0</v>
      </c>
      <c r="O20" s="1378">
        <f>+'Costos a Sept-25'!G20</f>
        <v>0</v>
      </c>
      <c r="P20" s="1378">
        <f>+'Costos a Sept-25'!H20</f>
        <v>0</v>
      </c>
      <c r="Q20" s="1378">
        <f>+'Costos a Sept-25'!I20</f>
        <v>0</v>
      </c>
      <c r="R20" s="1378">
        <f>+'Costos a Sept-25'!J20</f>
        <v>0</v>
      </c>
      <c r="S20" s="1379">
        <f>+'Costos a Sept-25'!K20</f>
        <v>0</v>
      </c>
      <c r="T20" s="1209"/>
      <c r="U20" s="1209">
        <f>+'Costos a Sept-25'!M20</f>
        <v>0</v>
      </c>
      <c r="V20" s="1209">
        <f>+'Costos a Sept-25'!N20</f>
        <v>0</v>
      </c>
      <c r="W20" s="1209">
        <f>+'Costos a Sept-25'!O20</f>
        <v>0</v>
      </c>
      <c r="X20" s="1209">
        <f t="shared" si="3"/>
        <v>0</v>
      </c>
    </row>
    <row r="21" spans="2:24" s="1183" customFormat="1" ht="12">
      <c r="B21" s="1199" t="s">
        <v>41</v>
      </c>
      <c r="C21" s="1200">
        <f>SUM(C15:C20)</f>
        <v>2327392092.0511999</v>
      </c>
      <c r="D21" s="1200">
        <f t="shared" ref="D21:E21" si="5">SUM(D15:D20)</f>
        <v>48769153.260000005</v>
      </c>
      <c r="E21" s="1200">
        <f t="shared" si="5"/>
        <v>2278622938.7911997</v>
      </c>
      <c r="F21" s="1200">
        <f t="shared" ref="F21:W21" si="6">SUM(F15:F20)</f>
        <v>44493863.050000004</v>
      </c>
      <c r="G21" s="1200">
        <f t="shared" si="6"/>
        <v>36130246.840000004</v>
      </c>
      <c r="H21" s="1200">
        <f t="shared" si="6"/>
        <v>12638906.42</v>
      </c>
      <c r="I21" s="1200">
        <f t="shared" si="6"/>
        <v>-4275290.21</v>
      </c>
      <c r="J21" s="1380">
        <f t="shared" si="6"/>
        <v>10863745.619999999</v>
      </c>
      <c r="K21" s="1380">
        <f t="shared" si="6"/>
        <v>1770000</v>
      </c>
      <c r="L21" s="1380">
        <f t="shared" si="6"/>
        <v>0</v>
      </c>
      <c r="M21" s="1380">
        <f t="shared" si="6"/>
        <v>885000</v>
      </c>
      <c r="N21" s="1380">
        <f t="shared" si="6"/>
        <v>2809239.74</v>
      </c>
      <c r="O21" s="1380">
        <f t="shared" si="6"/>
        <v>2453563.38</v>
      </c>
      <c r="P21" s="1380">
        <f t="shared" si="6"/>
        <v>3371805.44</v>
      </c>
      <c r="Q21" s="1380">
        <f t="shared" si="6"/>
        <v>5827198.2000000002</v>
      </c>
      <c r="R21" s="1380">
        <f t="shared" si="6"/>
        <v>5357414.8800000008</v>
      </c>
      <c r="S21" s="1381">
        <f t="shared" si="6"/>
        <v>2792279.58</v>
      </c>
      <c r="T21" s="1210">
        <f t="shared" si="6"/>
        <v>5169413.71</v>
      </c>
      <c r="U21" s="1210">
        <f t="shared" si="6"/>
        <v>7116964.2999999998</v>
      </c>
      <c r="V21" s="1210">
        <f t="shared" si="6"/>
        <v>8616964.3000000007</v>
      </c>
      <c r="W21" s="1210">
        <f t="shared" si="6"/>
        <v>9800698.3000000007</v>
      </c>
      <c r="X21" s="1210">
        <f t="shared" ref="X21" si="7">SUM(X15:X20)</f>
        <v>30704040.609999999</v>
      </c>
    </row>
    <row r="22" spans="2:24" s="1183" customFormat="1" ht="12">
      <c r="B22" s="1201" t="s">
        <v>42</v>
      </c>
      <c r="C22" s="1198">
        <f>+'ADI 09-25'!C26</f>
        <v>187510525.98143998</v>
      </c>
      <c r="D22" s="1198">
        <f>SUM(G22:H22)</f>
        <v>10781175.969999999</v>
      </c>
      <c r="E22" s="1198">
        <f t="shared" si="2"/>
        <v>176729350.01143998</v>
      </c>
      <c r="F22" s="1198">
        <f>SUM(G22:I22)</f>
        <v>9011175.9699999988</v>
      </c>
      <c r="G22" s="1198">
        <f>SUM(J22:S22)</f>
        <v>10781175.969999999</v>
      </c>
      <c r="H22" s="1198"/>
      <c r="I22" s="1198">
        <f>-'CXP 09-25'!E32</f>
        <v>-1770000</v>
      </c>
      <c r="J22" s="1378">
        <f>+'Costos a Sept-25'!B24</f>
        <v>161175.97</v>
      </c>
      <c r="K22" s="1378">
        <f>+'Costos a Sept-25'!C24</f>
        <v>0</v>
      </c>
      <c r="L22" s="1378">
        <f>+'Costos a Sept-25'!D24</f>
        <v>0</v>
      </c>
      <c r="M22" s="1378">
        <f>+'Costos a Sept-25'!E24</f>
        <v>0</v>
      </c>
      <c r="N22" s="1378">
        <f>+'Costos a Sept-25'!F24</f>
        <v>1770000</v>
      </c>
      <c r="O22" s="1378">
        <f>+'Costos a Sept-25'!G24</f>
        <v>1770000</v>
      </c>
      <c r="P22" s="1378">
        <f>+'Costos a Sept-25'!H24</f>
        <v>1770000</v>
      </c>
      <c r="Q22" s="1378">
        <f>+'Costos a Sept-25'!I24</f>
        <v>1770000</v>
      </c>
      <c r="R22" s="1378">
        <f>+'Costos a Sept-25'!J24</f>
        <v>1770000</v>
      </c>
      <c r="S22" s="1379">
        <f>+'Costos a Sept-25'!K24</f>
        <v>1770000</v>
      </c>
      <c r="T22" s="1209">
        <f>+'Compromisos 09-25'!F38</f>
        <v>1770000</v>
      </c>
      <c r="U22" s="1209">
        <f>+'Compromisos 09-25'!G38</f>
        <v>1770000</v>
      </c>
      <c r="V22" s="1209">
        <f>+'Compromisos 09-25'!H38</f>
        <v>1770000</v>
      </c>
      <c r="W22" s="1209">
        <f>+'Compromisos 09-25'!I38</f>
        <v>1770000</v>
      </c>
      <c r="X22" s="1209">
        <f t="shared" si="3"/>
        <v>7080000</v>
      </c>
    </row>
    <row r="23" spans="2:24" s="1183" customFormat="1" ht="12">
      <c r="B23" s="1197" t="s">
        <v>43</v>
      </c>
      <c r="C23" s="1198">
        <f>+'ADI 09-25'!C27</f>
        <v>327746152.40399998</v>
      </c>
      <c r="D23" s="1198">
        <f>SUM(G23:H23)</f>
        <v>42450789.550000004</v>
      </c>
      <c r="E23" s="1198">
        <f t="shared" si="2"/>
        <v>285295362.85399997</v>
      </c>
      <c r="F23" s="1198">
        <f>SUM(G23:I23)</f>
        <v>37200465.440000005</v>
      </c>
      <c r="G23" s="1198">
        <f t="shared" ref="G23:G31" si="8">SUM(J23:S23)</f>
        <v>42450789.550000004</v>
      </c>
      <c r="H23" s="1198"/>
      <c r="I23" s="1198">
        <f>-'CXP 09-25'!E37-'CXP 09-25'!E42-'CXP 09-25'!E46-'CXP 09-25'!E54-'CXP MMHB'!F29-'CXP MMHB'!F33</f>
        <v>-5250324.1100000003</v>
      </c>
      <c r="J23" s="1378">
        <f>+'Costos a Sept-25'!B26</f>
        <v>559355.54</v>
      </c>
      <c r="K23" s="1378">
        <f>+'Costos a Sept-25'!C26</f>
        <v>0</v>
      </c>
      <c r="L23" s="1378">
        <f>+'Costos a Sept-25'!D26</f>
        <v>645765.21</v>
      </c>
      <c r="M23" s="1378">
        <f>+'Costos a Sept-25'!E26</f>
        <v>595001.35</v>
      </c>
      <c r="N23" s="1378">
        <f>+'Costos a Sept-25'!F26</f>
        <v>1549872.47</v>
      </c>
      <c r="O23" s="1378">
        <f>+'Costos a Sept-25'!G26</f>
        <v>1423527.61</v>
      </c>
      <c r="P23" s="1378">
        <f>+'Costos a Sept-25'!H26</f>
        <v>1733909.84</v>
      </c>
      <c r="Q23" s="1378">
        <f>+'Costos a Sept-25'!I26</f>
        <v>7890097.2200000007</v>
      </c>
      <c r="R23" s="1378">
        <f>+'Costos a Sept-25'!J26</f>
        <v>16166710.020000001</v>
      </c>
      <c r="S23" s="1379">
        <f>+'Costos a Sept-25'!K26</f>
        <v>11886550.289999999</v>
      </c>
      <c r="T23" s="1209">
        <f>+'Compromisos 09-25'!F44+'Compromisos 09-25'!F48+'Compromisos 09-25'!F55</f>
        <v>12619152.08</v>
      </c>
      <c r="U23" s="1209">
        <f>+'Compromisos 09-25'!G44+'Compromisos 09-25'!G48+'Compromisos 09-25'!G55</f>
        <v>2078433.2</v>
      </c>
      <c r="V23" s="1209">
        <f>+'Compromisos 09-25'!H44+'Compromisos 09-25'!H48+'Compromisos 09-25'!H55</f>
        <v>2078433.2</v>
      </c>
      <c r="W23" s="1209">
        <f>+'Compromisos 09-25'!I44+'Compromisos 09-25'!I48+'Compromisos 09-25'!I55</f>
        <v>2067000</v>
      </c>
      <c r="X23" s="1209">
        <f t="shared" si="3"/>
        <v>18843018.479999997</v>
      </c>
    </row>
    <row r="24" spans="2:24" s="1183" customFormat="1" ht="12">
      <c r="B24" s="1197" t="s">
        <v>44</v>
      </c>
      <c r="C24" s="1198">
        <f>+'ADI 09-25'!C28</f>
        <v>81458723.221791998</v>
      </c>
      <c r="D24" s="1198">
        <f>SUM(G24:H24)</f>
        <v>2119167.7599999998</v>
      </c>
      <c r="E24" s="1198">
        <f t="shared" si="2"/>
        <v>79339555.461791992</v>
      </c>
      <c r="F24" s="1198">
        <f>SUM(G24:I24)</f>
        <v>1765167.7599999998</v>
      </c>
      <c r="G24" s="1198">
        <f t="shared" si="8"/>
        <v>2119167.7599999998</v>
      </c>
      <c r="H24" s="1198"/>
      <c r="I24" s="1198">
        <f>-'CXP 09-25'!E58</f>
        <v>-354000</v>
      </c>
      <c r="J24" s="1378">
        <f>+'Costos a Sept-25'!B31</f>
        <v>373034.61</v>
      </c>
      <c r="K24" s="1378">
        <f>+'Costos a Sept-25'!C31</f>
        <v>43563.47</v>
      </c>
      <c r="L24" s="1378">
        <f>+'Costos a Sept-25'!D31</f>
        <v>36723.129999999997</v>
      </c>
      <c r="M24" s="1378">
        <f>+'Costos a Sept-25'!E31</f>
        <v>37034.89</v>
      </c>
      <c r="N24" s="1378">
        <f>+'Costos a Sept-25'!F31</f>
        <v>51335.37</v>
      </c>
      <c r="O24" s="1378">
        <f>+'Costos a Sept-25'!G31</f>
        <v>125971.53</v>
      </c>
      <c r="P24" s="1378">
        <f>+'Costos a Sept-25'!H31</f>
        <v>205035.01</v>
      </c>
      <c r="Q24" s="1378">
        <f>+'Costos a Sept-25'!I31</f>
        <v>193826.15000000002</v>
      </c>
      <c r="R24" s="1378">
        <f>+'Costos a Sept-25'!J31</f>
        <v>228402.97999999998</v>
      </c>
      <c r="S24" s="1379">
        <f>+'Costos a Sept-25'!K31</f>
        <v>824240.61999999988</v>
      </c>
      <c r="T24" s="1209">
        <v>500000</v>
      </c>
      <c r="U24" s="1371">
        <v>500000</v>
      </c>
      <c r="V24" s="1371">
        <v>500000</v>
      </c>
      <c r="W24" s="1371">
        <v>500000</v>
      </c>
      <c r="X24" s="1371">
        <f t="shared" si="3"/>
        <v>2000000</v>
      </c>
    </row>
    <row r="25" spans="2:24" s="1183" customFormat="1" ht="12">
      <c r="B25" s="1197" t="s">
        <v>45</v>
      </c>
      <c r="C25" s="1198">
        <f>+'ADI 09-25'!C29</f>
        <v>69521911.115999997</v>
      </c>
      <c r="D25" s="1198">
        <f>SUM(G25:H25)</f>
        <v>22208783.899999999</v>
      </c>
      <c r="E25" s="1198">
        <f t="shared" si="2"/>
        <v>47313127.215999998</v>
      </c>
      <c r="F25" s="1198">
        <f>SUM(G25:I25)</f>
        <v>19204268.959999997</v>
      </c>
      <c r="G25" s="1198">
        <f t="shared" si="8"/>
        <v>22208783.899999999</v>
      </c>
      <c r="H25" s="1198"/>
      <c r="I25" s="1198">
        <f>-'CXP 09-25'!E63-'CXP 09-25'!E77-'CXP 09-25'!E82-'CXP MMHB'!F40-'CXP MMHB'!F54</f>
        <v>-3004514.94</v>
      </c>
      <c r="J25" s="1378">
        <f>+'Costos a Sept-25'!B34</f>
        <v>11066720.34</v>
      </c>
      <c r="K25" s="1378">
        <f>+'Costos a Sept-25'!C34</f>
        <v>915790.08000000007</v>
      </c>
      <c r="L25" s="1378">
        <f>+'Costos a Sept-25'!D34</f>
        <v>1931201.9</v>
      </c>
      <c r="M25" s="1378">
        <f>+'Costos a Sept-25'!E34</f>
        <v>1103623.17</v>
      </c>
      <c r="N25" s="1378">
        <f>+'Costos a Sept-25'!F34</f>
        <v>807731.34</v>
      </c>
      <c r="O25" s="1378">
        <f>+'Costos a Sept-25'!G34</f>
        <v>740040.2</v>
      </c>
      <c r="P25" s="1378">
        <f>+'Costos a Sept-25'!H34</f>
        <v>1412884.71</v>
      </c>
      <c r="Q25" s="1378">
        <f>+'Costos a Sept-25'!I34</f>
        <v>3494146.35</v>
      </c>
      <c r="R25" s="1378">
        <f>+'Costos a Sept-25'!J34</f>
        <v>184710.12999999995</v>
      </c>
      <c r="S25" s="1379">
        <f>+'Costos a Sept-25'!K34</f>
        <v>551935.67999999993</v>
      </c>
      <c r="T25" s="1209">
        <f>+'Compromisos 09-25'!F63+'Compromisos 09-25'!F73+'Compromisos 09-25'!F77</f>
        <v>1372430.3699999999</v>
      </c>
      <c r="U25" s="1209">
        <f>+'Compromisos 09-25'!G63+'Compromisos 09-25'!G73+'Compromisos 09-25'!G77</f>
        <v>582840</v>
      </c>
      <c r="V25" s="1209">
        <f>+'Compromisos 09-25'!H63+'Compromisos 09-25'!H73+'Compromisos 09-25'!H77</f>
        <v>426390</v>
      </c>
      <c r="W25" s="1209">
        <f>+'Compromisos 09-25'!I63+'Compromisos 09-25'!I73+'Compromisos 09-25'!I77</f>
        <v>258004</v>
      </c>
      <c r="X25" s="1209">
        <f t="shared" si="3"/>
        <v>2639664.37</v>
      </c>
    </row>
    <row r="26" spans="2:24" s="1183" customFormat="1" ht="12">
      <c r="B26" s="1197" t="s">
        <v>46</v>
      </c>
      <c r="C26" s="1198">
        <f>+'ADI 09-25'!C30</f>
        <v>19863403.175999999</v>
      </c>
      <c r="D26" s="1198">
        <f>SUM(G26:H26)</f>
        <v>0</v>
      </c>
      <c r="E26" s="1198">
        <f t="shared" si="2"/>
        <v>19863403.175999999</v>
      </c>
      <c r="F26" s="1198">
        <f>SUM(G26:I26)</f>
        <v>0</v>
      </c>
      <c r="G26" s="1198">
        <f t="shared" si="8"/>
        <v>0</v>
      </c>
      <c r="H26" s="1198"/>
      <c r="I26" s="1198"/>
      <c r="J26" s="1378">
        <f>+'Costos a Sept-25'!B40</f>
        <v>0</v>
      </c>
      <c r="K26" s="1378">
        <f>+'Costos a Sept-25'!C40</f>
        <v>0</v>
      </c>
      <c r="L26" s="1378">
        <f>+'Costos a Sept-25'!D40</f>
        <v>0</v>
      </c>
      <c r="M26" s="1378">
        <f>+'Costos a Sept-25'!E40</f>
        <v>0</v>
      </c>
      <c r="N26" s="1378">
        <f>+'Costos a Sept-25'!F40</f>
        <v>0</v>
      </c>
      <c r="O26" s="1378">
        <f>+'Costos a Sept-25'!G40</f>
        <v>0</v>
      </c>
      <c r="P26" s="1378">
        <f>+'Costos a Sept-25'!H40</f>
        <v>0</v>
      </c>
      <c r="Q26" s="1378">
        <f>+'Costos a Sept-25'!I40</f>
        <v>0</v>
      </c>
      <c r="R26" s="1378">
        <f>+'Costos a Sept-25'!J40</f>
        <v>0</v>
      </c>
      <c r="S26" s="1379">
        <f>+'Costos a Sept-25'!K40</f>
        <v>0</v>
      </c>
      <c r="T26" s="1209"/>
      <c r="U26" s="1209">
        <f>+'Costos a Sept-25'!M40</f>
        <v>0</v>
      </c>
      <c r="V26" s="1209">
        <f>+'Costos a Sept-25'!N40</f>
        <v>0</v>
      </c>
      <c r="W26" s="1209">
        <f>+'Costos a Sept-25'!O40</f>
        <v>0</v>
      </c>
      <c r="X26" s="1209">
        <f t="shared" si="3"/>
        <v>0</v>
      </c>
    </row>
    <row r="27" spans="2:24" s="1183" customFormat="1" ht="12">
      <c r="B27" s="1199" t="s">
        <v>47</v>
      </c>
      <c r="C27" s="1200">
        <f>SUM(C22:C26)</f>
        <v>686100715.89923203</v>
      </c>
      <c r="D27" s="1200">
        <f t="shared" ref="D27:E27" si="9">SUM(D22:D26)</f>
        <v>77559917.180000007</v>
      </c>
      <c r="E27" s="1200">
        <f t="shared" si="9"/>
        <v>608540798.71923184</v>
      </c>
      <c r="F27" s="1200">
        <f t="shared" ref="F27:W27" si="10">SUM(F22:F26)</f>
        <v>67181078.129999995</v>
      </c>
      <c r="G27" s="1200">
        <f t="shared" si="10"/>
        <v>77559917.180000007</v>
      </c>
      <c r="H27" s="1200">
        <f t="shared" si="10"/>
        <v>0</v>
      </c>
      <c r="I27" s="1200">
        <f t="shared" si="10"/>
        <v>-10378839.050000001</v>
      </c>
      <c r="J27" s="1380">
        <f t="shared" si="10"/>
        <v>12160286.460000001</v>
      </c>
      <c r="K27" s="1380">
        <f t="shared" si="10"/>
        <v>959353.55</v>
      </c>
      <c r="L27" s="1380">
        <f t="shared" si="10"/>
        <v>2613690.2399999998</v>
      </c>
      <c r="M27" s="1380">
        <f t="shared" si="10"/>
        <v>1735659.41</v>
      </c>
      <c r="N27" s="1380">
        <f t="shared" si="10"/>
        <v>4178939.1799999997</v>
      </c>
      <c r="O27" s="1380">
        <f t="shared" si="10"/>
        <v>4059539.34</v>
      </c>
      <c r="P27" s="1380">
        <f t="shared" si="10"/>
        <v>5121829.5599999996</v>
      </c>
      <c r="Q27" s="1380">
        <f t="shared" si="10"/>
        <v>13348069.720000001</v>
      </c>
      <c r="R27" s="1380">
        <f t="shared" si="10"/>
        <v>18349823.130000003</v>
      </c>
      <c r="S27" s="1381">
        <f t="shared" si="10"/>
        <v>15032726.589999998</v>
      </c>
      <c r="T27" s="1210">
        <f t="shared" si="10"/>
        <v>16261582.449999999</v>
      </c>
      <c r="U27" s="1210">
        <f t="shared" si="10"/>
        <v>4931273.2</v>
      </c>
      <c r="V27" s="1210">
        <f t="shared" si="10"/>
        <v>4774823.2</v>
      </c>
      <c r="W27" s="1210">
        <f t="shared" si="10"/>
        <v>4595004</v>
      </c>
      <c r="X27" s="1210">
        <f t="shared" ref="X27" si="11">SUM(X22:X26)</f>
        <v>30562682.849999998</v>
      </c>
    </row>
    <row r="28" spans="2:24" s="1183" customFormat="1" ht="12">
      <c r="B28" s="1201" t="s">
        <v>48</v>
      </c>
      <c r="C28" s="1198">
        <f>+'ADI 09-25'!C32</f>
        <v>30500000</v>
      </c>
      <c r="D28" s="1198">
        <f>SUM(G28:H28)</f>
        <v>17161992.099999998</v>
      </c>
      <c r="E28" s="1198">
        <f t="shared" si="2"/>
        <v>13338007.900000002</v>
      </c>
      <c r="F28" s="1198">
        <f>SUM(G28:I28)</f>
        <v>16198119.509999998</v>
      </c>
      <c r="G28" s="1198">
        <f t="shared" si="8"/>
        <v>16877677.099999998</v>
      </c>
      <c r="H28" s="1198">
        <f>+'Anticipos 09-25'!D12</f>
        <v>284315</v>
      </c>
      <c r="I28" s="1198">
        <f>-'CXP 09-25'!E86-'CXP MMHB'!F68</f>
        <v>-963872.59000000008</v>
      </c>
      <c r="J28" s="1378">
        <f>+'Costos a Sept-25'!B43</f>
        <v>12715384.379999999</v>
      </c>
      <c r="K28" s="1378">
        <f>+'Costos a Sept-25'!C43</f>
        <v>0</v>
      </c>
      <c r="L28" s="1378">
        <f>+'Costos a Sept-25'!D43</f>
        <v>0</v>
      </c>
      <c r="M28" s="1378">
        <f>+'Costos a Sept-25'!E43</f>
        <v>128745.38</v>
      </c>
      <c r="N28" s="1378">
        <f>+'Costos a Sept-25'!F43</f>
        <v>552632.57999999996</v>
      </c>
      <c r="O28" s="1378">
        <f>+'Costos a Sept-25'!G43</f>
        <v>120006</v>
      </c>
      <c r="P28" s="1378">
        <f>+'Costos a Sept-25'!H43</f>
        <v>1543136</v>
      </c>
      <c r="Q28" s="1378">
        <f>+'Costos a Sept-25'!I43</f>
        <v>300</v>
      </c>
      <c r="R28" s="1378">
        <f>+'Costos a Sept-25'!J43</f>
        <v>223322.53</v>
      </c>
      <c r="S28" s="1379">
        <f>+'Costos a Sept-25'!K43</f>
        <v>1594150.23</v>
      </c>
      <c r="T28" s="1209">
        <f>+'Compromisos 09-25'!F85</f>
        <v>558104.69999999995</v>
      </c>
      <c r="U28" s="1209">
        <f>+'Compromisos 09-25'!G85</f>
        <v>357835</v>
      </c>
      <c r="V28" s="1209">
        <f>+'Compromisos 09-25'!H85</f>
        <v>2091958.99</v>
      </c>
      <c r="W28" s="1209">
        <f>+'Compromisos 09-25'!I85</f>
        <v>357835</v>
      </c>
      <c r="X28" s="1209">
        <f t="shared" si="3"/>
        <v>3365733.69</v>
      </c>
    </row>
    <row r="29" spans="2:24" s="1183" customFormat="1" ht="12">
      <c r="B29" s="1197" t="s">
        <v>49</v>
      </c>
      <c r="C29" s="1198">
        <f>+'ADI 09-25'!C33</f>
        <v>25000000</v>
      </c>
      <c r="D29" s="1198">
        <f>SUM(G29:H29)</f>
        <v>23781914.470000003</v>
      </c>
      <c r="E29" s="1198">
        <f t="shared" si="2"/>
        <v>1218085.5299999975</v>
      </c>
      <c r="F29" s="1198">
        <f>SUM(G29:I29)</f>
        <v>22020491.250000004</v>
      </c>
      <c r="G29" s="1198">
        <f t="shared" si="8"/>
        <v>23398914.470000003</v>
      </c>
      <c r="H29" s="1198">
        <f>+'Anticipos 09-25'!D5</f>
        <v>383000</v>
      </c>
      <c r="I29" s="1198">
        <f>-'CXP 09-25'!E11-'CXP MMHB'!F19</f>
        <v>-1761423.22</v>
      </c>
      <c r="J29" s="1378">
        <f>+'Costos a Sept-25'!B4</f>
        <v>21168315.640000001</v>
      </c>
      <c r="K29" s="1378">
        <f>+'Costos a Sept-25'!C4</f>
        <v>239349.75</v>
      </c>
      <c r="L29" s="1378">
        <f>+'Costos a Sept-25'!D4</f>
        <v>0</v>
      </c>
      <c r="M29" s="1378">
        <f>+'Costos a Sept-25'!E4</f>
        <v>146320</v>
      </c>
      <c r="N29" s="1378">
        <f>+'Costos a Sept-25'!F4</f>
        <v>108350.26</v>
      </c>
      <c r="O29" s="1378">
        <f>+'Costos a Sept-25'!G4</f>
        <v>53100</v>
      </c>
      <c r="P29" s="1378">
        <f>+'Costos a Sept-25'!H4</f>
        <v>0</v>
      </c>
      <c r="Q29" s="1378">
        <f>+'Costos a Sept-25'!I4</f>
        <v>0</v>
      </c>
      <c r="R29" s="1378">
        <f>+'Costos a Sept-25'!J4</f>
        <v>1595686.82</v>
      </c>
      <c r="S29" s="1379">
        <f>+'Costos a Sept-25'!K4</f>
        <v>87792</v>
      </c>
      <c r="T29" s="1209">
        <f>+'Compromisos 09-25'!F11</f>
        <v>657533</v>
      </c>
      <c r="U29" s="1209">
        <f>+'Compromisos 09-25'!G11</f>
        <v>0</v>
      </c>
      <c r="V29" s="1209">
        <f>+'Compromisos 09-25'!H11</f>
        <v>0</v>
      </c>
      <c r="W29" s="1209">
        <f>+'Compromisos 09-25'!I11</f>
        <v>0</v>
      </c>
      <c r="X29" s="1209">
        <f t="shared" si="3"/>
        <v>657533</v>
      </c>
    </row>
    <row r="30" spans="2:24" s="1183" customFormat="1" ht="12">
      <c r="B30" s="1197" t="s">
        <v>50</v>
      </c>
      <c r="C30" s="1198">
        <f>+'ADI 09-25'!C34</f>
        <v>232739209.20512</v>
      </c>
      <c r="D30" s="1198">
        <f>SUM(G30:H30)</f>
        <v>0</v>
      </c>
      <c r="E30" s="1198">
        <f t="shared" si="2"/>
        <v>232739209.20512</v>
      </c>
      <c r="F30" s="1198">
        <f>SUM(G30:I30)</f>
        <v>0</v>
      </c>
      <c r="G30" s="1198">
        <f t="shared" si="8"/>
        <v>0</v>
      </c>
      <c r="H30" s="1198"/>
      <c r="I30" s="1198"/>
      <c r="J30" s="1378">
        <f>+'Costos a Sept-25'!B47</f>
        <v>0</v>
      </c>
      <c r="K30" s="1378">
        <f>+'Costos a Sept-25'!C47</f>
        <v>0</v>
      </c>
      <c r="L30" s="1378">
        <f>+'Costos a Sept-25'!D47</f>
        <v>0</v>
      </c>
      <c r="M30" s="1378">
        <f>+'Costos a Sept-25'!E47</f>
        <v>0</v>
      </c>
      <c r="N30" s="1378">
        <f>+'Costos a Sept-25'!F47</f>
        <v>0</v>
      </c>
      <c r="O30" s="1378">
        <f>+'Costos a Sept-25'!G47</f>
        <v>0</v>
      </c>
      <c r="P30" s="1378">
        <f>+'Costos a Sept-25'!H47</f>
        <v>0</v>
      </c>
      <c r="Q30" s="1378">
        <f>+'Costos a Sept-25'!I47</f>
        <v>0</v>
      </c>
      <c r="R30" s="1378">
        <f>+'Costos a Sept-25'!J47</f>
        <v>0</v>
      </c>
      <c r="S30" s="1379">
        <f>+'Costos a Sept-25'!K47</f>
        <v>0</v>
      </c>
      <c r="T30" s="1209">
        <v>2704059.45</v>
      </c>
      <c r="U30" s="1371">
        <v>650000</v>
      </c>
      <c r="V30" s="1371">
        <v>650000</v>
      </c>
      <c r="W30" s="1371">
        <v>650000</v>
      </c>
      <c r="X30" s="1371">
        <f t="shared" si="3"/>
        <v>4654059.45</v>
      </c>
    </row>
    <row r="31" spans="2:24" s="1183" customFormat="1" ht="12">
      <c r="B31" s="1197" t="s">
        <v>51</v>
      </c>
      <c r="C31" s="1198">
        <f>+'ADI 09-25'!C35</f>
        <v>19863403.175999999</v>
      </c>
      <c r="D31" s="1198">
        <f>SUM(G31:H31)</f>
        <v>0</v>
      </c>
      <c r="E31" s="1198">
        <f t="shared" si="2"/>
        <v>19863403.175999999</v>
      </c>
      <c r="F31" s="1198">
        <f>SUM(G31:I31)</f>
        <v>0</v>
      </c>
      <c r="G31" s="1198">
        <f t="shared" si="8"/>
        <v>0</v>
      </c>
      <c r="H31" s="1198"/>
      <c r="I31" s="1198"/>
      <c r="J31" s="1378">
        <f>+'Costos a Sept-25'!B45</f>
        <v>0</v>
      </c>
      <c r="K31" s="1378">
        <f>+'Costos a Sept-25'!C45</f>
        <v>0</v>
      </c>
      <c r="L31" s="1378">
        <f>+'Costos a Sept-25'!D45</f>
        <v>0</v>
      </c>
      <c r="M31" s="1378">
        <f>+'Costos a Sept-25'!E45</f>
        <v>0</v>
      </c>
      <c r="N31" s="1378">
        <f>+'Costos a Sept-25'!F45</f>
        <v>0</v>
      </c>
      <c r="O31" s="1378">
        <f>+'Costos a Sept-25'!G45</f>
        <v>0</v>
      </c>
      <c r="P31" s="1378">
        <f>+'Costos a Sept-25'!H45</f>
        <v>0</v>
      </c>
      <c r="Q31" s="1378">
        <f>+'Costos a Sept-25'!I45</f>
        <v>0</v>
      </c>
      <c r="R31" s="1378">
        <f>+'Costos a Sept-25'!J45</f>
        <v>0</v>
      </c>
      <c r="S31" s="1379">
        <f>+'Costos a Sept-25'!K45</f>
        <v>0</v>
      </c>
      <c r="T31" s="1209"/>
      <c r="U31" s="1209">
        <f>+'Costos a Sept-25'!M45</f>
        <v>0</v>
      </c>
      <c r="V31" s="1209">
        <f>+'Costos a Sept-25'!N45</f>
        <v>0</v>
      </c>
      <c r="W31" s="1209">
        <f>+'Costos a Sept-25'!O45</f>
        <v>0</v>
      </c>
      <c r="X31" s="1209">
        <f t="shared" si="3"/>
        <v>0</v>
      </c>
    </row>
    <row r="32" spans="2:24" s="1183" customFormat="1" ht="12">
      <c r="B32" s="1199" t="s">
        <v>52</v>
      </c>
      <c r="C32" s="1200">
        <f>SUM(C28:C31)</f>
        <v>308102612.38111997</v>
      </c>
      <c r="D32" s="1200">
        <f t="shared" ref="D32:E32" si="12">SUM(D28:D31)</f>
        <v>40943906.57</v>
      </c>
      <c r="E32" s="1200">
        <f t="shared" si="12"/>
        <v>267158705.81112</v>
      </c>
      <c r="F32" s="1200">
        <f t="shared" ref="F32:S32" si="13">SUM(F28:F31)</f>
        <v>38218610.760000005</v>
      </c>
      <c r="G32" s="1200">
        <f t="shared" ref="G32" si="14">SUM(G28:G31)</f>
        <v>40276591.57</v>
      </c>
      <c r="H32" s="1200">
        <f t="shared" si="13"/>
        <v>667315</v>
      </c>
      <c r="I32" s="1200">
        <f t="shared" si="13"/>
        <v>-2725295.81</v>
      </c>
      <c r="J32" s="1380">
        <f t="shared" si="13"/>
        <v>33883700.019999996</v>
      </c>
      <c r="K32" s="1380">
        <f t="shared" si="13"/>
        <v>239349.75</v>
      </c>
      <c r="L32" s="1380">
        <f t="shared" si="13"/>
        <v>0</v>
      </c>
      <c r="M32" s="1380">
        <f t="shared" si="13"/>
        <v>275065.38</v>
      </c>
      <c r="N32" s="1380">
        <f t="shared" si="13"/>
        <v>660982.84</v>
      </c>
      <c r="O32" s="1380">
        <f t="shared" si="13"/>
        <v>173106</v>
      </c>
      <c r="P32" s="1380">
        <f t="shared" si="13"/>
        <v>1543136</v>
      </c>
      <c r="Q32" s="1380">
        <f t="shared" si="13"/>
        <v>300</v>
      </c>
      <c r="R32" s="1380">
        <f t="shared" si="13"/>
        <v>1819009.35</v>
      </c>
      <c r="S32" s="1381">
        <f t="shared" si="13"/>
        <v>1681942.23</v>
      </c>
      <c r="T32" s="1210">
        <f t="shared" ref="T32:W32" si="15">SUM(T28:T31)</f>
        <v>3919697.1500000004</v>
      </c>
      <c r="U32" s="1210">
        <f t="shared" si="15"/>
        <v>1007835</v>
      </c>
      <c r="V32" s="1210">
        <f t="shared" si="15"/>
        <v>2741958.99</v>
      </c>
      <c r="W32" s="1210">
        <f t="shared" si="15"/>
        <v>1007835</v>
      </c>
      <c r="X32" s="1210">
        <f t="shared" ref="X32" si="16">SUM(X28:X31)</f>
        <v>8677326.1400000006</v>
      </c>
    </row>
    <row r="33" spans="2:24" s="1183" customFormat="1" ht="12">
      <c r="B33" s="1202" t="s">
        <v>53</v>
      </c>
      <c r="C33" s="1203">
        <f t="shared" ref="C33:S33" si="17">+C14+C21+C27+C32</f>
        <v>3428528420.3315516</v>
      </c>
      <c r="D33" s="1203">
        <f t="shared" si="17"/>
        <v>431718057.16999996</v>
      </c>
      <c r="E33" s="1203">
        <f t="shared" si="17"/>
        <v>2996810363.1615515</v>
      </c>
      <c r="F33" s="1203">
        <f t="shared" si="17"/>
        <v>414320616.09999996</v>
      </c>
      <c r="G33" s="1203">
        <f t="shared" si="17"/>
        <v>418411835.75</v>
      </c>
      <c r="H33" s="1203">
        <f t="shared" si="17"/>
        <v>13306221.42</v>
      </c>
      <c r="I33" s="1203">
        <f t="shared" si="17"/>
        <v>-17397441.07</v>
      </c>
      <c r="J33" s="1382">
        <f t="shared" si="17"/>
        <v>151080073.93000001</v>
      </c>
      <c r="K33" s="1382">
        <f t="shared" si="17"/>
        <v>2968703.3</v>
      </c>
      <c r="L33" s="1382">
        <f t="shared" si="17"/>
        <v>2613690.2399999998</v>
      </c>
      <c r="M33" s="1382">
        <f t="shared" si="17"/>
        <v>2895724.79</v>
      </c>
      <c r="N33" s="1382">
        <f t="shared" si="17"/>
        <v>7649161.7599999998</v>
      </c>
      <c r="O33" s="1382">
        <f t="shared" si="17"/>
        <v>6705088.7199999997</v>
      </c>
      <c r="P33" s="1382">
        <f t="shared" si="17"/>
        <v>10036771</v>
      </c>
      <c r="Q33" s="1382">
        <f t="shared" si="17"/>
        <v>19175567.920000002</v>
      </c>
      <c r="R33" s="1382">
        <f t="shared" si="17"/>
        <v>195778925.68999997</v>
      </c>
      <c r="S33" s="1383">
        <f t="shared" si="17"/>
        <v>19508128.399999999</v>
      </c>
      <c r="T33" s="1211">
        <f t="shared" ref="T33" si="18">+T14+T21+T27+T32</f>
        <v>25350693.310000002</v>
      </c>
      <c r="U33" s="1211">
        <f t="shared" ref="U33" si="19">+U14+U21+U27+U32</f>
        <v>13056072.5</v>
      </c>
      <c r="V33" s="1211">
        <f t="shared" ref="V33" si="20">+V14+V21+V27+V32</f>
        <v>16133746.49</v>
      </c>
      <c r="W33" s="1211">
        <f t="shared" ref="W33:X33" si="21">+W14+W21+W27+W32</f>
        <v>15403537.300000001</v>
      </c>
      <c r="X33" s="1211">
        <f t="shared" si="21"/>
        <v>69944049.599999994</v>
      </c>
    </row>
    <row r="34" spans="2:24" s="1183" customFormat="1" ht="12">
      <c r="B34" s="1267" t="s">
        <v>1922</v>
      </c>
      <c r="C34" s="1268"/>
      <c r="D34" s="1268"/>
      <c r="E34" s="1268"/>
      <c r="F34" s="1268"/>
      <c r="G34" s="1268">
        <f>+'BCE 09-25'!C25</f>
        <v>418411839.94000006</v>
      </c>
      <c r="H34" s="1268">
        <f>+'BCE 09-25'!C19</f>
        <v>13306221.5</v>
      </c>
      <c r="I34" s="1268">
        <f>-'BCE 09-25'!C32-'BCE 09-25'!C33-'BCE 09-25'!C35</f>
        <v>-17400265.870000001</v>
      </c>
      <c r="J34" s="1205"/>
    </row>
    <row r="35" spans="2:24" s="1183" customFormat="1" ht="12">
      <c r="C35" s="1188"/>
      <c r="F35" s="1206"/>
      <c r="G35" s="1206">
        <f>+G33-G34</f>
        <v>-4.190000057220459</v>
      </c>
      <c r="H35" s="1206">
        <f t="shared" ref="H35:I35" si="22">+H33-H34</f>
        <v>-8.0000000074505806E-2</v>
      </c>
      <c r="I35" s="1206">
        <f t="shared" si="22"/>
        <v>2824.8000000007451</v>
      </c>
      <c r="M35" s="1205"/>
    </row>
  </sheetData>
  <mergeCells count="3">
    <mergeCell ref="B3:C3"/>
    <mergeCell ref="B11:C11"/>
    <mergeCell ref="D10:I10"/>
  </mergeCells>
  <phoneticPr fontId="3" type="noConversion"/>
  <hyperlinks>
    <hyperlink ref="F1" r:id="rId1" xr:uid="{05782431-2225-4281-B202-131550125999}"/>
  </hyperlinks>
  <pageMargins left="0.5" right="0.69" top="0.92" bottom="1" header="0" footer="0"/>
  <pageSetup scale="38" orientation="landscape" r:id="rId2"/>
  <ignoredErrors>
    <ignoredError sqref="J21:S21 C21" formulaRange="1"/>
    <ignoredError sqref="F21" formula="1" formulaRange="1"/>
    <ignoredError sqref="F27:G27 D21 G21:G26 D27" formula="1"/>
  </ignoredError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027E6-6EA9-441F-BA24-F6B50AE1D36D}">
  <dimension ref="A1:L89"/>
  <sheetViews>
    <sheetView showGridLines="0" topLeftCell="A63" zoomScale="110" zoomScaleNormal="110" workbookViewId="0">
      <selection activeCell="C14" sqref="C14"/>
    </sheetView>
  </sheetViews>
  <sheetFormatPr baseColWidth="10" defaultColWidth="8" defaultRowHeight="11.4"/>
  <cols>
    <col min="1" max="1" width="19" style="1212" customWidth="1"/>
    <col min="2" max="2" width="30.33203125" style="1212" customWidth="1"/>
    <col min="3" max="3" width="28.109375" style="1212" customWidth="1"/>
    <col min="4" max="4" width="16.109375" style="1212" customWidth="1"/>
    <col min="5" max="5" width="12.6640625" style="1212" customWidth="1"/>
    <col min="6" max="10" width="11.6640625" style="1212" bestFit="1" customWidth="1"/>
    <col min="11" max="11" width="11.5546875" style="1212" bestFit="1" customWidth="1"/>
    <col min="12" max="12" width="12.109375" style="1212" bestFit="1" customWidth="1"/>
    <col min="13" max="16384" width="8" style="1212"/>
  </cols>
  <sheetData>
    <row r="1" spans="1:12" s="1221" customFormat="1" ht="16.649999999999999" customHeight="1">
      <c r="A1" s="1960" t="s">
        <v>662</v>
      </c>
      <c r="B1" s="1960"/>
      <c r="C1" s="1960"/>
      <c r="D1" s="1960"/>
      <c r="E1" s="1960"/>
      <c r="F1" s="1972"/>
      <c r="G1" s="1972"/>
      <c r="H1" s="1972"/>
      <c r="I1" s="1972"/>
      <c r="J1" s="1972"/>
      <c r="K1" s="1972"/>
      <c r="L1" s="1972"/>
    </row>
    <row r="2" spans="1:12" s="1220" customFormat="1" ht="14.4" customHeight="1">
      <c r="A2" s="1961" t="s">
        <v>236</v>
      </c>
      <c r="B2" s="1961"/>
      <c r="C2" s="1961"/>
      <c r="D2" s="1961"/>
      <c r="E2" s="1961"/>
      <c r="F2" s="1973"/>
      <c r="G2" s="1973"/>
      <c r="H2" s="1973"/>
      <c r="I2" s="1973"/>
      <c r="J2" s="1973"/>
      <c r="K2" s="1973"/>
      <c r="L2" s="1973"/>
    </row>
    <row r="3" spans="1:12" s="1220" customFormat="1" ht="14.4" customHeight="1">
      <c r="A3" s="1961" t="s">
        <v>1923</v>
      </c>
      <c r="B3" s="1961"/>
      <c r="C3" s="1961"/>
      <c r="D3" s="1961"/>
      <c r="E3" s="1961"/>
      <c r="F3" s="1973"/>
      <c r="G3" s="1973"/>
      <c r="H3" s="1973"/>
      <c r="I3" s="1973"/>
      <c r="J3" s="1973"/>
      <c r="K3" s="1973"/>
      <c r="L3" s="1973"/>
    </row>
    <row r="4" spans="1:12" ht="13.35" customHeight="1"/>
    <row r="5" spans="1:12" s="1216" customFormat="1" ht="12.15" customHeight="1">
      <c r="A5" s="1962" t="s">
        <v>1485</v>
      </c>
      <c r="B5" s="1962" t="s">
        <v>690</v>
      </c>
      <c r="C5" s="1962" t="s">
        <v>817</v>
      </c>
      <c r="D5" s="1962" t="s">
        <v>1924</v>
      </c>
      <c r="E5" s="1963" t="s">
        <v>665</v>
      </c>
      <c r="F5" s="1367">
        <v>45931</v>
      </c>
      <c r="G5" s="1367">
        <v>45962</v>
      </c>
      <c r="H5" s="1367">
        <v>45992</v>
      </c>
      <c r="I5" s="1367">
        <v>46023</v>
      </c>
      <c r="J5" s="1367">
        <v>46054</v>
      </c>
      <c r="K5" s="1367" t="s">
        <v>164</v>
      </c>
      <c r="L5" s="1967"/>
    </row>
    <row r="6" spans="1:12" ht="13.35" customHeight="1"/>
    <row r="7" spans="1:12" s="1216" customFormat="1" ht="12.15" customHeight="1">
      <c r="A7" s="1964" t="s">
        <v>1389</v>
      </c>
      <c r="B7" s="1964"/>
      <c r="C7" s="1964"/>
      <c r="D7" s="1964"/>
      <c r="E7" s="1974"/>
      <c r="F7" s="1964"/>
      <c r="G7" s="1964"/>
      <c r="H7" s="1964"/>
      <c r="I7" s="1964"/>
      <c r="J7" s="1964"/>
      <c r="K7" s="1964"/>
      <c r="L7" s="1967"/>
    </row>
    <row r="8" spans="1:12" ht="10.95" customHeight="1">
      <c r="A8" s="1215">
        <v>45938</v>
      </c>
      <c r="B8" s="1214" t="s">
        <v>330</v>
      </c>
      <c r="C8" s="1214" t="s">
        <v>1925</v>
      </c>
      <c r="D8" s="1214" t="s">
        <v>1926</v>
      </c>
      <c r="E8" s="1975">
        <f>206500-70000</f>
        <v>136500</v>
      </c>
      <c r="F8" s="1213">
        <f>+E8</f>
        <v>136500</v>
      </c>
      <c r="G8" s="1213"/>
      <c r="H8" s="1213"/>
      <c r="I8" s="1213"/>
      <c r="J8" s="1213"/>
      <c r="K8" s="1213">
        <f>SUM(F8:I8)</f>
        <v>136500</v>
      </c>
      <c r="L8" s="1370">
        <f>+E8-K8</f>
        <v>0</v>
      </c>
    </row>
    <row r="9" spans="1:12" ht="10.95" customHeight="1">
      <c r="A9" s="1215"/>
      <c r="B9" s="1214" t="s">
        <v>327</v>
      </c>
      <c r="C9" s="1214" t="s">
        <v>1694</v>
      </c>
      <c r="D9" s="1214" t="s">
        <v>1693</v>
      </c>
      <c r="E9" s="1975">
        <v>435483</v>
      </c>
      <c r="F9" s="1213">
        <f>+E9</f>
        <v>435483</v>
      </c>
      <c r="G9" s="1213"/>
      <c r="H9" s="1213"/>
      <c r="I9" s="1213"/>
      <c r="J9" s="1213"/>
      <c r="K9" s="1213">
        <f t="shared" ref="K9:K10" si="0">SUM(F9:I9)</f>
        <v>435483</v>
      </c>
      <c r="L9" s="1370">
        <f t="shared" ref="L9:L84" si="1">+E9-K9</f>
        <v>0</v>
      </c>
    </row>
    <row r="10" spans="1:12" ht="10.95" customHeight="1">
      <c r="A10" s="1215"/>
      <c r="B10" s="1214" t="s">
        <v>1700</v>
      </c>
      <c r="C10" s="1214" t="s">
        <v>1702</v>
      </c>
      <c r="D10" s="1214" t="s">
        <v>1701</v>
      </c>
      <c r="E10" s="1975">
        <v>85550</v>
      </c>
      <c r="F10" s="1213">
        <f>+E10</f>
        <v>85550</v>
      </c>
      <c r="G10" s="1213"/>
      <c r="H10" s="1213"/>
      <c r="I10" s="1213"/>
      <c r="J10" s="1213"/>
      <c r="K10" s="1213">
        <f t="shared" si="0"/>
        <v>85550</v>
      </c>
      <c r="L10" s="1370">
        <f t="shared" si="1"/>
        <v>0</v>
      </c>
    </row>
    <row r="11" spans="1:12" ht="10.95" customHeight="1">
      <c r="A11" s="1965" t="s">
        <v>1927</v>
      </c>
      <c r="B11" s="1965"/>
      <c r="C11" s="1965"/>
      <c r="D11" s="1965"/>
      <c r="E11" s="1976">
        <f>SUM(E8:E10)</f>
        <v>657533</v>
      </c>
      <c r="F11" s="1966">
        <f t="shared" ref="F11:K11" si="2">SUM(F8:F10)</f>
        <v>657533</v>
      </c>
      <c r="G11" s="1966">
        <f t="shared" si="2"/>
        <v>0</v>
      </c>
      <c r="H11" s="1966">
        <f t="shared" si="2"/>
        <v>0</v>
      </c>
      <c r="I11" s="1966">
        <f t="shared" si="2"/>
        <v>0</v>
      </c>
      <c r="J11" s="1966"/>
      <c r="K11" s="1966">
        <f t="shared" si="2"/>
        <v>657533</v>
      </c>
      <c r="L11" s="1370">
        <f t="shared" si="1"/>
        <v>0</v>
      </c>
    </row>
    <row r="12" spans="1:12" ht="13.35" customHeight="1">
      <c r="E12" s="400"/>
      <c r="L12" s="1370">
        <f t="shared" si="1"/>
        <v>0</v>
      </c>
    </row>
    <row r="13" spans="1:12" ht="13.35" customHeight="1">
      <c r="A13" s="1964" t="s">
        <v>1793</v>
      </c>
      <c r="B13" s="1964"/>
      <c r="C13" s="1964"/>
      <c r="D13" s="1964"/>
      <c r="E13" s="1974"/>
      <c r="F13" s="1964"/>
      <c r="G13" s="1964"/>
      <c r="H13" s="1964"/>
      <c r="I13" s="1964"/>
      <c r="J13" s="1964"/>
      <c r="K13" s="1964"/>
      <c r="L13" s="1370">
        <f t="shared" si="1"/>
        <v>0</v>
      </c>
    </row>
    <row r="14" spans="1:12" ht="10.95" customHeight="1">
      <c r="A14" s="1215"/>
      <c r="B14" s="1214" t="s">
        <v>715</v>
      </c>
      <c r="C14" s="1214" t="s">
        <v>1081</v>
      </c>
      <c r="D14" s="1214" t="s">
        <v>1080</v>
      </c>
      <c r="E14" s="1975">
        <v>820986.91000000015</v>
      </c>
      <c r="F14" s="1213">
        <f>+E14</f>
        <v>820986.91000000015</v>
      </c>
      <c r="G14" s="1213"/>
      <c r="H14" s="1213"/>
      <c r="I14" s="1213"/>
      <c r="J14" s="1213"/>
      <c r="K14" s="1213">
        <f t="shared" ref="K14:K16" si="3">SUM(F14:J14)</f>
        <v>820986.91000000015</v>
      </c>
      <c r="L14" s="1370">
        <f t="shared" si="1"/>
        <v>0</v>
      </c>
    </row>
    <row r="15" spans="1:12" ht="10.95" customHeight="1">
      <c r="A15" s="1215"/>
      <c r="B15" s="1214" t="s">
        <v>715</v>
      </c>
      <c r="C15" s="1214" t="s">
        <v>1098</v>
      </c>
      <c r="D15" s="1214" t="s">
        <v>1097</v>
      </c>
      <c r="E15" s="1975">
        <v>231462.5</v>
      </c>
      <c r="F15" s="1213">
        <f>+E15</f>
        <v>231462.5</v>
      </c>
      <c r="G15" s="1213"/>
      <c r="H15" s="1213"/>
      <c r="I15" s="1213"/>
      <c r="J15" s="1213"/>
      <c r="K15" s="1213">
        <f t="shared" si="3"/>
        <v>231462.5</v>
      </c>
      <c r="L15" s="1370">
        <f t="shared" si="1"/>
        <v>0</v>
      </c>
    </row>
    <row r="16" spans="1:12" ht="10.95" customHeight="1">
      <c r="A16" s="1215"/>
      <c r="B16" s="1214" t="s">
        <v>1084</v>
      </c>
      <c r="C16" s="1214" t="s">
        <v>1086</v>
      </c>
      <c r="D16" s="1214" t="s">
        <v>1085</v>
      </c>
      <c r="E16" s="1975">
        <v>10193803.6</v>
      </c>
      <c r="F16" s="1213">
        <v>1000000</v>
      </c>
      <c r="G16" s="1213">
        <v>2000000</v>
      </c>
      <c r="H16" s="1213">
        <v>3000000</v>
      </c>
      <c r="I16" s="1213">
        <v>3000000</v>
      </c>
      <c r="J16" s="1213">
        <v>1193803.6000000001</v>
      </c>
      <c r="K16" s="1213">
        <f t="shared" si="3"/>
        <v>10193803.6</v>
      </c>
      <c r="L16" s="1370">
        <f t="shared" si="1"/>
        <v>0</v>
      </c>
    </row>
    <row r="17" spans="1:12" s="373" customFormat="1" ht="12">
      <c r="C17" s="1391" t="s">
        <v>1226</v>
      </c>
      <c r="D17" s="1392"/>
      <c r="E17" s="1393">
        <v>5283734</v>
      </c>
      <c r="G17" s="1393">
        <v>1500000</v>
      </c>
      <c r="H17" s="1393">
        <v>2000000</v>
      </c>
      <c r="I17" s="1393">
        <v>1183734</v>
      </c>
      <c r="J17" s="1393">
        <v>600000</v>
      </c>
      <c r="K17" s="1213">
        <f>SUM(F17:J17)</f>
        <v>5283734</v>
      </c>
      <c r="L17" s="1388"/>
    </row>
    <row r="18" spans="1:12" s="373" customFormat="1" ht="12">
      <c r="C18" s="1391" t="s">
        <v>1227</v>
      </c>
      <c r="D18" s="1392"/>
      <c r="E18" s="1393">
        <v>7782000</v>
      </c>
      <c r="G18" s="1393">
        <v>500000</v>
      </c>
      <c r="H18" s="1393">
        <v>500000</v>
      </c>
      <c r="I18" s="1393">
        <v>2500000</v>
      </c>
      <c r="J18" s="1393">
        <v>3782000</v>
      </c>
      <c r="K18" s="1213">
        <f>SUM(F18:J18)</f>
        <v>7282000</v>
      </c>
      <c r="L18" s="1388"/>
    </row>
    <row r="19" spans="1:12" ht="13.35" customHeight="1">
      <c r="A19" s="1965" t="s">
        <v>1928</v>
      </c>
      <c r="B19" s="1965"/>
      <c r="C19" s="1965"/>
      <c r="D19" s="1965"/>
      <c r="E19" s="1976">
        <f>SUM(E14:E18)</f>
        <v>24311987.009999998</v>
      </c>
      <c r="F19" s="1976">
        <f t="shared" ref="F19:J19" si="4">SUM(F14:F18)</f>
        <v>2052449.4100000001</v>
      </c>
      <c r="G19" s="1976">
        <f t="shared" si="4"/>
        <v>4000000</v>
      </c>
      <c r="H19" s="1976">
        <f t="shared" si="4"/>
        <v>5500000</v>
      </c>
      <c r="I19" s="1976">
        <f t="shared" si="4"/>
        <v>6683734</v>
      </c>
      <c r="J19" s="1976">
        <f t="shared" si="4"/>
        <v>5575803.5999999996</v>
      </c>
      <c r="K19" s="1966">
        <f>SUM(K14:K18)</f>
        <v>23811987.009999998</v>
      </c>
      <c r="L19" s="1370">
        <f t="shared" si="1"/>
        <v>500000</v>
      </c>
    </row>
    <row r="20" spans="1:12" ht="13.35" customHeight="1">
      <c r="A20" s="1977"/>
      <c r="B20" s="1977"/>
      <c r="C20" s="1977"/>
      <c r="D20" s="1977"/>
      <c r="E20" s="1978"/>
      <c r="F20" s="1978"/>
      <c r="G20" s="1978"/>
      <c r="H20" s="1978"/>
      <c r="I20" s="1978"/>
      <c r="J20" s="1978"/>
      <c r="K20" s="1979"/>
      <c r="L20" s="1370"/>
    </row>
    <row r="21" spans="1:12" s="373" customFormat="1" ht="12">
      <c r="C21" s="1391" t="s">
        <v>1229</v>
      </c>
      <c r="D21" s="1392"/>
      <c r="E21" s="1393">
        <v>19700000</v>
      </c>
      <c r="G21" s="1393">
        <v>3000000</v>
      </c>
      <c r="H21" s="1393">
        <v>5700000</v>
      </c>
      <c r="I21" s="1393">
        <v>5000000</v>
      </c>
      <c r="J21" s="1393">
        <v>6000000</v>
      </c>
      <c r="K21" s="1213">
        <f>SUM(F21:J21)</f>
        <v>19700000</v>
      </c>
      <c r="L21" s="1388"/>
    </row>
    <row r="22" spans="1:12" s="1134" customFormat="1" ht="13.8">
      <c r="A22" s="1390" t="s">
        <v>1400</v>
      </c>
      <c r="E22" s="1976">
        <f>SUM(E21)</f>
        <v>19700000</v>
      </c>
      <c r="F22" s="1976">
        <f t="shared" ref="F22:J22" si="5">SUM(F21)</f>
        <v>0</v>
      </c>
      <c r="G22" s="1976">
        <f t="shared" si="5"/>
        <v>3000000</v>
      </c>
      <c r="H22" s="1976">
        <f t="shared" si="5"/>
        <v>5700000</v>
      </c>
      <c r="I22" s="1976">
        <f t="shared" si="5"/>
        <v>5000000</v>
      </c>
      <c r="J22" s="1976">
        <f t="shared" si="5"/>
        <v>6000000</v>
      </c>
      <c r="K22" s="1966">
        <f t="shared" ref="K22:L22" si="6">SUM(K21)</f>
        <v>19700000</v>
      </c>
      <c r="L22" s="1135">
        <f t="shared" si="6"/>
        <v>0</v>
      </c>
    </row>
    <row r="23" spans="1:12" ht="13.35" customHeight="1">
      <c r="E23" s="400"/>
      <c r="L23" s="1370">
        <f t="shared" si="1"/>
        <v>0</v>
      </c>
    </row>
    <row r="24" spans="1:12" s="1216" customFormat="1" ht="12.15" customHeight="1">
      <c r="A24" s="1964" t="s">
        <v>1037</v>
      </c>
      <c r="B24" s="1964"/>
      <c r="C24" s="1964"/>
      <c r="D24" s="1964"/>
      <c r="E24" s="1974"/>
      <c r="F24" s="1964"/>
      <c r="G24" s="1964"/>
      <c r="H24" s="1964"/>
      <c r="I24" s="1964"/>
      <c r="J24" s="1964"/>
      <c r="K24" s="1964"/>
      <c r="L24" s="1370">
        <f t="shared" si="1"/>
        <v>0</v>
      </c>
    </row>
    <row r="25" spans="1:12" ht="10.95" customHeight="1">
      <c r="A25" s="1215">
        <v>45940</v>
      </c>
      <c r="B25" s="1214" t="s">
        <v>715</v>
      </c>
      <c r="C25" s="1214" t="s">
        <v>1929</v>
      </c>
      <c r="D25" s="1214" t="s">
        <v>1930</v>
      </c>
      <c r="E25" s="1975">
        <v>2360000</v>
      </c>
      <c r="F25" s="1213">
        <v>2360000</v>
      </c>
      <c r="G25" s="1368">
        <v>2360000</v>
      </c>
      <c r="H25" s="1368">
        <v>2360000</v>
      </c>
      <c r="I25" s="1368">
        <v>2360000</v>
      </c>
      <c r="J25" s="1368">
        <v>2360000</v>
      </c>
      <c r="K25" s="1213">
        <f>SUM(F25:J25)</f>
        <v>11800000</v>
      </c>
      <c r="L25" s="1370">
        <f t="shared" si="1"/>
        <v>-9440000</v>
      </c>
    </row>
    <row r="26" spans="1:12" ht="10.95" customHeight="1">
      <c r="A26" s="1965" t="s">
        <v>1931</v>
      </c>
      <c r="B26" s="1965"/>
      <c r="C26" s="1965"/>
      <c r="D26" s="1965"/>
      <c r="E26" s="1976">
        <f>E25</f>
        <v>2360000</v>
      </c>
      <c r="F26" s="1966">
        <f t="shared" ref="F26:K26" si="7">F25</f>
        <v>2360000</v>
      </c>
      <c r="G26" s="1966">
        <f t="shared" si="7"/>
        <v>2360000</v>
      </c>
      <c r="H26" s="1966">
        <f t="shared" si="7"/>
        <v>2360000</v>
      </c>
      <c r="I26" s="1966">
        <f t="shared" si="7"/>
        <v>2360000</v>
      </c>
      <c r="J26" s="1966">
        <f t="shared" si="7"/>
        <v>2360000</v>
      </c>
      <c r="K26" s="1966">
        <f t="shared" si="7"/>
        <v>11800000</v>
      </c>
      <c r="L26" s="1370">
        <f t="shared" si="1"/>
        <v>-9440000</v>
      </c>
    </row>
    <row r="27" spans="1:12" ht="13.35" customHeight="1">
      <c r="E27" s="400"/>
      <c r="L27" s="1370">
        <f t="shared" si="1"/>
        <v>0</v>
      </c>
    </row>
    <row r="28" spans="1:12" s="1216" customFormat="1" ht="12.15" customHeight="1">
      <c r="A28" s="1964" t="s">
        <v>1806</v>
      </c>
      <c r="B28" s="1964"/>
      <c r="C28" s="1964"/>
      <c r="D28" s="1964"/>
      <c r="E28" s="1974"/>
      <c r="F28" s="1964"/>
      <c r="G28" s="1964"/>
      <c r="H28" s="1964"/>
      <c r="I28" s="1964"/>
      <c r="J28" s="1964"/>
      <c r="K28" s="1964"/>
      <c r="L28" s="1370">
        <f t="shared" ref="L28:L31" si="8">+E28-K28</f>
        <v>0</v>
      </c>
    </row>
    <row r="29" spans="1:12" ht="10.95" customHeight="1">
      <c r="A29" s="1215">
        <v>45940</v>
      </c>
      <c r="B29" s="1214" t="s">
        <v>1932</v>
      </c>
      <c r="C29" s="1214" t="s">
        <v>1932</v>
      </c>
      <c r="D29" s="1214"/>
      <c r="E29" s="1975">
        <v>506964.3</v>
      </c>
      <c r="F29" s="1213">
        <f>+E29</f>
        <v>506964.3</v>
      </c>
      <c r="G29" s="1368">
        <v>506964.3</v>
      </c>
      <c r="H29" s="1368">
        <v>506964.3</v>
      </c>
      <c r="I29" s="1368">
        <v>506964.3</v>
      </c>
      <c r="J29" s="1368">
        <v>506964.3</v>
      </c>
      <c r="K29" s="1213">
        <f>SUM(F29:J29)</f>
        <v>2534821.5</v>
      </c>
      <c r="L29" s="1370">
        <f t="shared" si="8"/>
        <v>-2027857.2</v>
      </c>
    </row>
    <row r="30" spans="1:12" ht="10.95" customHeight="1">
      <c r="A30" s="1965" t="s">
        <v>1933</v>
      </c>
      <c r="B30" s="1965"/>
      <c r="C30" s="1965"/>
      <c r="D30" s="1965"/>
      <c r="E30" s="1976">
        <f>E29</f>
        <v>506964.3</v>
      </c>
      <c r="F30" s="1966">
        <f t="shared" ref="F30" si="9">F29</f>
        <v>506964.3</v>
      </c>
      <c r="G30" s="1966">
        <f t="shared" ref="G30" si="10">G29</f>
        <v>506964.3</v>
      </c>
      <c r="H30" s="1966">
        <f t="shared" ref="H30" si="11">H29</f>
        <v>506964.3</v>
      </c>
      <c r="I30" s="1966">
        <f t="shared" ref="I30:J30" si="12">I29</f>
        <v>506964.3</v>
      </c>
      <c r="J30" s="1966">
        <f t="shared" si="12"/>
        <v>506964.3</v>
      </c>
      <c r="K30" s="1966">
        <f t="shared" ref="K30" si="13">K29</f>
        <v>2534821.5</v>
      </c>
      <c r="L30" s="1370">
        <f t="shared" si="8"/>
        <v>-2027857.2</v>
      </c>
    </row>
    <row r="31" spans="1:12" ht="13.35" customHeight="1">
      <c r="E31" s="400"/>
      <c r="L31" s="1370">
        <f t="shared" si="8"/>
        <v>0</v>
      </c>
    </row>
    <row r="32" spans="1:12" s="1216" customFormat="1" ht="12.15" customHeight="1">
      <c r="A32" s="1964" t="s">
        <v>1797</v>
      </c>
      <c r="B32" s="1964"/>
      <c r="C32" s="1964"/>
      <c r="D32" s="1964"/>
      <c r="E32" s="1974"/>
      <c r="F32" s="1964"/>
      <c r="G32" s="1964"/>
      <c r="H32" s="1964"/>
      <c r="I32" s="1964"/>
      <c r="J32" s="1964"/>
      <c r="K32" s="1964"/>
      <c r="L32" s="1370">
        <f t="shared" ref="L32:L35" si="14">+E32-K32</f>
        <v>0</v>
      </c>
    </row>
    <row r="33" spans="1:12" ht="10.95" customHeight="1">
      <c r="A33" s="1215">
        <v>45940</v>
      </c>
      <c r="B33" s="1214"/>
      <c r="C33" s="1214"/>
      <c r="D33" s="1214"/>
      <c r="E33" s="1975">
        <v>250000</v>
      </c>
      <c r="F33" s="1213">
        <f>+E33</f>
        <v>250000</v>
      </c>
      <c r="G33" s="1368">
        <v>250000</v>
      </c>
      <c r="H33" s="1368">
        <v>250000</v>
      </c>
      <c r="I33" s="1368">
        <v>250000</v>
      </c>
      <c r="J33" s="1368">
        <v>250000</v>
      </c>
      <c r="K33" s="1213">
        <f>SUM(F33:J33)</f>
        <v>1250000</v>
      </c>
      <c r="L33" s="1370">
        <f t="shared" si="14"/>
        <v>-1000000</v>
      </c>
    </row>
    <row r="34" spans="1:12" ht="10.95" customHeight="1">
      <c r="A34" s="1965" t="s">
        <v>1797</v>
      </c>
      <c r="B34" s="1965"/>
      <c r="C34" s="1965"/>
      <c r="D34" s="1965"/>
      <c r="E34" s="1976">
        <f>E33</f>
        <v>250000</v>
      </c>
      <c r="F34" s="1966">
        <f t="shared" ref="F34" si="15">F33</f>
        <v>250000</v>
      </c>
      <c r="G34" s="1966">
        <f t="shared" ref="G34" si="16">G33</f>
        <v>250000</v>
      </c>
      <c r="H34" s="1966">
        <f t="shared" ref="H34" si="17">H33</f>
        <v>250000</v>
      </c>
      <c r="I34" s="1966">
        <f t="shared" ref="I34:J34" si="18">I33</f>
        <v>250000</v>
      </c>
      <c r="J34" s="1966">
        <f t="shared" si="18"/>
        <v>250000</v>
      </c>
      <c r="K34" s="1966">
        <f t="shared" ref="K34" si="19">K33</f>
        <v>1250000</v>
      </c>
      <c r="L34" s="1370">
        <f t="shared" si="14"/>
        <v>-1000000</v>
      </c>
    </row>
    <row r="35" spans="1:12" ht="13.35" customHeight="1">
      <c r="E35" s="400"/>
      <c r="L35" s="1370">
        <f t="shared" si="14"/>
        <v>0</v>
      </c>
    </row>
    <row r="36" spans="1:12" s="1216" customFormat="1" ht="12.15" customHeight="1">
      <c r="A36" s="1964" t="s">
        <v>954</v>
      </c>
      <c r="B36" s="1964"/>
      <c r="C36" s="1964"/>
      <c r="D36" s="1964"/>
      <c r="E36" s="1974"/>
      <c r="F36" s="1964"/>
      <c r="G36" s="1964"/>
      <c r="H36" s="1964"/>
      <c r="I36" s="1964"/>
      <c r="J36" s="1964"/>
      <c r="K36" s="1964"/>
      <c r="L36" s="1370">
        <f t="shared" si="1"/>
        <v>0</v>
      </c>
    </row>
    <row r="37" spans="1:12" ht="10.95" customHeight="1">
      <c r="A37" s="1215">
        <v>45937</v>
      </c>
      <c r="B37" s="1214" t="s">
        <v>295</v>
      </c>
      <c r="C37" s="1214" t="s">
        <v>1934</v>
      </c>
      <c r="D37" s="1214" t="s">
        <v>1935</v>
      </c>
      <c r="E37" s="1975">
        <v>1770000</v>
      </c>
      <c r="F37" s="1213">
        <v>1770000</v>
      </c>
      <c r="G37" s="1368">
        <v>1770000</v>
      </c>
      <c r="H37" s="1368">
        <v>1770000</v>
      </c>
      <c r="I37" s="1368">
        <v>1770000</v>
      </c>
      <c r="J37" s="1368">
        <v>1770000</v>
      </c>
      <c r="K37" s="1213">
        <f>SUM(F37:J37)</f>
        <v>8850000</v>
      </c>
      <c r="L37" s="1370">
        <f t="shared" si="1"/>
        <v>-7080000</v>
      </c>
    </row>
    <row r="38" spans="1:12" ht="10.95" customHeight="1">
      <c r="A38" s="1965" t="s">
        <v>1936</v>
      </c>
      <c r="B38" s="1965"/>
      <c r="C38" s="1965"/>
      <c r="D38" s="1965"/>
      <c r="E38" s="1976">
        <f>E37</f>
        <v>1770000</v>
      </c>
      <c r="F38" s="1966">
        <f t="shared" ref="F38:K38" si="20">F37</f>
        <v>1770000</v>
      </c>
      <c r="G38" s="1966">
        <f t="shared" si="20"/>
        <v>1770000</v>
      </c>
      <c r="H38" s="1966">
        <f t="shared" si="20"/>
        <v>1770000</v>
      </c>
      <c r="I38" s="1966">
        <f t="shared" si="20"/>
        <v>1770000</v>
      </c>
      <c r="J38" s="1966">
        <f t="shared" si="20"/>
        <v>1770000</v>
      </c>
      <c r="K38" s="1966">
        <f t="shared" si="20"/>
        <v>8850000</v>
      </c>
      <c r="L38" s="1370">
        <f t="shared" si="1"/>
        <v>-7080000</v>
      </c>
    </row>
    <row r="39" spans="1:12" ht="13.35" customHeight="1">
      <c r="E39" s="400"/>
      <c r="L39" s="1370">
        <f t="shared" si="1"/>
        <v>0</v>
      </c>
    </row>
    <row r="40" spans="1:12" s="1216" customFormat="1" ht="12.15" customHeight="1">
      <c r="A40" s="1964" t="s">
        <v>1610</v>
      </c>
      <c r="B40" s="1964"/>
      <c r="C40" s="1964"/>
      <c r="D40" s="1964"/>
      <c r="E40" s="1974"/>
      <c r="F40" s="1964"/>
      <c r="G40" s="1964"/>
      <c r="H40" s="1964"/>
      <c r="I40" s="1964"/>
      <c r="J40" s="1964"/>
      <c r="K40" s="1964"/>
      <c r="L40" s="1370">
        <f t="shared" si="1"/>
        <v>0</v>
      </c>
    </row>
    <row r="41" spans="1:12" ht="10.95" customHeight="1">
      <c r="A41" s="1215">
        <v>45933</v>
      </c>
      <c r="B41" s="1214" t="s">
        <v>1569</v>
      </c>
      <c r="C41" s="1214" t="s">
        <v>1937</v>
      </c>
      <c r="D41" s="1214" t="s">
        <v>1938</v>
      </c>
      <c r="E41" s="1975">
        <v>6641071.5300000003</v>
      </c>
      <c r="F41" s="1213">
        <v>6641071.5300000003</v>
      </c>
      <c r="G41" s="1368"/>
      <c r="H41" s="1368"/>
      <c r="I41" s="1368"/>
      <c r="J41" s="1368"/>
      <c r="K41" s="1213">
        <f t="shared" ref="K41:K43" si="21">SUM(F41:I41)</f>
        <v>6641071.5300000003</v>
      </c>
      <c r="L41" s="1370">
        <f t="shared" si="1"/>
        <v>0</v>
      </c>
    </row>
    <row r="42" spans="1:12" ht="10.95" customHeight="1">
      <c r="A42" s="1219">
        <v>45943</v>
      </c>
      <c r="B42" s="1218" t="s">
        <v>389</v>
      </c>
      <c r="C42" s="1218" t="s">
        <v>1939</v>
      </c>
      <c r="D42" s="1218" t="s">
        <v>1940</v>
      </c>
      <c r="E42" s="1980">
        <v>480332.16</v>
      </c>
      <c r="F42" s="1217">
        <v>480332.16</v>
      </c>
      <c r="G42" s="1369"/>
      <c r="H42" s="1369"/>
      <c r="I42" s="1369"/>
      <c r="J42" s="1368"/>
      <c r="K42" s="1213">
        <f t="shared" si="21"/>
        <v>480332.16</v>
      </c>
      <c r="L42" s="1370">
        <f t="shared" si="1"/>
        <v>0</v>
      </c>
    </row>
    <row r="43" spans="1:12" ht="10.95" customHeight="1">
      <c r="A43" s="1219">
        <v>45943</v>
      </c>
      <c r="B43" s="1218" t="s">
        <v>1569</v>
      </c>
      <c r="C43" s="1218" t="s">
        <v>1941</v>
      </c>
      <c r="D43" s="1218" t="s">
        <v>1942</v>
      </c>
      <c r="E43" s="1980">
        <v>3552763.7</v>
      </c>
      <c r="F43" s="1217">
        <v>3552763.7</v>
      </c>
      <c r="G43" s="1369"/>
      <c r="H43" s="1369"/>
      <c r="I43" s="1369"/>
      <c r="J43" s="1368"/>
      <c r="K43" s="1213">
        <f t="shared" si="21"/>
        <v>3552763.7</v>
      </c>
      <c r="L43" s="1370">
        <f t="shared" si="1"/>
        <v>0</v>
      </c>
    </row>
    <row r="44" spans="1:12" ht="10.95" customHeight="1">
      <c r="A44" s="1965" t="s">
        <v>1943</v>
      </c>
      <c r="B44" s="1965"/>
      <c r="C44" s="1965"/>
      <c r="D44" s="1965"/>
      <c r="E44" s="1976">
        <f>SUM(E41:E43)</f>
        <v>10674167.390000001</v>
      </c>
      <c r="F44" s="1966">
        <f t="shared" ref="F44:K44" si="22">SUM(F41:F43)</f>
        <v>10674167.390000001</v>
      </c>
      <c r="G44" s="1966">
        <f t="shared" si="22"/>
        <v>0</v>
      </c>
      <c r="H44" s="1966">
        <f t="shared" si="22"/>
        <v>0</v>
      </c>
      <c r="I44" s="1966">
        <f t="shared" si="22"/>
        <v>0</v>
      </c>
      <c r="J44" s="1966">
        <f t="shared" si="22"/>
        <v>0</v>
      </c>
      <c r="K44" s="1966">
        <f t="shared" si="22"/>
        <v>10674167.390000001</v>
      </c>
      <c r="L44" s="1370">
        <f t="shared" si="1"/>
        <v>0</v>
      </c>
    </row>
    <row r="45" spans="1:12" ht="13.35" customHeight="1">
      <c r="E45" s="400"/>
      <c r="L45" s="1370">
        <f t="shared" si="1"/>
        <v>0</v>
      </c>
    </row>
    <row r="46" spans="1:12" s="1216" customFormat="1" ht="12.15" customHeight="1">
      <c r="A46" s="1964" t="s">
        <v>1279</v>
      </c>
      <c r="B46" s="1964"/>
      <c r="C46" s="1964"/>
      <c r="D46" s="1964"/>
      <c r="E46" s="1974"/>
      <c r="F46" s="1964"/>
      <c r="G46" s="1964"/>
      <c r="H46" s="1964"/>
      <c r="I46" s="1964"/>
      <c r="J46" s="1964"/>
      <c r="K46" s="1964"/>
      <c r="L46" s="1370">
        <f t="shared" si="1"/>
        <v>0</v>
      </c>
    </row>
    <row r="47" spans="1:12" ht="10.95" customHeight="1">
      <c r="A47" s="1215">
        <v>45937</v>
      </c>
      <c r="B47" s="1214" t="s">
        <v>389</v>
      </c>
      <c r="C47" s="1214" t="s">
        <v>1944</v>
      </c>
      <c r="D47" s="1214" t="s">
        <v>1945</v>
      </c>
      <c r="E47" s="1975">
        <v>767000</v>
      </c>
      <c r="F47" s="1213">
        <v>767000</v>
      </c>
      <c r="G47" s="1368">
        <v>767000</v>
      </c>
      <c r="H47" s="1368">
        <v>767000</v>
      </c>
      <c r="I47" s="1368">
        <v>767000</v>
      </c>
      <c r="J47" s="1368">
        <v>767000</v>
      </c>
      <c r="K47" s="1213">
        <f>SUM(F47:J47)</f>
        <v>3835000</v>
      </c>
      <c r="L47" s="1370">
        <f t="shared" si="1"/>
        <v>-3068000</v>
      </c>
    </row>
    <row r="48" spans="1:12" ht="10.95" customHeight="1">
      <c r="A48" s="1965" t="s">
        <v>1946</v>
      </c>
      <c r="B48" s="1965"/>
      <c r="C48" s="1965"/>
      <c r="D48" s="1965"/>
      <c r="E48" s="1976">
        <f>E47</f>
        <v>767000</v>
      </c>
      <c r="F48" s="1966">
        <f t="shared" ref="F48:K48" si="23">F47</f>
        <v>767000</v>
      </c>
      <c r="G48" s="1966">
        <f t="shared" si="23"/>
        <v>767000</v>
      </c>
      <c r="H48" s="1966">
        <f t="shared" si="23"/>
        <v>767000</v>
      </c>
      <c r="I48" s="1966">
        <f t="shared" si="23"/>
        <v>767000</v>
      </c>
      <c r="J48" s="1966">
        <f t="shared" si="23"/>
        <v>767000</v>
      </c>
      <c r="K48" s="1966">
        <f t="shared" si="23"/>
        <v>3835000</v>
      </c>
      <c r="L48" s="1370">
        <f t="shared" si="1"/>
        <v>-3068000</v>
      </c>
    </row>
    <row r="49" spans="1:12" ht="13.35" customHeight="1">
      <c r="E49" s="400"/>
      <c r="L49" s="1370">
        <f t="shared" si="1"/>
        <v>0</v>
      </c>
    </row>
    <row r="50" spans="1:12" s="1216" customFormat="1" ht="12.15" customHeight="1">
      <c r="A50" s="1964" t="s">
        <v>1280</v>
      </c>
      <c r="B50" s="1964"/>
      <c r="C50" s="1964"/>
      <c r="D50" s="1964"/>
      <c r="E50" s="1974"/>
      <c r="F50" s="1964"/>
      <c r="G50" s="1964"/>
      <c r="H50" s="1964"/>
      <c r="I50" s="1964"/>
      <c r="J50" s="1964"/>
      <c r="K50" s="1964"/>
      <c r="L50" s="1370">
        <f t="shared" si="1"/>
        <v>0</v>
      </c>
    </row>
    <row r="51" spans="1:12" ht="10.95" customHeight="1">
      <c r="A51" s="1215">
        <v>45937</v>
      </c>
      <c r="B51" s="1214" t="s">
        <v>778</v>
      </c>
      <c r="C51" s="1214" t="s">
        <v>1947</v>
      </c>
      <c r="D51" s="1214" t="s">
        <v>1948</v>
      </c>
      <c r="E51" s="1975">
        <v>1132936.8999999999</v>
      </c>
      <c r="F51" s="1213">
        <v>1132936.8999999999</v>
      </c>
      <c r="G51" s="1368">
        <v>1300000</v>
      </c>
      <c r="H51" s="1368">
        <v>1300000</v>
      </c>
      <c r="I51" s="1368">
        <v>1300000</v>
      </c>
      <c r="J51" s="1368">
        <v>1300000</v>
      </c>
      <c r="K51" s="1213">
        <f>SUM(F51:J51)</f>
        <v>6332936.9000000004</v>
      </c>
      <c r="L51" s="1370">
        <f t="shared" si="1"/>
        <v>-5200000</v>
      </c>
    </row>
    <row r="52" spans="1:12" ht="10.95" customHeight="1">
      <c r="A52" s="1215"/>
      <c r="B52" s="1214" t="s">
        <v>1043</v>
      </c>
      <c r="C52" s="1214" t="s">
        <v>1138</v>
      </c>
      <c r="D52" s="1214" t="s">
        <v>1137</v>
      </c>
      <c r="E52" s="1975">
        <v>1661.3899999999994</v>
      </c>
      <c r="F52" s="1213">
        <v>1661.3899999999994</v>
      </c>
      <c r="G52" s="1213"/>
      <c r="H52" s="1213"/>
      <c r="I52" s="1213"/>
      <c r="J52" s="1213"/>
      <c r="K52" s="1213">
        <f t="shared" ref="K52:K54" si="24">SUM(F52:J52)</f>
        <v>1661.3899999999994</v>
      </c>
      <c r="L52" s="1370">
        <f t="shared" si="1"/>
        <v>0</v>
      </c>
    </row>
    <row r="53" spans="1:12" ht="10.95" customHeight="1">
      <c r="A53" s="1215"/>
      <c r="B53" s="1214" t="s">
        <v>1043</v>
      </c>
      <c r="C53" s="1214" t="s">
        <v>1696</v>
      </c>
      <c r="D53" s="1214" t="s">
        <v>1695</v>
      </c>
      <c r="E53" s="1975">
        <v>20520</v>
      </c>
      <c r="F53" s="1213">
        <v>20520</v>
      </c>
      <c r="G53" s="1213"/>
      <c r="H53" s="1213"/>
      <c r="I53" s="1213"/>
      <c r="J53" s="1213"/>
      <c r="K53" s="1213">
        <f t="shared" si="24"/>
        <v>20520</v>
      </c>
      <c r="L53" s="1370">
        <f t="shared" si="1"/>
        <v>0</v>
      </c>
    </row>
    <row r="54" spans="1:12" ht="10.95" customHeight="1">
      <c r="A54" s="1215"/>
      <c r="B54" s="1214" t="s">
        <v>1043</v>
      </c>
      <c r="C54" s="1214" t="s">
        <v>1949</v>
      </c>
      <c r="D54" s="1214" t="s">
        <v>1950</v>
      </c>
      <c r="E54" s="1975">
        <v>45732.81</v>
      </c>
      <c r="F54" s="1213">
        <f>11433.2*2</f>
        <v>22866.400000000001</v>
      </c>
      <c r="G54" s="1213">
        <v>11433.2</v>
      </c>
      <c r="H54" s="1213">
        <v>11433.2</v>
      </c>
      <c r="I54" s="1213"/>
      <c r="J54" s="1213"/>
      <c r="K54" s="1213">
        <f t="shared" si="24"/>
        <v>45732.800000000003</v>
      </c>
      <c r="L54" s="1370">
        <f t="shared" si="1"/>
        <v>9.9999999947613105E-3</v>
      </c>
    </row>
    <row r="55" spans="1:12" ht="10.95" customHeight="1">
      <c r="A55" s="1965" t="s">
        <v>1951</v>
      </c>
      <c r="B55" s="1965"/>
      <c r="C55" s="1965"/>
      <c r="D55" s="1965"/>
      <c r="E55" s="1976">
        <f>SUM(E51:E54)</f>
        <v>1200851.0999999999</v>
      </c>
      <c r="F55" s="1966">
        <f t="shared" ref="F55:K55" si="25">SUM(F51:F54)</f>
        <v>1177984.6899999997</v>
      </c>
      <c r="G55" s="1966">
        <f t="shared" si="25"/>
        <v>1311433.2</v>
      </c>
      <c r="H55" s="1966">
        <f t="shared" si="25"/>
        <v>1311433.2</v>
      </c>
      <c r="I55" s="1966">
        <f t="shared" si="25"/>
        <v>1300000</v>
      </c>
      <c r="J55" s="1966">
        <f t="shared" si="25"/>
        <v>1300000</v>
      </c>
      <c r="K55" s="1966">
        <f t="shared" si="25"/>
        <v>6400851.0899999999</v>
      </c>
      <c r="L55" s="1370">
        <f t="shared" si="1"/>
        <v>-5199999.99</v>
      </c>
    </row>
    <row r="56" spans="1:12" ht="13.35" customHeight="1">
      <c r="E56" s="400"/>
      <c r="L56" s="1370">
        <f t="shared" si="1"/>
        <v>0</v>
      </c>
    </row>
    <row r="57" spans="1:12" s="1216" customFormat="1" ht="12.15" customHeight="1">
      <c r="A57" s="1964" t="s">
        <v>855</v>
      </c>
      <c r="B57" s="1964"/>
      <c r="C57" s="1964"/>
      <c r="D57" s="1964"/>
      <c r="E57" s="1974"/>
      <c r="F57" s="1964"/>
      <c r="G57" s="1964"/>
      <c r="H57" s="1964"/>
      <c r="I57" s="1964"/>
      <c r="J57" s="1964"/>
      <c r="K57" s="1964"/>
      <c r="L57" s="1370">
        <f t="shared" si="1"/>
        <v>0</v>
      </c>
    </row>
    <row r="58" spans="1:12" ht="10.95" customHeight="1">
      <c r="A58" s="1215">
        <v>45932</v>
      </c>
      <c r="B58" s="1214" t="s">
        <v>1855</v>
      </c>
      <c r="C58" s="1214" t="s">
        <v>1952</v>
      </c>
      <c r="D58" s="1214" t="s">
        <v>1953</v>
      </c>
      <c r="E58" s="1975">
        <v>94400</v>
      </c>
      <c r="F58" s="1213">
        <v>94400</v>
      </c>
      <c r="G58" s="1213"/>
      <c r="H58" s="1213"/>
      <c r="I58" s="1213"/>
      <c r="J58" s="1213"/>
      <c r="K58" s="1213">
        <f t="shared" ref="K58:K62" si="26">SUM(F58:I58)</f>
        <v>94400</v>
      </c>
      <c r="L58" s="1370">
        <f t="shared" si="1"/>
        <v>0</v>
      </c>
    </row>
    <row r="59" spans="1:12" ht="10.95" customHeight="1">
      <c r="A59" s="1219">
        <v>45945</v>
      </c>
      <c r="B59" s="1218" t="s">
        <v>1631</v>
      </c>
      <c r="C59" s="1218" t="s">
        <v>1954</v>
      </c>
      <c r="D59" s="1218" t="s">
        <v>1955</v>
      </c>
      <c r="E59" s="1980">
        <v>73986</v>
      </c>
      <c r="F59" s="1217">
        <v>73986</v>
      </c>
      <c r="G59" s="1369">
        <v>73986</v>
      </c>
      <c r="H59" s="1369">
        <v>73986</v>
      </c>
      <c r="I59" s="1217"/>
      <c r="J59" s="1213"/>
      <c r="K59" s="1213">
        <f t="shared" si="26"/>
        <v>221958</v>
      </c>
      <c r="L59" s="1370">
        <f t="shared" si="1"/>
        <v>-147972</v>
      </c>
    </row>
    <row r="60" spans="1:12" ht="10.95" customHeight="1">
      <c r="A60" s="1219"/>
      <c r="B60" s="1218" t="s">
        <v>740</v>
      </c>
      <c r="C60" s="1218" t="s">
        <v>1126</v>
      </c>
      <c r="D60" s="1218" t="s">
        <v>938</v>
      </c>
      <c r="E60" s="1980">
        <v>273279.15000000002</v>
      </c>
      <c r="F60" s="1217">
        <v>273279.15000000002</v>
      </c>
      <c r="G60" s="1217"/>
      <c r="H60" s="1217"/>
      <c r="I60" s="1217"/>
      <c r="J60" s="1213"/>
      <c r="K60" s="1213">
        <f t="shared" si="26"/>
        <v>273279.15000000002</v>
      </c>
      <c r="L60" s="1370">
        <f t="shared" si="1"/>
        <v>0</v>
      </c>
    </row>
    <row r="61" spans="1:12" ht="10.95" customHeight="1">
      <c r="A61" s="1219"/>
      <c r="B61" s="1218" t="s">
        <v>740</v>
      </c>
      <c r="C61" s="1218" t="s">
        <v>1740</v>
      </c>
      <c r="D61" s="1218" t="s">
        <v>1739</v>
      </c>
      <c r="E61" s="1980">
        <v>26060.3</v>
      </c>
      <c r="F61" s="1217">
        <v>26060.3</v>
      </c>
      <c r="G61" s="1217"/>
      <c r="H61" s="1217"/>
      <c r="I61" s="1217"/>
      <c r="J61" s="1213"/>
      <c r="K61" s="1213">
        <f t="shared" si="26"/>
        <v>26060.3</v>
      </c>
      <c r="L61" s="1370">
        <f t="shared" si="1"/>
        <v>0</v>
      </c>
    </row>
    <row r="62" spans="1:12" ht="10.95" customHeight="1">
      <c r="A62" s="1219"/>
      <c r="B62" s="1218" t="s">
        <v>1855</v>
      </c>
      <c r="C62" s="1218" t="s">
        <v>1956</v>
      </c>
      <c r="D62" s="1218" t="s">
        <v>1957</v>
      </c>
      <c r="E62" s="1980">
        <v>188800</v>
      </c>
      <c r="F62" s="1217"/>
      <c r="G62" s="1217">
        <v>94400</v>
      </c>
      <c r="H62" s="1217">
        <v>94400</v>
      </c>
      <c r="I62" s="1217"/>
      <c r="J62" s="1213"/>
      <c r="K62" s="1213">
        <f t="shared" si="26"/>
        <v>188800</v>
      </c>
      <c r="L62" s="1370">
        <f t="shared" si="1"/>
        <v>0</v>
      </c>
    </row>
    <row r="63" spans="1:12" ht="10.95" customHeight="1">
      <c r="A63" s="1965" t="s">
        <v>1958</v>
      </c>
      <c r="B63" s="1965"/>
      <c r="C63" s="1965"/>
      <c r="D63" s="1965"/>
      <c r="E63" s="1976">
        <f>SUM(E58:E62)</f>
        <v>656525.44999999995</v>
      </c>
      <c r="F63" s="1966">
        <f t="shared" ref="F63:K63" si="27">SUM(F58:F62)</f>
        <v>467725.45</v>
      </c>
      <c r="G63" s="1966">
        <f t="shared" si="27"/>
        <v>168386</v>
      </c>
      <c r="H63" s="1966">
        <f t="shared" si="27"/>
        <v>168386</v>
      </c>
      <c r="I63" s="1966">
        <f t="shared" si="27"/>
        <v>0</v>
      </c>
      <c r="J63" s="1966"/>
      <c r="K63" s="1966">
        <f t="shared" si="27"/>
        <v>804497.45000000007</v>
      </c>
      <c r="L63" s="1370">
        <f t="shared" si="1"/>
        <v>-147972.00000000012</v>
      </c>
    </row>
    <row r="64" spans="1:12" ht="13.35" customHeight="1">
      <c r="E64" s="400"/>
      <c r="L64" s="1370">
        <f t="shared" si="1"/>
        <v>0</v>
      </c>
    </row>
    <row r="65" spans="1:12" s="1216" customFormat="1" ht="12.15" customHeight="1">
      <c r="A65" s="1964" t="s">
        <v>858</v>
      </c>
      <c r="B65" s="1964"/>
      <c r="C65" s="1964"/>
      <c r="D65" s="1964"/>
      <c r="E65" s="1974"/>
      <c r="F65" s="1964"/>
      <c r="G65" s="1964"/>
      <c r="H65" s="1964"/>
      <c r="I65" s="1964"/>
      <c r="J65" s="1964"/>
      <c r="K65" s="1964"/>
      <c r="L65" s="1370">
        <f t="shared" si="1"/>
        <v>0</v>
      </c>
    </row>
    <row r="66" spans="1:12" ht="10.95" customHeight="1">
      <c r="A66" s="1215">
        <v>45931</v>
      </c>
      <c r="B66" s="1214" t="s">
        <v>1959</v>
      </c>
      <c r="C66" s="1214" t="s">
        <v>1960</v>
      </c>
      <c r="D66" s="1214" t="s">
        <v>1961</v>
      </c>
      <c r="E66" s="1975">
        <v>296445.26</v>
      </c>
      <c r="F66" s="1213">
        <v>296445.26</v>
      </c>
      <c r="G66" s="1213"/>
      <c r="H66" s="1213"/>
      <c r="I66" s="1213"/>
      <c r="J66" s="1213"/>
      <c r="K66" s="1213">
        <f t="shared" ref="K66:K69" si="28">SUM(F66:J66)</f>
        <v>296445.26</v>
      </c>
      <c r="L66" s="1370">
        <f t="shared" si="1"/>
        <v>0</v>
      </c>
    </row>
    <row r="67" spans="1:12" ht="10.95" customHeight="1">
      <c r="A67" s="1219">
        <v>45937</v>
      </c>
      <c r="B67" s="1218" t="s">
        <v>389</v>
      </c>
      <c r="C67" s="1218" t="s">
        <v>1962</v>
      </c>
      <c r="D67" s="1218" t="s">
        <v>1963</v>
      </c>
      <c r="E67" s="1980">
        <v>130695.02</v>
      </c>
      <c r="F67" s="1217">
        <v>130695.02</v>
      </c>
      <c r="G67" s="1217"/>
      <c r="H67" s="1217"/>
      <c r="I67" s="1217"/>
      <c r="J67" s="1213"/>
      <c r="K67" s="1213">
        <f t="shared" si="28"/>
        <v>130695.02</v>
      </c>
      <c r="L67" s="1370">
        <f t="shared" si="1"/>
        <v>0</v>
      </c>
    </row>
    <row r="68" spans="1:12" ht="10.95" customHeight="1">
      <c r="A68" s="1219">
        <v>45937</v>
      </c>
      <c r="B68" s="1218" t="s">
        <v>1964</v>
      </c>
      <c r="C68" s="1218" t="s">
        <v>1965</v>
      </c>
      <c r="D68" s="1218" t="s">
        <v>1966</v>
      </c>
      <c r="E68" s="1980">
        <v>149076.24</v>
      </c>
      <c r="F68" s="1217">
        <v>149076.24</v>
      </c>
      <c r="G68" s="1217"/>
      <c r="H68" s="1217"/>
      <c r="I68" s="1217"/>
      <c r="J68" s="1213"/>
      <c r="K68" s="1213">
        <f t="shared" si="28"/>
        <v>149076.24</v>
      </c>
      <c r="L68" s="1370">
        <f t="shared" si="1"/>
        <v>0</v>
      </c>
    </row>
    <row r="69" spans="1:12" ht="10.95" customHeight="1">
      <c r="A69" s="1219">
        <v>45940</v>
      </c>
      <c r="B69" s="1218" t="s">
        <v>756</v>
      </c>
      <c r="C69" s="1218" t="s">
        <v>1967</v>
      </c>
      <c r="D69" s="1218" t="s">
        <v>1968</v>
      </c>
      <c r="E69" s="1980">
        <v>70800</v>
      </c>
      <c r="F69" s="1217">
        <v>70800</v>
      </c>
      <c r="G69" s="1217"/>
      <c r="H69" s="1217"/>
      <c r="I69" s="1217"/>
      <c r="J69" s="1213"/>
      <c r="K69" s="1213">
        <f t="shared" si="28"/>
        <v>70800</v>
      </c>
      <c r="L69" s="1370">
        <f t="shared" si="1"/>
        <v>0</v>
      </c>
    </row>
    <row r="70" spans="1:12" ht="10.95" customHeight="1">
      <c r="A70" s="1219"/>
      <c r="B70" s="1218" t="s">
        <v>746</v>
      </c>
      <c r="C70" s="1218" t="s">
        <v>1590</v>
      </c>
      <c r="D70" s="1218" t="s">
        <v>1589</v>
      </c>
      <c r="E70" s="1980">
        <v>21240</v>
      </c>
      <c r="F70" s="1217">
        <v>21240</v>
      </c>
      <c r="G70" s="1369">
        <v>21240</v>
      </c>
      <c r="H70" s="1369">
        <v>21240</v>
      </c>
      <c r="I70" s="1369">
        <v>21240</v>
      </c>
      <c r="J70" s="1369">
        <v>21240</v>
      </c>
      <c r="K70" s="1213">
        <f>SUM(F70:J70)</f>
        <v>106200</v>
      </c>
      <c r="L70" s="1370">
        <f t="shared" si="1"/>
        <v>-84960</v>
      </c>
    </row>
    <row r="71" spans="1:12" ht="10.95" customHeight="1">
      <c r="A71" s="1219"/>
      <c r="B71" s="1218" t="s">
        <v>756</v>
      </c>
      <c r="C71" s="1218" t="s">
        <v>1583</v>
      </c>
      <c r="D71" s="1218" t="s">
        <v>1582</v>
      </c>
      <c r="E71" s="1980">
        <v>88264</v>
      </c>
      <c r="F71" s="1217">
        <v>88264</v>
      </c>
      <c r="G71" s="1369">
        <v>88264</v>
      </c>
      <c r="H71" s="1369">
        <v>88264</v>
      </c>
      <c r="I71" s="1369">
        <v>88264</v>
      </c>
      <c r="J71" s="1369">
        <v>88264</v>
      </c>
      <c r="K71" s="1213">
        <f t="shared" ref="K71" si="29">SUM(F71:J71)</f>
        <v>441320</v>
      </c>
      <c r="L71" s="1370">
        <f t="shared" si="1"/>
        <v>-353056</v>
      </c>
    </row>
    <row r="72" spans="1:12" ht="10.95" customHeight="1">
      <c r="A72" s="1219"/>
      <c r="B72" s="1218" t="s">
        <v>1049</v>
      </c>
      <c r="C72" s="1218" t="s">
        <v>1969</v>
      </c>
      <c r="D72" s="1218" t="s">
        <v>1970</v>
      </c>
      <c r="E72" s="1980">
        <v>156450</v>
      </c>
      <c r="G72" s="1217">
        <v>156450</v>
      </c>
      <c r="H72" s="1217"/>
      <c r="I72" s="1217"/>
      <c r="J72" s="1213"/>
      <c r="K72" s="1213">
        <f>SUM(G72:J72)</f>
        <v>156450</v>
      </c>
      <c r="L72" s="1370">
        <f t="shared" si="1"/>
        <v>0</v>
      </c>
    </row>
    <row r="73" spans="1:12" ht="10.95" customHeight="1">
      <c r="A73" s="1965" t="s">
        <v>1971</v>
      </c>
      <c r="B73" s="1965"/>
      <c r="C73" s="1965"/>
      <c r="D73" s="1965"/>
      <c r="E73" s="1976">
        <f>SUM(E66:E72)</f>
        <v>912970.52</v>
      </c>
      <c r="F73" s="1966">
        <f t="shared" ref="F73:K73" si="30">SUM(F66:F72)</f>
        <v>756520.52</v>
      </c>
      <c r="G73" s="1966">
        <f>SUM(G66:G72)</f>
        <v>265954</v>
      </c>
      <c r="H73" s="1966">
        <f t="shared" si="30"/>
        <v>109504</v>
      </c>
      <c r="I73" s="1966">
        <f t="shared" si="30"/>
        <v>109504</v>
      </c>
      <c r="J73" s="1966">
        <f t="shared" si="30"/>
        <v>109504</v>
      </c>
      <c r="K73" s="1966">
        <f t="shared" si="30"/>
        <v>1350986.52</v>
      </c>
      <c r="L73" s="1370">
        <f t="shared" si="1"/>
        <v>-438016</v>
      </c>
    </row>
    <row r="74" spans="1:12" ht="13.35" customHeight="1">
      <c r="E74" s="400"/>
      <c r="L74" s="1370">
        <f t="shared" si="1"/>
        <v>0</v>
      </c>
    </row>
    <row r="75" spans="1:12" s="1216" customFormat="1" ht="12.15" customHeight="1">
      <c r="A75" s="1964" t="s">
        <v>1758</v>
      </c>
      <c r="B75" s="1964"/>
      <c r="C75" s="1964"/>
      <c r="D75" s="1964"/>
      <c r="E75" s="1974"/>
      <c r="F75" s="1964"/>
      <c r="G75" s="1964"/>
      <c r="H75" s="1964"/>
      <c r="I75" s="1964"/>
      <c r="J75" s="1964"/>
      <c r="K75" s="1964"/>
      <c r="L75" s="1370">
        <f t="shared" si="1"/>
        <v>0</v>
      </c>
    </row>
    <row r="76" spans="1:12" ht="10.95" customHeight="1">
      <c r="A76" s="1215">
        <v>45937</v>
      </c>
      <c r="B76" s="1214" t="s">
        <v>389</v>
      </c>
      <c r="C76" s="1214" t="s">
        <v>1972</v>
      </c>
      <c r="D76" s="1214" t="s">
        <v>1973</v>
      </c>
      <c r="E76" s="1975">
        <v>148184.4</v>
      </c>
      <c r="F76" s="1213">
        <v>148184.4</v>
      </c>
      <c r="G76" s="1368">
        <v>148500</v>
      </c>
      <c r="H76" s="1368">
        <v>148500</v>
      </c>
      <c r="I76" s="1368">
        <v>148500</v>
      </c>
      <c r="J76" s="1368">
        <v>148500</v>
      </c>
      <c r="K76" s="1213">
        <f>SUM(F76:J76)</f>
        <v>742184.4</v>
      </c>
      <c r="L76" s="1370">
        <f t="shared" si="1"/>
        <v>-594000</v>
      </c>
    </row>
    <row r="77" spans="1:12" ht="10.95" customHeight="1">
      <c r="A77" s="1965" t="s">
        <v>1974</v>
      </c>
      <c r="B77" s="1965"/>
      <c r="C77" s="1965"/>
      <c r="D77" s="1965"/>
      <c r="E77" s="1976">
        <f>E76</f>
        <v>148184.4</v>
      </c>
      <c r="F77" s="1966">
        <f t="shared" ref="F77:K77" si="31">F76</f>
        <v>148184.4</v>
      </c>
      <c r="G77" s="1966">
        <f t="shared" si="31"/>
        <v>148500</v>
      </c>
      <c r="H77" s="1966">
        <f t="shared" si="31"/>
        <v>148500</v>
      </c>
      <c r="I77" s="1966">
        <f t="shared" si="31"/>
        <v>148500</v>
      </c>
      <c r="J77" s="1966">
        <f t="shared" si="31"/>
        <v>148500</v>
      </c>
      <c r="K77" s="1966">
        <f t="shared" si="31"/>
        <v>742184.4</v>
      </c>
      <c r="L77" s="1370">
        <f t="shared" si="1"/>
        <v>-594000</v>
      </c>
    </row>
    <row r="78" spans="1:12" ht="13.35" customHeight="1">
      <c r="E78" s="400"/>
      <c r="L78" s="1370">
        <f t="shared" si="1"/>
        <v>0</v>
      </c>
    </row>
    <row r="79" spans="1:12" s="1216" customFormat="1" ht="12.15" customHeight="1">
      <c r="A79" s="1964" t="s">
        <v>860</v>
      </c>
      <c r="B79" s="1964"/>
      <c r="C79" s="1964"/>
      <c r="D79" s="1964"/>
      <c r="E79" s="1974"/>
      <c r="F79" s="1964"/>
      <c r="G79" s="1964"/>
      <c r="H79" s="1964"/>
      <c r="I79" s="1964"/>
      <c r="J79" s="1964"/>
      <c r="K79" s="1964"/>
      <c r="L79" s="1370">
        <f t="shared" si="1"/>
        <v>0</v>
      </c>
    </row>
    <row r="80" spans="1:12" ht="10.95" customHeight="1">
      <c r="A80" s="1215">
        <v>45936</v>
      </c>
      <c r="B80" s="1214" t="s">
        <v>795</v>
      </c>
      <c r="C80" s="1214" t="s">
        <v>1975</v>
      </c>
      <c r="D80" s="1214" t="s">
        <v>1976</v>
      </c>
      <c r="E80" s="1674">
        <v>37111</v>
      </c>
      <c r="F80" s="1213">
        <v>37111</v>
      </c>
      <c r="G80" s="1213"/>
      <c r="H80" s="1213"/>
      <c r="I80" s="1213"/>
      <c r="J80" s="1213"/>
      <c r="K80" s="1213">
        <f t="shared" ref="K80:K83" si="32">SUM(F80:J80)</f>
        <v>37111</v>
      </c>
      <c r="L80" s="1370">
        <f t="shared" si="1"/>
        <v>0</v>
      </c>
    </row>
    <row r="81" spans="1:12" ht="10.95" customHeight="1">
      <c r="A81" s="1219">
        <v>45936</v>
      </c>
      <c r="B81" s="1218" t="s">
        <v>795</v>
      </c>
      <c r="C81" s="1218" t="s">
        <v>1977</v>
      </c>
      <c r="D81" s="1218" t="s">
        <v>1978</v>
      </c>
      <c r="E81" s="1679">
        <f>749642.2-'CXP MMHB'!F65</f>
        <v>465327.19999999995</v>
      </c>
      <c r="F81" s="1217">
        <f>+E81</f>
        <v>465327.19999999995</v>
      </c>
      <c r="G81" s="1217"/>
      <c r="H81" s="1217"/>
      <c r="I81" s="1217"/>
      <c r="J81" s="1213"/>
      <c r="K81" s="1213">
        <f t="shared" si="32"/>
        <v>465327.19999999995</v>
      </c>
      <c r="L81" s="1370">
        <f t="shared" si="1"/>
        <v>0</v>
      </c>
    </row>
    <row r="82" spans="1:12" ht="10.95" customHeight="1">
      <c r="A82" s="1219">
        <v>45936</v>
      </c>
      <c r="B82" s="1218" t="s">
        <v>795</v>
      </c>
      <c r="C82" s="1218" t="s">
        <v>1979</v>
      </c>
      <c r="D82" s="1218" t="s">
        <v>1980</v>
      </c>
      <c r="E82" s="1679">
        <v>55666.5</v>
      </c>
      <c r="F82" s="1217">
        <v>55666.5</v>
      </c>
      <c r="G82" s="1217"/>
      <c r="H82" s="1217"/>
      <c r="I82" s="1217"/>
      <c r="J82" s="1213"/>
      <c r="K82" s="1213">
        <f t="shared" si="32"/>
        <v>55666.5</v>
      </c>
      <c r="L82" s="1370">
        <f t="shared" si="1"/>
        <v>0</v>
      </c>
    </row>
    <row r="83" spans="1:12" ht="10.95" customHeight="1">
      <c r="A83" s="1219"/>
      <c r="B83" s="1218" t="s">
        <v>795</v>
      </c>
      <c r="C83" s="1218" t="s">
        <v>1378</v>
      </c>
      <c r="D83" s="1218" t="s">
        <v>1377</v>
      </c>
      <c r="E83" s="1980">
        <v>715670</v>
      </c>
      <c r="F83" s="1217"/>
      <c r="G83" s="1217">
        <f>+E83*0.5</f>
        <v>357835</v>
      </c>
      <c r="I83" s="1217">
        <f>+E83*0.5</f>
        <v>357835</v>
      </c>
      <c r="J83" s="1213"/>
      <c r="K83" s="1213">
        <f t="shared" si="32"/>
        <v>715670</v>
      </c>
      <c r="L83" s="1370">
        <f t="shared" si="1"/>
        <v>0</v>
      </c>
    </row>
    <row r="84" spans="1:12" ht="10.95" customHeight="1">
      <c r="A84" s="1219"/>
      <c r="B84" s="1218" t="s">
        <v>950</v>
      </c>
      <c r="C84" s="1218" t="s">
        <v>1150</v>
      </c>
      <c r="D84" s="1218" t="s">
        <v>949</v>
      </c>
      <c r="E84" s="1980">
        <v>2091958.99</v>
      </c>
      <c r="F84" s="1217"/>
      <c r="G84" s="1217"/>
      <c r="H84" s="1217">
        <v>2091958.99</v>
      </c>
      <c r="I84" s="1217"/>
      <c r="J84" s="1213"/>
      <c r="K84" s="1213">
        <f>SUM(F84:J84)</f>
        <v>2091958.99</v>
      </c>
      <c r="L84" s="1370">
        <f t="shared" si="1"/>
        <v>0</v>
      </c>
    </row>
    <row r="85" spans="1:12" ht="10.95" customHeight="1">
      <c r="A85" s="1965" t="s">
        <v>1981</v>
      </c>
      <c r="B85" s="1965"/>
      <c r="C85" s="1965"/>
      <c r="D85" s="1965"/>
      <c r="E85" s="1976">
        <f t="shared" ref="E85:K85" si="33">SUM(E80:E84)</f>
        <v>3365733.69</v>
      </c>
      <c r="F85" s="1966">
        <f t="shared" si="33"/>
        <v>558104.69999999995</v>
      </c>
      <c r="G85" s="1966">
        <f t="shared" si="33"/>
        <v>357835</v>
      </c>
      <c r="H85" s="1966">
        <f t="shared" si="33"/>
        <v>2091958.99</v>
      </c>
      <c r="I85" s="1966">
        <f t="shared" si="33"/>
        <v>357835</v>
      </c>
      <c r="J85" s="1966"/>
      <c r="K85" s="1966">
        <f t="shared" si="33"/>
        <v>3365733.69</v>
      </c>
      <c r="L85" s="1370">
        <f t="shared" ref="L85:L89" si="34">+E85-K85</f>
        <v>0</v>
      </c>
    </row>
    <row r="86" spans="1:12" ht="13.35" customHeight="1">
      <c r="E86" s="400"/>
      <c r="L86" s="1370">
        <f t="shared" si="34"/>
        <v>0</v>
      </c>
    </row>
    <row r="87" spans="1:12" s="373" customFormat="1" ht="12">
      <c r="E87" s="1394">
        <v>1250000</v>
      </c>
      <c r="F87" s="1395">
        <v>250000</v>
      </c>
      <c r="G87" s="1394">
        <v>250000</v>
      </c>
      <c r="H87" s="1394">
        <v>250000</v>
      </c>
      <c r="I87" s="1394">
        <v>250000</v>
      </c>
      <c r="J87" s="1394">
        <v>250000</v>
      </c>
      <c r="K87" s="1213">
        <f>SUM(F87:J87)</f>
        <v>1250000</v>
      </c>
    </row>
    <row r="88" spans="1:12" s="1134" customFormat="1" ht="12">
      <c r="A88" s="1134" t="s">
        <v>291</v>
      </c>
      <c r="E88" s="1396">
        <f>+E87</f>
        <v>1250000</v>
      </c>
      <c r="F88" s="1396">
        <f t="shared" ref="F88:K88" si="35">+F87</f>
        <v>250000</v>
      </c>
      <c r="G88" s="1396">
        <f t="shared" si="35"/>
        <v>250000</v>
      </c>
      <c r="H88" s="1396">
        <f t="shared" si="35"/>
        <v>250000</v>
      </c>
      <c r="I88" s="1396">
        <f t="shared" si="35"/>
        <v>250000</v>
      </c>
      <c r="J88" s="1396">
        <f t="shared" si="35"/>
        <v>250000</v>
      </c>
      <c r="K88" s="1396">
        <f t="shared" si="35"/>
        <v>1250000</v>
      </c>
      <c r="L88" s="1135"/>
    </row>
    <row r="89" spans="1:12" ht="10.95" customHeight="1">
      <c r="A89" s="1968" t="s">
        <v>164</v>
      </c>
      <c r="B89" s="1968"/>
      <c r="C89" s="1968"/>
      <c r="D89" s="1968"/>
      <c r="E89" s="1981">
        <f>SUM(E11,E19,E26,E38,E44,E48,E55,E63,E73,E77,E85)</f>
        <v>46824952.560000002</v>
      </c>
      <c r="F89" s="1969">
        <f>SUM(F11,F19,F26,F38,F44,F48,F55,F63,F73,F77,F85)</f>
        <v>21389669.559999999</v>
      </c>
      <c r="G89" s="1969">
        <f>SUM(G11,G19,G26,G38,G44,G48,G55,G63,G73,G77,G85)</f>
        <v>11149108.199999999</v>
      </c>
      <c r="H89" s="1969">
        <f>SUM(H11,H19,H26,H38,H44,H48,H55,H63,H73,H77,H85)</f>
        <v>14226782.189999999</v>
      </c>
      <c r="I89" s="1969">
        <f>SUM(I11,I19,I26,I38,I44,I48,I55,I63,I73,I77,I85)</f>
        <v>13496573</v>
      </c>
      <c r="J89" s="1969"/>
      <c r="K89" s="1969">
        <f>SUM(K11,K19,K26,K38,K44,K48,K55,K63,K73,K77,K85)</f>
        <v>72292940.549999997</v>
      </c>
      <c r="L89" s="1370">
        <f t="shared" si="34"/>
        <v>-25467987.989999995</v>
      </c>
    </row>
  </sheetData>
  <autoFilter ref="A1:L89" xr:uid="{925027E6-6EA9-441F-BA24-F6B50AE1D36D}"/>
  <conditionalFormatting sqref="C22">
    <cfRule type="duplicateValues" dxfId="2" priority="3"/>
  </conditionalFormatting>
  <conditionalFormatting sqref="C88">
    <cfRule type="duplicateValues" dxfId="1" priority="1"/>
  </conditionalFormatting>
  <conditionalFormatting sqref="D87">
    <cfRule type="duplicateValues" dxfId="0" priority="54"/>
  </conditionalFormatting>
  <pageMargins left="0.7" right="0.7" top="0.75" bottom="0.75" header="0.3" footer="0.3"/>
  <pageSetup paperSize="9" fitToWidth="0" fitToHeight="0" orientation="portrait" horizontalDpi="0" verticalDpi="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C130D-A58B-4FBC-A387-B37F102195ED}">
  <dimension ref="A1:G18"/>
  <sheetViews>
    <sheetView workbookViewId="0">
      <selection activeCell="C10" sqref="C10"/>
    </sheetView>
  </sheetViews>
  <sheetFormatPr baseColWidth="10" defaultColWidth="11.44140625" defaultRowHeight="14.4"/>
  <cols>
    <col min="1" max="1" width="35.6640625" bestFit="1" customWidth="1"/>
    <col min="2" max="2" width="24" style="370" customWidth="1"/>
    <col min="3" max="3" width="23" style="370" bestFit="1" customWidth="1"/>
    <col min="4" max="4" width="26.44140625" style="370" bestFit="1" customWidth="1"/>
    <col min="5" max="5" width="14" style="370" bestFit="1" customWidth="1"/>
    <col min="6" max="6" width="14" bestFit="1" customWidth="1"/>
    <col min="7" max="7" width="17.109375" style="370" bestFit="1" customWidth="1"/>
  </cols>
  <sheetData>
    <row r="1" spans="1:4">
      <c r="A1" s="1269" t="s">
        <v>458</v>
      </c>
      <c r="B1" s="1270" t="s">
        <v>849</v>
      </c>
      <c r="C1" s="1270" t="s">
        <v>850</v>
      </c>
      <c r="D1" s="1270" t="s">
        <v>851</v>
      </c>
    </row>
    <row r="2" spans="1:4" s="433" customFormat="1">
      <c r="A2" t="s">
        <v>65</v>
      </c>
      <c r="B2" s="525">
        <v>106933000</v>
      </c>
      <c r="C2" s="525">
        <v>264445080.16</v>
      </c>
      <c r="D2" s="525">
        <v>264445081.16</v>
      </c>
    </row>
    <row r="3" spans="1:4">
      <c r="A3" t="s">
        <v>1662</v>
      </c>
      <c r="B3" s="525">
        <v>25000000</v>
      </c>
      <c r="C3" s="525">
        <v>24417368.440000001</v>
      </c>
      <c r="D3" s="525">
        <v>23670496.550000001</v>
      </c>
    </row>
    <row r="4" spans="1:4">
      <c r="A4" t="s">
        <v>78</v>
      </c>
      <c r="B4" s="525">
        <v>469787395.51000005</v>
      </c>
      <c r="C4" s="525">
        <v>42282308.519999996</v>
      </c>
      <c r="D4" s="525">
        <v>31076466.929999992</v>
      </c>
    </row>
    <row r="5" spans="1:4">
      <c r="A5" t="s">
        <v>90</v>
      </c>
      <c r="B5" s="525">
        <v>1517615075.7500005</v>
      </c>
      <c r="C5" s="525">
        <v>0</v>
      </c>
      <c r="D5" s="525">
        <v>0</v>
      </c>
    </row>
    <row r="6" spans="1:4">
      <c r="A6" t="s">
        <v>105</v>
      </c>
      <c r="B6" s="525">
        <v>198740247.96000001</v>
      </c>
      <c r="C6" s="525">
        <v>21389162.52</v>
      </c>
      <c r="D6" s="525">
        <v>18918081.100000001</v>
      </c>
    </row>
    <row r="7" spans="1:4">
      <c r="A7" t="s">
        <v>108</v>
      </c>
      <c r="B7" s="525">
        <v>47896399.740000002</v>
      </c>
      <c r="C7" s="525">
        <v>426910.14</v>
      </c>
      <c r="D7" s="525">
        <v>426910.14</v>
      </c>
    </row>
    <row r="8" spans="1:4">
      <c r="A8" t="s">
        <v>816</v>
      </c>
      <c r="B8" s="525">
        <v>39748049.590000004</v>
      </c>
      <c r="C8" s="525">
        <v>0</v>
      </c>
      <c r="D8" s="525">
        <v>0</v>
      </c>
    </row>
    <row r="9" spans="1:4">
      <c r="A9" t="s">
        <v>1458</v>
      </c>
      <c r="B9" s="525">
        <v>17866748.260000002</v>
      </c>
      <c r="C9" s="525">
        <f>+B9</f>
        <v>17866748.260000002</v>
      </c>
      <c r="D9" s="525">
        <v>0</v>
      </c>
    </row>
    <row r="10" spans="1:4">
      <c r="A10" t="s">
        <v>112</v>
      </c>
      <c r="B10" s="525">
        <v>158992198.37</v>
      </c>
      <c r="C10" s="525">
        <v>12551175.970000001</v>
      </c>
      <c r="D10" s="525">
        <v>10781175.970000001</v>
      </c>
    </row>
    <row r="11" spans="1:4">
      <c r="A11" t="s">
        <v>115</v>
      </c>
      <c r="B11" s="525">
        <v>329908811.24000001</v>
      </c>
      <c r="C11" s="525">
        <v>55072288.060000002</v>
      </c>
      <c r="D11" s="525">
        <v>42452450.960000001</v>
      </c>
    </row>
    <row r="12" spans="1:4">
      <c r="A12" t="s">
        <v>119</v>
      </c>
      <c r="B12" s="525">
        <v>80207886.760000005</v>
      </c>
      <c r="C12" s="525">
        <v>2119167.7599999998</v>
      </c>
      <c r="D12" s="525">
        <v>2119167.7599999998</v>
      </c>
    </row>
    <row r="13" spans="1:4">
      <c r="A13" t="s">
        <v>122</v>
      </c>
      <c r="B13" s="525">
        <v>69559086.769999996</v>
      </c>
      <c r="C13" s="525">
        <v>23852478.210000001</v>
      </c>
      <c r="D13" s="525">
        <v>22207122.449999999</v>
      </c>
    </row>
    <row r="14" spans="1:4">
      <c r="A14" t="s">
        <v>126</v>
      </c>
      <c r="B14" s="525">
        <v>19874021.48</v>
      </c>
      <c r="C14" s="525">
        <v>0</v>
      </c>
      <c r="D14" s="525">
        <v>0</v>
      </c>
    </row>
    <row r="15" spans="1:4">
      <c r="A15" t="s">
        <v>193</v>
      </c>
      <c r="B15" s="525">
        <v>30500000</v>
      </c>
      <c r="C15" s="525">
        <v>20569643.219999999</v>
      </c>
      <c r="D15" s="525">
        <v>16884194.530000001</v>
      </c>
    </row>
    <row r="16" spans="1:4">
      <c r="A16" t="s">
        <v>136</v>
      </c>
      <c r="B16" s="525">
        <v>229165392.31</v>
      </c>
      <c r="C16" s="525">
        <v>2704059.45</v>
      </c>
      <c r="D16" s="525">
        <v>2704059.45</v>
      </c>
    </row>
    <row r="17" spans="1:4">
      <c r="A17" t="s">
        <v>1663</v>
      </c>
      <c r="B17" s="525">
        <v>19874024.48</v>
      </c>
      <c r="C17" s="525">
        <v>0</v>
      </c>
      <c r="D17" s="525">
        <v>0</v>
      </c>
    </row>
    <row r="18" spans="1:4">
      <c r="A18" s="1269" t="s">
        <v>1982</v>
      </c>
      <c r="B18" s="432">
        <f>SUM(B2:B17)</f>
        <v>3361668338.2200003</v>
      </c>
      <c r="C18" s="432">
        <f>SUM(C2:C17)</f>
        <v>487696390.70999998</v>
      </c>
      <c r="D18" s="432">
        <f>SUM(D2:D17)</f>
        <v>435685206.99999994</v>
      </c>
    </row>
  </sheetData>
  <autoFilter ref="A1:D17" xr:uid="{33E5389C-C572-4585-A645-EB85C8057B2A}"/>
  <pageMargins left="0.7" right="0.7" top="0.75" bottom="0.75" header="0.3" footer="0.3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110B3-D23D-41E1-8FA8-2E383EA08E58}">
  <sheetPr>
    <pageSetUpPr autoPageBreaks="0" fitToPage="1"/>
  </sheetPr>
  <dimension ref="B1:I58"/>
  <sheetViews>
    <sheetView showGridLines="0" zoomScale="80" zoomScaleNormal="80" zoomScalePageLayoutView="125" workbookViewId="0">
      <selection activeCell="G34" sqref="G34"/>
    </sheetView>
  </sheetViews>
  <sheetFormatPr baseColWidth="10" defaultColWidth="2.6640625" defaultRowHeight="13.8"/>
  <cols>
    <col min="1" max="1" width="1.33203125" style="1274" customWidth="1"/>
    <col min="2" max="2" width="25.6640625" style="1274" bestFit="1" customWidth="1"/>
    <col min="3" max="3" width="15.109375" style="1274" bestFit="1" customWidth="1"/>
    <col min="4" max="4" width="17" style="1274" customWidth="1"/>
    <col min="5" max="5" width="15.109375" style="1274" bestFit="1" customWidth="1"/>
    <col min="6" max="6" width="16.6640625" style="1274" customWidth="1"/>
    <col min="7" max="7" width="13.6640625" style="1274" bestFit="1" customWidth="1"/>
    <col min="8" max="8" width="7.44140625" style="1274" bestFit="1" customWidth="1"/>
    <col min="9" max="9" width="35.6640625" style="1274" customWidth="1"/>
    <col min="10" max="10" width="8.44140625" style="1274" bestFit="1" customWidth="1"/>
    <col min="11" max="11" width="15.6640625" style="1274" customWidth="1"/>
    <col min="12" max="12" width="13.6640625" style="1274" bestFit="1" customWidth="1"/>
    <col min="13" max="14" width="12.33203125" style="1274" customWidth="1"/>
    <col min="15" max="15" width="9.6640625" style="1274" bestFit="1" customWidth="1"/>
    <col min="16" max="16" width="10.33203125" style="1274" bestFit="1" customWidth="1"/>
    <col min="17" max="17" width="7" style="1274" bestFit="1" customWidth="1"/>
    <col min="18" max="18" width="10.33203125" style="1274" bestFit="1" customWidth="1"/>
    <col min="19" max="19" width="13" style="1274" bestFit="1" customWidth="1"/>
    <col min="20" max="20" width="13.33203125" style="1274" bestFit="1" customWidth="1"/>
    <col min="21" max="21" width="6.33203125" style="1274" customWidth="1"/>
    <col min="22" max="16384" width="2.6640625" style="1274"/>
  </cols>
  <sheetData>
    <row r="1" spans="2:9" ht="23.4">
      <c r="B1" s="1271" t="s">
        <v>1891</v>
      </c>
      <c r="C1" s="1272"/>
      <c r="D1" s="1272"/>
      <c r="E1" s="1272"/>
      <c r="F1" s="1273"/>
    </row>
    <row r="3" spans="2:9" ht="15.6">
      <c r="B3" s="2158"/>
      <c r="C3" s="2159"/>
      <c r="D3" s="2159"/>
      <c r="E3" s="2159"/>
      <c r="F3" s="2160"/>
    </row>
    <row r="4" spans="2:9" ht="14.4" thickBot="1">
      <c r="B4" s="1275" t="s">
        <v>1400</v>
      </c>
      <c r="C4" s="1275"/>
      <c r="D4" s="1275"/>
    </row>
    <row r="5" spans="2:9" ht="15" thickBot="1">
      <c r="B5" s="1276" t="s">
        <v>1401</v>
      </c>
      <c r="C5" s="1276"/>
      <c r="D5" s="1276"/>
      <c r="E5" s="1277">
        <v>85.66</v>
      </c>
      <c r="F5" s="1278"/>
    </row>
    <row r="6" spans="2:9" ht="15" thickBot="1">
      <c r="B6" s="1279" t="s">
        <v>1403</v>
      </c>
      <c r="C6" s="1279"/>
      <c r="D6" s="1279"/>
      <c r="E6" s="1280"/>
      <c r="F6" s="1278"/>
    </row>
    <row r="7" spans="2:9" ht="15" thickBot="1">
      <c r="B7" s="1279" t="s">
        <v>1406</v>
      </c>
      <c r="C7" s="1279"/>
      <c r="D7" s="1279"/>
      <c r="E7" s="1281">
        <v>462</v>
      </c>
      <c r="F7" s="1282"/>
    </row>
    <row r="8" spans="2:9" ht="15" thickBot="1">
      <c r="B8" s="1279"/>
      <c r="C8" s="1279"/>
      <c r="D8" s="1279"/>
      <c r="F8" s="1283"/>
    </row>
    <row r="9" spans="2:9" ht="15" thickBot="1">
      <c r="B9" s="1275" t="s">
        <v>271</v>
      </c>
      <c r="C9" s="1275"/>
      <c r="D9" s="1275"/>
      <c r="E9" s="1284" t="s">
        <v>1411</v>
      </c>
      <c r="F9" s="1283"/>
    </row>
    <row r="10" spans="2:9" ht="15" thickBot="1">
      <c r="B10" s="1279" t="s">
        <v>1413</v>
      </c>
      <c r="C10" s="1279"/>
      <c r="D10" s="1279"/>
      <c r="E10" s="1280">
        <f>(68037-3500)</f>
        <v>64537</v>
      </c>
      <c r="F10" s="1283"/>
    </row>
    <row r="11" spans="2:9" ht="15" thickBot="1">
      <c r="B11" s="1279" t="s">
        <v>1414</v>
      </c>
      <c r="C11" s="1279"/>
      <c r="D11" s="1279"/>
      <c r="E11" s="1280">
        <f>+E5*E7</f>
        <v>39574.92</v>
      </c>
      <c r="F11" s="1283"/>
    </row>
    <row r="12" spans="2:9" ht="15" thickBot="1">
      <c r="B12" s="1279" t="s">
        <v>1415</v>
      </c>
      <c r="C12" s="1279"/>
      <c r="D12" s="1279"/>
      <c r="E12" s="1285">
        <f>+E11/E10</f>
        <v>0.61321288563149823</v>
      </c>
      <c r="F12" s="1283"/>
    </row>
    <row r="13" spans="2:9">
      <c r="E13" s="1283"/>
      <c r="F13" s="1283"/>
    </row>
    <row r="14" spans="2:9">
      <c r="E14" s="1283"/>
      <c r="F14" s="1283"/>
    </row>
    <row r="15" spans="2:9">
      <c r="E15" s="1283"/>
      <c r="F15" s="1283"/>
    </row>
    <row r="16" spans="2:9" ht="19.5" customHeight="1">
      <c r="B16" s="1286"/>
      <c r="C16" s="2161">
        <v>45870</v>
      </c>
      <c r="D16" s="2162"/>
      <c r="E16" s="2161">
        <v>45505</v>
      </c>
      <c r="F16" s="2162"/>
      <c r="G16" s="2163" t="s">
        <v>1983</v>
      </c>
      <c r="H16" s="2162"/>
      <c r="I16" s="1287"/>
    </row>
    <row r="17" spans="2:9" ht="19.5" customHeight="1">
      <c r="B17" s="1288" t="s">
        <v>29</v>
      </c>
      <c r="C17" s="1289" t="s">
        <v>1896</v>
      </c>
      <c r="D17" s="1290" t="s">
        <v>31</v>
      </c>
      <c r="E17" s="1289" t="s">
        <v>1896</v>
      </c>
      <c r="F17" s="1290" t="s">
        <v>31</v>
      </c>
      <c r="G17" s="1289" t="s">
        <v>1896</v>
      </c>
      <c r="H17" s="1290" t="s">
        <v>1762</v>
      </c>
      <c r="I17" s="1287"/>
    </row>
    <row r="18" spans="2:9" ht="19.95" customHeight="1">
      <c r="B18" s="1291" t="s">
        <v>1428</v>
      </c>
      <c r="C18" s="1292">
        <v>106933000</v>
      </c>
      <c r="D18" s="1293">
        <v>1753000</v>
      </c>
      <c r="E18" s="1292">
        <v>103385169</v>
      </c>
      <c r="F18" s="1293">
        <v>1752291</v>
      </c>
      <c r="G18" s="1292">
        <f t="shared" ref="G18:G37" si="0">+C18-E18</f>
        <v>3547831</v>
      </c>
      <c r="H18" s="1294">
        <f>+G18/E18</f>
        <v>3.4316633945822538E-2</v>
      </c>
      <c r="I18" s="1295" t="s">
        <v>1984</v>
      </c>
    </row>
    <row r="19" spans="2:9" ht="19.95" customHeight="1">
      <c r="B19" s="1296" t="s">
        <v>35</v>
      </c>
      <c r="C19" s="1297">
        <v>469173666.60000002</v>
      </c>
      <c r="D19" s="1298">
        <v>7691371.5836065579</v>
      </c>
      <c r="E19" s="1297">
        <v>451759000</v>
      </c>
      <c r="F19" s="1298">
        <v>7656932.2033898309</v>
      </c>
      <c r="G19" s="1299">
        <f t="shared" si="0"/>
        <v>17414666.600000024</v>
      </c>
      <c r="H19" s="1300">
        <f>+G19/E19</f>
        <v>3.8548577006766935E-2</v>
      </c>
      <c r="I19" s="1301" t="s">
        <v>1985</v>
      </c>
    </row>
    <row r="20" spans="2:9" ht="19.95" customHeight="1">
      <c r="B20" s="1296" t="s">
        <v>38</v>
      </c>
      <c r="C20" s="1297">
        <v>1517166651</v>
      </c>
      <c r="D20" s="1298">
        <v>24871584.442622952</v>
      </c>
      <c r="E20" s="1297">
        <v>1447934796</v>
      </c>
      <c r="F20" s="1298">
        <v>24541267.728813559</v>
      </c>
      <c r="G20" s="1302">
        <f t="shared" si="0"/>
        <v>69231855</v>
      </c>
      <c r="H20" s="1303">
        <f>+G20/E20</f>
        <v>4.7814207650273222E-2</v>
      </c>
      <c r="I20" s="1304" t="s">
        <v>1986</v>
      </c>
    </row>
    <row r="21" spans="2:9" ht="19.95" customHeight="1">
      <c r="B21" s="1296" t="s">
        <v>1920</v>
      </c>
      <c r="C21" s="1297">
        <v>234388157.47679996</v>
      </c>
      <c r="D21" s="1298">
        <v>3842428.8110950813</v>
      </c>
      <c r="E21" s="1297">
        <v>189969379.60000002</v>
      </c>
      <c r="F21" s="1298">
        <v>3219819.9932203395</v>
      </c>
      <c r="G21" s="1297">
        <f t="shared" si="0"/>
        <v>44418777.876799941</v>
      </c>
      <c r="H21" s="1303">
        <f>+G21/E21</f>
        <v>0.23382072400472237</v>
      </c>
      <c r="I21" s="1304" t="s">
        <v>1987</v>
      </c>
    </row>
    <row r="22" spans="2:9" ht="19.95" customHeight="1">
      <c r="B22" s="1296" t="s">
        <v>1921</v>
      </c>
      <c r="C22" s="1297">
        <v>19264643</v>
      </c>
      <c r="D22" s="1298">
        <v>315813.81967213115</v>
      </c>
      <c r="E22" s="1297">
        <v>0</v>
      </c>
      <c r="F22" s="1298">
        <v>0</v>
      </c>
      <c r="G22" s="1297">
        <f t="shared" si="0"/>
        <v>19264643</v>
      </c>
      <c r="H22" s="1305"/>
      <c r="I22" s="1304" t="s">
        <v>1988</v>
      </c>
    </row>
    <row r="23" spans="2:9" ht="19.95" customHeight="1">
      <c r="B23" s="1296" t="s">
        <v>40</v>
      </c>
      <c r="C23" s="1297">
        <v>47672167.622400001</v>
      </c>
      <c r="D23" s="1298">
        <v>781510.94462950819</v>
      </c>
      <c r="E23" s="1297">
        <v>37993875.920000002</v>
      </c>
      <c r="F23" s="1298">
        <v>643963.99864406779</v>
      </c>
      <c r="G23" s="1297">
        <f t="shared" si="0"/>
        <v>9678291.7023999989</v>
      </c>
      <c r="H23" s="1303">
        <f>+G23/E23</f>
        <v>0.25473293966581967</v>
      </c>
      <c r="I23" s="1304" t="s">
        <v>1989</v>
      </c>
    </row>
    <row r="24" spans="2:9" ht="19.95" customHeight="1">
      <c r="B24" s="1296" t="s">
        <v>764</v>
      </c>
      <c r="C24" s="1297">
        <v>39726806.351999998</v>
      </c>
      <c r="D24" s="1298">
        <v>651259.12052459014</v>
      </c>
      <c r="E24" s="1297">
        <v>37993875.920000002</v>
      </c>
      <c r="F24" s="1298">
        <v>643963.99864406779</v>
      </c>
      <c r="G24" s="1297">
        <f t="shared" si="0"/>
        <v>1732930.4319999963</v>
      </c>
      <c r="H24" s="1303">
        <f>+G24/E24</f>
        <v>4.5610783054849655E-2</v>
      </c>
      <c r="I24" s="1304" t="s">
        <v>1990</v>
      </c>
    </row>
    <row r="25" spans="2:9" ht="19.95" customHeight="1">
      <c r="B25" s="1306" t="s">
        <v>41</v>
      </c>
      <c r="C25" s="1307">
        <f>SUM(C19:C24)</f>
        <v>2327392092.0511999</v>
      </c>
      <c r="D25" s="1308">
        <f>SUM(D19:D24)</f>
        <v>38153968.722150818</v>
      </c>
      <c r="E25" s="1307">
        <f>SUM(E19:E24)</f>
        <v>2165650927.4400001</v>
      </c>
      <c r="F25" s="1308">
        <f>SUM(F19:F24)</f>
        <v>36705947.922711864</v>
      </c>
      <c r="G25" s="1307">
        <f t="shared" si="0"/>
        <v>161741164.61119986</v>
      </c>
      <c r="H25" s="1309">
        <f t="shared" ref="H25:H37" si="1">+G25/E25</f>
        <v>7.46847807104319E-2</v>
      </c>
      <c r="I25" s="1310"/>
    </row>
    <row r="26" spans="2:9" ht="19.95" customHeight="1">
      <c r="B26" s="1311" t="s">
        <v>42</v>
      </c>
      <c r="C26" s="1297">
        <v>187510525.98143998</v>
      </c>
      <c r="D26" s="1298">
        <v>3073943.0488760653</v>
      </c>
      <c r="E26" s="1297">
        <v>151975503.68000001</v>
      </c>
      <c r="F26" s="1298">
        <v>2575855.9945762712</v>
      </c>
      <c r="G26" s="1299">
        <f t="shared" si="0"/>
        <v>35535022.301439971</v>
      </c>
      <c r="H26" s="1300">
        <f t="shared" si="1"/>
        <v>0.23382072400472251</v>
      </c>
      <c r="I26" s="1301" t="s">
        <v>1987</v>
      </c>
    </row>
    <row r="27" spans="2:9" ht="19.95" customHeight="1">
      <c r="B27" s="1296" t="s">
        <v>43</v>
      </c>
      <c r="C27" s="1297">
        <v>327746152.40399998</v>
      </c>
      <c r="D27" s="1298">
        <v>5372887.7443278683</v>
      </c>
      <c r="E27" s="1297">
        <v>308130333.7112</v>
      </c>
      <c r="F27" s="1298">
        <v>5222548.0290033901</v>
      </c>
      <c r="G27" s="1297">
        <f t="shared" si="0"/>
        <v>19615818.692799985</v>
      </c>
      <c r="H27" s="1303">
        <f t="shared" si="1"/>
        <v>6.3660784241986443E-2</v>
      </c>
      <c r="I27" s="1313" t="s">
        <v>1991</v>
      </c>
    </row>
    <row r="28" spans="2:9" ht="19.95" customHeight="1">
      <c r="B28" s="1296" t="s">
        <v>44</v>
      </c>
      <c r="C28" s="1297">
        <v>81458723.221791998</v>
      </c>
      <c r="D28" s="1298">
        <v>1335388.9052752787</v>
      </c>
      <c r="E28" s="1297">
        <v>75797782.460400015</v>
      </c>
      <c r="F28" s="1298">
        <v>1284708.1772949155</v>
      </c>
      <c r="G28" s="1297">
        <f t="shared" si="0"/>
        <v>5660940.7613919824</v>
      </c>
      <c r="H28" s="1303">
        <f t="shared" si="1"/>
        <v>7.468478071043172E-2</v>
      </c>
      <c r="I28" s="1313" t="s">
        <v>1992</v>
      </c>
    </row>
    <row r="29" spans="2:9" ht="19.95" customHeight="1">
      <c r="B29" s="1296" t="s">
        <v>45</v>
      </c>
      <c r="C29" s="1297">
        <v>69521911.115999997</v>
      </c>
      <c r="D29" s="1298">
        <v>1139703.4609180328</v>
      </c>
      <c r="E29" s="1297">
        <v>56990813.879999995</v>
      </c>
      <c r="F29" s="1298">
        <v>965945.99796610163</v>
      </c>
      <c r="G29" s="1297">
        <f t="shared" si="0"/>
        <v>12531097.236000001</v>
      </c>
      <c r="H29" s="1303">
        <f t="shared" si="1"/>
        <v>0.21987924689732474</v>
      </c>
      <c r="I29" s="1314" t="s">
        <v>1993</v>
      </c>
    </row>
    <row r="30" spans="2:9" ht="19.95" customHeight="1">
      <c r="B30" s="1296" t="s">
        <v>46</v>
      </c>
      <c r="C30" s="1297">
        <v>19863403.175999999</v>
      </c>
      <c r="D30" s="1298">
        <v>325629.56026229507</v>
      </c>
      <c r="E30" s="1297">
        <v>21656509.2744</v>
      </c>
      <c r="F30" s="1298">
        <v>367059.47922711866</v>
      </c>
      <c r="G30" s="1302">
        <f t="shared" si="0"/>
        <v>-1793106.0984000005</v>
      </c>
      <c r="H30" s="1303">
        <f t="shared" si="1"/>
        <v>-8.2797558723816028E-2</v>
      </c>
      <c r="I30" s="1304" t="s">
        <v>1994</v>
      </c>
    </row>
    <row r="31" spans="2:9" ht="19.95" customHeight="1">
      <c r="B31" s="1306" t="s">
        <v>47</v>
      </c>
      <c r="C31" s="1307">
        <f>SUM(C26:C30)</f>
        <v>686100715.89923203</v>
      </c>
      <c r="D31" s="1315">
        <f>SUM(D26:D30)</f>
        <v>11247552.719659541</v>
      </c>
      <c r="E31" s="1307">
        <f>SUM(E26:E30)</f>
        <v>614550943.00600004</v>
      </c>
      <c r="F31" s="1315">
        <f>SUM(F26:F30)</f>
        <v>10416117.678067796</v>
      </c>
      <c r="G31" s="1307">
        <f t="shared" si="0"/>
        <v>71549772.893231988</v>
      </c>
      <c r="H31" s="1309">
        <f t="shared" si="1"/>
        <v>0.11642610544742656</v>
      </c>
      <c r="I31" s="1316"/>
    </row>
    <row r="32" spans="2:9" ht="19.95" customHeight="1">
      <c r="B32" s="1311" t="s">
        <v>48</v>
      </c>
      <c r="C32" s="1297">
        <v>30500000</v>
      </c>
      <c r="D32" s="1298">
        <v>500000</v>
      </c>
      <c r="E32" s="1297">
        <v>30500000</v>
      </c>
      <c r="F32" s="1298">
        <v>516949.15254237287</v>
      </c>
      <c r="G32" s="1302">
        <f t="shared" si="0"/>
        <v>0</v>
      </c>
      <c r="H32" s="1303">
        <f t="shared" si="1"/>
        <v>0</v>
      </c>
      <c r="I32" s="1301" t="s">
        <v>1995</v>
      </c>
    </row>
    <row r="33" spans="2:9" ht="19.95" customHeight="1">
      <c r="B33" s="1296" t="s">
        <v>49</v>
      </c>
      <c r="C33" s="1297">
        <v>25000000</v>
      </c>
      <c r="D33" s="1298">
        <v>409836.06557377049</v>
      </c>
      <c r="E33" s="1297">
        <v>20790000</v>
      </c>
      <c r="F33" s="1298">
        <v>352372.88135593222</v>
      </c>
      <c r="G33" s="1302">
        <f t="shared" si="0"/>
        <v>4210000</v>
      </c>
      <c r="H33" s="1303">
        <f t="shared" si="1"/>
        <v>0.20250120250120249</v>
      </c>
      <c r="I33" s="1304" t="s">
        <v>1996</v>
      </c>
    </row>
    <row r="34" spans="2:9" ht="19.95" customHeight="1">
      <c r="B34" s="1296" t="s">
        <v>50</v>
      </c>
      <c r="C34" s="1297">
        <v>232739209.20512</v>
      </c>
      <c r="D34" s="1298">
        <v>3815396.8722150819</v>
      </c>
      <c r="E34" s="1297">
        <v>216565092.74400002</v>
      </c>
      <c r="F34" s="1298">
        <v>3670594.7922711866</v>
      </c>
      <c r="G34" s="1302">
        <f t="shared" si="0"/>
        <v>16174116.46111998</v>
      </c>
      <c r="H34" s="1303">
        <f t="shared" si="1"/>
        <v>7.4684780710431858E-2</v>
      </c>
      <c r="I34" s="1304" t="s">
        <v>1997</v>
      </c>
    </row>
    <row r="35" spans="2:9" ht="19.95" customHeight="1">
      <c r="B35" s="1296" t="s">
        <v>51</v>
      </c>
      <c r="C35" s="1297">
        <v>19863403.175999999</v>
      </c>
      <c r="D35" s="1298">
        <v>325629.56026229507</v>
      </c>
      <c r="E35" s="1297">
        <v>21656509.2744</v>
      </c>
      <c r="F35" s="1298">
        <v>367059.47922711866</v>
      </c>
      <c r="G35" s="1302">
        <f t="shared" si="0"/>
        <v>-1793106.0984000005</v>
      </c>
      <c r="H35" s="1303">
        <f t="shared" si="1"/>
        <v>-8.2797558723816028E-2</v>
      </c>
      <c r="I35" s="1304" t="s">
        <v>1994</v>
      </c>
    </row>
    <row r="36" spans="2:9" ht="19.95" customHeight="1">
      <c r="B36" s="1306" t="s">
        <v>52</v>
      </c>
      <c r="C36" s="1307">
        <f>SUM(C32:C35)</f>
        <v>308102612.38111997</v>
      </c>
      <c r="D36" s="1318">
        <f>SUM(D32:D35)</f>
        <v>5050862.4980511479</v>
      </c>
      <c r="E36" s="1307">
        <f>SUM(E32:E35)</f>
        <v>289511602.01840001</v>
      </c>
      <c r="F36" s="1318">
        <f>SUM(F32:F35)</f>
        <v>4906976.3053966109</v>
      </c>
      <c r="G36" s="1307">
        <f t="shared" si="0"/>
        <v>18591010.362719953</v>
      </c>
      <c r="H36" s="1303">
        <f t="shared" si="1"/>
        <v>6.4215078888404595E-2</v>
      </c>
      <c r="I36" s="1319"/>
    </row>
    <row r="37" spans="2:9" ht="19.95" customHeight="1">
      <c r="B37" s="1320" t="s">
        <v>53</v>
      </c>
      <c r="C37" s="1321">
        <f>+C18+C25+C31+C36</f>
        <v>3428528420.3315516</v>
      </c>
      <c r="D37" s="1322">
        <f>+D18+D25+D31+D36</f>
        <v>56205383.939861506</v>
      </c>
      <c r="E37" s="1321">
        <f>+E18+E25+E31+E36</f>
        <v>3173098641.4644003</v>
      </c>
      <c r="F37" s="1322">
        <f>+F18+F25+F31+F36</f>
        <v>53781332.906176269</v>
      </c>
      <c r="G37" s="1321">
        <f t="shared" si="0"/>
        <v>255429778.86715126</v>
      </c>
      <c r="H37" s="1294">
        <f t="shared" si="1"/>
        <v>8.0498530845945965E-2</v>
      </c>
      <c r="I37" s="1310" t="s">
        <v>1998</v>
      </c>
    </row>
    <row r="38" spans="2:9">
      <c r="C38" s="1312"/>
      <c r="D38" s="1323"/>
      <c r="G38" s="1287"/>
      <c r="H38" s="1287"/>
    </row>
    <row r="39" spans="2:9" ht="19.5" customHeight="1"/>
    <row r="40" spans="2:9" ht="19.5" customHeight="1">
      <c r="B40" s="1324" t="s">
        <v>1999</v>
      </c>
      <c r="C40" s="2161">
        <f>+C16</f>
        <v>45870</v>
      </c>
      <c r="D40" s="2162"/>
      <c r="E40" s="2161">
        <f>+E16</f>
        <v>45505</v>
      </c>
      <c r="F40" s="2162"/>
    </row>
    <row r="41" spans="2:9" ht="19.5" customHeight="1">
      <c r="B41" s="1325" t="s">
        <v>1431</v>
      </c>
      <c r="C41" s="1289" t="str">
        <f>+C17</f>
        <v>RD$</v>
      </c>
      <c r="D41" s="1326" t="str">
        <f>+D17</f>
        <v>US $</v>
      </c>
      <c r="E41" s="1289" t="str">
        <f>+E17</f>
        <v>RD$</v>
      </c>
      <c r="F41" s="1326" t="str">
        <f>+F17</f>
        <v>US $</v>
      </c>
      <c r="G41" s="1327"/>
    </row>
    <row r="42" spans="2:9" ht="19.5" customHeight="1">
      <c r="B42" s="1328" t="s">
        <v>33</v>
      </c>
      <c r="C42" s="1329">
        <f>+C18</f>
        <v>106933000</v>
      </c>
      <c r="D42" s="1330">
        <f>+D18</f>
        <v>1753000</v>
      </c>
      <c r="E42" s="1329">
        <f>+E18</f>
        <v>103385169</v>
      </c>
      <c r="F42" s="1331">
        <f>+F18</f>
        <v>1752291</v>
      </c>
    </row>
    <row r="43" spans="2:9" ht="14.4">
      <c r="B43" s="1332" t="s">
        <v>1433</v>
      </c>
      <c r="C43" s="1333">
        <f>+C25</f>
        <v>2327392092.0511999</v>
      </c>
      <c r="D43" s="1334">
        <f>+D25</f>
        <v>38153968.722150818</v>
      </c>
      <c r="E43" s="1333">
        <f>+E25</f>
        <v>2165650927.4400001</v>
      </c>
      <c r="F43" s="1335">
        <f>+F25</f>
        <v>36705947.922711864</v>
      </c>
    </row>
    <row r="44" spans="2:9" ht="14.4">
      <c r="B44" s="1332" t="s">
        <v>1434</v>
      </c>
      <c r="C44" s="1333">
        <f>+C31</f>
        <v>686100715.89923203</v>
      </c>
      <c r="D44" s="1334">
        <f>+D31</f>
        <v>11247552.719659541</v>
      </c>
      <c r="E44" s="1333">
        <f>+E31</f>
        <v>614550943.00600004</v>
      </c>
      <c r="F44" s="1335">
        <f>+F31</f>
        <v>10416117.678067796</v>
      </c>
    </row>
    <row r="45" spans="2:9" ht="14.4">
      <c r="B45" s="1336" t="s">
        <v>1435</v>
      </c>
      <c r="C45" s="1337">
        <f>+C36</f>
        <v>308102612.38111997</v>
      </c>
      <c r="D45" s="1338">
        <f>+D36</f>
        <v>5050862.4980511479</v>
      </c>
      <c r="E45" s="1337">
        <f>+E36</f>
        <v>289511602.01840001</v>
      </c>
      <c r="F45" s="1339">
        <f>+F36</f>
        <v>4906976.3053966109</v>
      </c>
    </row>
    <row r="46" spans="2:9" ht="21">
      <c r="B46" s="1325" t="s">
        <v>1436</v>
      </c>
      <c r="C46" s="1340">
        <f>SUM(C42:C45)</f>
        <v>3428528420.3315516</v>
      </c>
      <c r="D46" s="1341">
        <f>SUM(D42:D45)</f>
        <v>56205383.939861506</v>
      </c>
      <c r="E46" s="1340">
        <f>SUM(E42:E45)</f>
        <v>3173098641.4644003</v>
      </c>
      <c r="F46" s="1341">
        <f>SUM(F42:F45)</f>
        <v>53781332.906176269</v>
      </c>
      <c r="G46" s="1342">
        <f>+C46-E46</f>
        <v>255429778.86715126</v>
      </c>
      <c r="H46" s="1294">
        <f>+G46/E46</f>
        <v>8.0498530845945965E-2</v>
      </c>
    </row>
    <row r="47" spans="2:9" ht="14.4">
      <c r="B47" s="1332" t="s">
        <v>1437</v>
      </c>
      <c r="C47" s="1333">
        <f>+C46/E7</f>
        <v>7421057.1868648306</v>
      </c>
      <c r="D47" s="1343">
        <f>+D46/E7</f>
        <v>121656.67519450543</v>
      </c>
      <c r="E47" s="1333">
        <f>+E46/E7</f>
        <v>6868178.8776285723</v>
      </c>
      <c r="F47" s="1343">
        <f>+F46/E7</f>
        <v>116409.81148523002</v>
      </c>
    </row>
    <row r="48" spans="2:9" ht="14.4">
      <c r="B48" s="1336" t="s">
        <v>1438</v>
      </c>
      <c r="C48" s="1337">
        <f>+C47/E5</f>
        <v>86633.868630222161</v>
      </c>
      <c r="D48" s="1344">
        <f>+D47/E5</f>
        <v>1420.227354593806</v>
      </c>
      <c r="E48" s="1337">
        <f>+E47/E5</f>
        <v>80179.533943831106</v>
      </c>
      <c r="F48" s="1344">
        <f>+F47/E5</f>
        <v>1358.9751515903574</v>
      </c>
    </row>
    <row r="50" spans="2:8" ht="18">
      <c r="B50" s="1346" t="s">
        <v>1439</v>
      </c>
      <c r="C50" s="1340">
        <f>+D52*E11</f>
        <v>4152200606.3999996</v>
      </c>
      <c r="D50" s="1347">
        <f>+D53*E11</f>
        <v>68068862.399999991</v>
      </c>
      <c r="E50" s="1340">
        <f>+F52*E11</f>
        <v>3852618462</v>
      </c>
      <c r="F50" s="1347">
        <f>+F53*E11</f>
        <v>65298618</v>
      </c>
      <c r="G50" s="1321">
        <f t="shared" ref="G50" si="2">+C50-E50</f>
        <v>299582144.39999962</v>
      </c>
      <c r="H50" s="1294">
        <f>+G50/E50</f>
        <v>7.7760657421674276E-2</v>
      </c>
    </row>
    <row r="51" spans="2:8" ht="14.4">
      <c r="B51" s="1348" t="s">
        <v>1440</v>
      </c>
      <c r="C51" s="1349">
        <f>+C50/E7</f>
        <v>8987447.1999999993</v>
      </c>
      <c r="D51" s="1350">
        <f>+D50/E7</f>
        <v>147335.19999999998</v>
      </c>
      <c r="E51" s="1349">
        <f>+E50/E7</f>
        <v>8339001</v>
      </c>
      <c r="F51" s="1350">
        <f>+F50/E7</f>
        <v>141339</v>
      </c>
    </row>
    <row r="52" spans="2:8" ht="15.6">
      <c r="B52" s="1345"/>
      <c r="C52" s="1351" t="s">
        <v>2000</v>
      </c>
      <c r="D52" s="1352">
        <f>+D54*D53</f>
        <v>104920</v>
      </c>
      <c r="E52" s="1351"/>
      <c r="F52" s="1352">
        <f>+F54*F53</f>
        <v>97350</v>
      </c>
    </row>
    <row r="53" spans="2:8">
      <c r="B53" s="1345"/>
      <c r="C53" s="1348" t="s">
        <v>2001</v>
      </c>
      <c r="D53" s="1353">
        <v>1720</v>
      </c>
      <c r="E53" s="1348"/>
      <c r="F53" s="1353">
        <v>1650</v>
      </c>
    </row>
    <row r="54" spans="2:8">
      <c r="B54" s="1345"/>
      <c r="C54" s="1354" t="s">
        <v>2002</v>
      </c>
      <c r="D54" s="1355">
        <v>61</v>
      </c>
      <c r="E54" s="1354"/>
      <c r="F54" s="1355">
        <v>59</v>
      </c>
    </row>
    <row r="55" spans="2:8" ht="19.5" customHeight="1">
      <c r="B55" s="1345"/>
      <c r="C55" s="1345"/>
      <c r="D55" s="1345"/>
      <c r="E55" s="1345"/>
      <c r="F55" s="1345"/>
    </row>
    <row r="56" spans="2:8" ht="19.5" customHeight="1">
      <c r="B56" s="1356" t="s">
        <v>1441</v>
      </c>
      <c r="C56" s="1357" t="s">
        <v>1422</v>
      </c>
      <c r="D56" s="1358" t="str">
        <f>+D41</f>
        <v>US $</v>
      </c>
      <c r="E56" s="1357" t="s">
        <v>1422</v>
      </c>
      <c r="F56" s="1358" t="str">
        <f>+F41</f>
        <v>US $</v>
      </c>
    </row>
    <row r="57" spans="2:8" ht="14.4">
      <c r="B57" s="1328" t="s">
        <v>1442</v>
      </c>
      <c r="C57" s="1329">
        <f>+C50-C46</f>
        <v>723672186.06844807</v>
      </c>
      <c r="D57" s="1359">
        <f>+D50-D46</f>
        <v>11863478.460138485</v>
      </c>
      <c r="E57" s="1329">
        <f>+E50-E46</f>
        <v>679519820.53559971</v>
      </c>
      <c r="F57" s="1359">
        <f>+E57/F54</f>
        <v>11517285.093823723</v>
      </c>
      <c r="G57" s="1321">
        <f>+D57-F57</f>
        <v>346193.36631476134</v>
      </c>
      <c r="H57" s="1294">
        <f>+G57/F57</f>
        <v>3.0058591368933945E-2</v>
      </c>
    </row>
    <row r="58" spans="2:8" ht="14.4">
      <c r="B58" s="1336" t="s">
        <v>2003</v>
      </c>
      <c r="C58" s="1360">
        <f>+C57/C50</f>
        <v>0.17428642174778719</v>
      </c>
      <c r="D58" s="1317"/>
      <c r="E58" s="1360">
        <f>+(F50-F46)/F50</f>
        <v>0.17637869600584397</v>
      </c>
      <c r="F58" s="1317"/>
      <c r="G58" s="1361"/>
      <c r="H58" s="1345"/>
    </row>
  </sheetData>
  <mergeCells count="6">
    <mergeCell ref="B3:F3"/>
    <mergeCell ref="C16:D16"/>
    <mergeCell ref="E16:F16"/>
    <mergeCell ref="G16:H16"/>
    <mergeCell ref="C40:D40"/>
    <mergeCell ref="E40:F40"/>
  </mergeCells>
  <dataValidations count="5">
    <dataValidation allowBlank="1" showInputMessage="1" showErrorMessage="1" promptTitle="REGISTRO DE DATOS:" prompt="INDIQUE M2 PARCELAS ADICIONALES" sqref="E12" xr:uid="{F8237D9C-DF15-4AFE-A630-13DCF2438515}"/>
    <dataValidation allowBlank="1" showInputMessage="1" showErrorMessage="1" promptTitle="REGISTRO DE DATOS:" prompt="INDIQUE M2 DE PARCELAS BÁSICAS" sqref="E11" xr:uid="{146F9B8E-3B43-4256-B66C-5B5E9D8A91FA}"/>
    <dataValidation allowBlank="1" showInputMessage="1" showErrorMessage="1" promptTitle="REGISTRO DE DATOS:" prompt="INDIQUE CANTIDAD DE VIVIENDAS" sqref="E7:F7" xr:uid="{C1F3B890-50F7-4690-899A-D096C6D34EBE}"/>
    <dataValidation allowBlank="1" showInputMessage="1" showErrorMessage="1" promptTitle="REGISTRO DE DATOS:" prompt="INDIQUE PARCELA BÁSICA" sqref="E6:F6" xr:uid="{094EF6CC-7B9B-4113-BC1A-1A4FDCE3B2FD}"/>
    <dataValidation allowBlank="1" showInputMessage="1" showErrorMessage="1" promptTitle="REGISTRO DE DATOS:" prompt="INDIQUE ÁREA DE CONSTRUCCIÓN" sqref="F5" xr:uid="{64BA9B98-C9C6-4B2F-BBA6-9D5971427A79}"/>
  </dataValidations>
  <pageMargins left="0.5" right="0.69" top="0.92" bottom="1" header="0" footer="0"/>
  <pageSetup scale="38" orientation="landscape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25154-ACE2-46B4-A752-4E30B4A85E38}">
  <dimension ref="B3:I42"/>
  <sheetViews>
    <sheetView showGridLines="0" topLeftCell="A15" zoomScaleNormal="100" workbookViewId="0">
      <selection activeCell="D22" sqref="D22"/>
    </sheetView>
  </sheetViews>
  <sheetFormatPr baseColWidth="10" defaultColWidth="11.44140625" defaultRowHeight="14.4"/>
  <cols>
    <col min="1" max="1" width="2.44140625" customWidth="1"/>
    <col min="2" max="2" width="30.88671875" bestFit="1" customWidth="1"/>
    <col min="3" max="3" width="20.6640625" style="731" customWidth="1"/>
    <col min="4" max="4" width="16.6640625" style="730" bestFit="1" customWidth="1"/>
    <col min="5" max="8" width="14.109375" style="730" bestFit="1" customWidth="1"/>
    <col min="9" max="9" width="14.5546875" style="731" bestFit="1" customWidth="1"/>
    <col min="10" max="10" width="20.6640625" bestFit="1" customWidth="1"/>
    <col min="11" max="12" width="12.33203125" bestFit="1" customWidth="1"/>
  </cols>
  <sheetData>
    <row r="3" spans="2:9" hidden="1">
      <c r="B3" s="142">
        <v>160000000</v>
      </c>
    </row>
    <row r="4" spans="2:9" ht="15" hidden="1" thickBot="1">
      <c r="B4" s="284" t="s">
        <v>259</v>
      </c>
    </row>
    <row r="5" spans="2:9" ht="15" hidden="1" thickBot="1">
      <c r="B5" s="284" t="s">
        <v>260</v>
      </c>
    </row>
    <row r="6" spans="2:9" ht="15.6" hidden="1" thickTop="1" thickBot="1">
      <c r="B6" s="285" t="s">
        <v>261</v>
      </c>
    </row>
    <row r="7" spans="2:9" ht="15.6" hidden="1" thickTop="1" thickBot="1">
      <c r="B7" s="285" t="s">
        <v>149</v>
      </c>
    </row>
    <row r="8" spans="2:9" ht="15.6" hidden="1" thickTop="1" thickBot="1">
      <c r="B8" s="285" t="s">
        <v>262</v>
      </c>
    </row>
    <row r="9" spans="2:9" hidden="1"/>
    <row r="10" spans="2:9" hidden="1"/>
    <row r="11" spans="2:9" hidden="1"/>
    <row r="12" spans="2:9" hidden="1"/>
    <row r="13" spans="2:9" hidden="1"/>
    <row r="14" spans="2:9" hidden="1"/>
    <row r="15" spans="2:9" ht="15" thickBot="1">
      <c r="C15" s="731" t="s">
        <v>1286</v>
      </c>
      <c r="F15" s="733" t="s">
        <v>1287</v>
      </c>
      <c r="G15" s="733" t="s">
        <v>1288</v>
      </c>
    </row>
    <row r="16" spans="2:9" ht="16.2" thickBot="1">
      <c r="B16" s="676"/>
      <c r="C16" s="734" t="s">
        <v>2004</v>
      </c>
      <c r="D16" s="735">
        <v>45931</v>
      </c>
      <c r="E16" s="735">
        <v>45962</v>
      </c>
      <c r="F16" s="735">
        <v>45992</v>
      </c>
      <c r="G16" s="735">
        <v>46023</v>
      </c>
      <c r="H16" s="735">
        <v>46054</v>
      </c>
      <c r="I16" s="807" t="s">
        <v>1290</v>
      </c>
    </row>
    <row r="17" spans="2:9" ht="16.2" thickBot="1">
      <c r="B17" s="736" t="s">
        <v>1291</v>
      </c>
      <c r="C17" s="737">
        <f>+'BCE 09-25'!C34</f>
        <v>76880590.930000007</v>
      </c>
      <c r="D17" s="737">
        <v>22480000</v>
      </c>
      <c r="E17" s="737">
        <v>22480000</v>
      </c>
      <c r="F17" s="737">
        <v>22480000</v>
      </c>
      <c r="G17" s="737">
        <v>22480000</v>
      </c>
      <c r="H17" s="737">
        <v>22480000</v>
      </c>
      <c r="I17" s="808">
        <f>SUM(C17:H17)</f>
        <v>189280590.93000001</v>
      </c>
    </row>
    <row r="18" spans="2:9" ht="15.6">
      <c r="B18" s="681" t="s">
        <v>1616</v>
      </c>
      <c r="C18" s="738">
        <v>330000000</v>
      </c>
      <c r="D18" s="739"/>
      <c r="E18" s="739"/>
      <c r="F18" s="739"/>
      <c r="G18" s="739"/>
      <c r="H18" s="739"/>
      <c r="I18" s="809">
        <f>SUM(C18:H18)</f>
        <v>330000000</v>
      </c>
    </row>
    <row r="19" spans="2:9" ht="15.6">
      <c r="B19" s="681" t="s">
        <v>2005</v>
      </c>
      <c r="C19" s="738">
        <f>+'Préstamos 09-25'!E14</f>
        <v>55184227.399999999</v>
      </c>
      <c r="D19" s="739">
        <f>100000000-C19-20000000</f>
        <v>24815772.600000001</v>
      </c>
      <c r="E19" s="739">
        <v>20000000</v>
      </c>
      <c r="F19" s="739"/>
      <c r="G19" s="739"/>
      <c r="H19" s="739"/>
      <c r="I19" s="809">
        <f t="shared" ref="I19:I23" si="0">SUM(C19:H19)</f>
        <v>100000000</v>
      </c>
    </row>
    <row r="20" spans="2:9" ht="15.6" hidden="1">
      <c r="B20" s="681"/>
      <c r="C20" s="738"/>
      <c r="D20" s="739">
        <f>+C19+D19</f>
        <v>80000000</v>
      </c>
      <c r="E20" s="739">
        <f>+D20+E19</f>
        <v>100000000</v>
      </c>
      <c r="F20" s="739">
        <f t="shared" ref="F20:H20" si="1">+E20+F19</f>
        <v>100000000</v>
      </c>
      <c r="G20" s="739">
        <f t="shared" si="1"/>
        <v>100000000</v>
      </c>
      <c r="H20" s="739">
        <f t="shared" si="1"/>
        <v>100000000</v>
      </c>
      <c r="I20" s="809">
        <f>+I19</f>
        <v>100000000</v>
      </c>
    </row>
    <row r="21" spans="2:9" ht="15.6">
      <c r="B21" s="681" t="s">
        <v>1617</v>
      </c>
      <c r="C21" s="738">
        <f>+'Préstamos 09-25'!E23</f>
        <v>49200000</v>
      </c>
      <c r="D21" s="739"/>
      <c r="E21" s="739"/>
      <c r="F21" s="739"/>
      <c r="G21" s="738"/>
      <c r="H21" s="739"/>
      <c r="I21" s="809">
        <f t="shared" si="0"/>
        <v>49200000</v>
      </c>
    </row>
    <row r="22" spans="2:9" ht="15.6">
      <c r="B22" s="681" t="s">
        <v>1618</v>
      </c>
      <c r="C22" s="738"/>
      <c r="D22" s="739">
        <v>-5000000</v>
      </c>
      <c r="E22" s="739"/>
      <c r="F22" s="739">
        <v>-49200000</v>
      </c>
      <c r="G22" s="738"/>
      <c r="H22" s="739"/>
      <c r="I22" s="809">
        <f t="shared" si="0"/>
        <v>-54200000</v>
      </c>
    </row>
    <row r="23" spans="2:9" ht="15.6" hidden="1">
      <c r="B23" s="681"/>
      <c r="C23" s="738"/>
      <c r="D23" s="739">
        <f>+C21+D21+D18</f>
        <v>49200000</v>
      </c>
      <c r="E23" s="739">
        <f>+D23+E18+D22</f>
        <v>44200000</v>
      </c>
      <c r="F23" s="739">
        <f>+E23+F18+F22</f>
        <v>-5000000</v>
      </c>
      <c r="G23" s="739">
        <f>+F23+G21+G22</f>
        <v>-5000000</v>
      </c>
      <c r="H23" s="739"/>
      <c r="I23" s="809">
        <f t="shared" si="0"/>
        <v>83400000</v>
      </c>
    </row>
    <row r="24" spans="2:9" ht="15.6">
      <c r="B24" s="681" t="s">
        <v>266</v>
      </c>
      <c r="C24" s="738">
        <f>+C18+C19+C21-C25</f>
        <v>20050850.020000041</v>
      </c>
      <c r="D24" s="739">
        <f>+C24+D19+D22-D25</f>
        <v>781190.15000004321</v>
      </c>
      <c r="E24" s="739">
        <f t="shared" ref="E24:H24" si="2">+D24+E19+E22-E25</f>
        <v>-9055859.6499999613</v>
      </c>
      <c r="F24" s="739">
        <f t="shared" si="2"/>
        <v>-93473842.893333301</v>
      </c>
      <c r="G24" s="739">
        <f t="shared" si="2"/>
        <v>-125097988.52666664</v>
      </c>
      <c r="H24" s="739">
        <f t="shared" si="2"/>
        <v>-156256368.75999996</v>
      </c>
      <c r="I24" s="809">
        <f>+H24</f>
        <v>-156256368.75999996</v>
      </c>
    </row>
    <row r="25" spans="2:9" ht="15.6">
      <c r="B25" s="740" t="s">
        <v>267</v>
      </c>
      <c r="C25" s="741">
        <f>SUM(C26:C42)</f>
        <v>414333377.37999994</v>
      </c>
      <c r="D25" s="741">
        <f>SUM(D26:D42)</f>
        <v>39085432.469999999</v>
      </c>
      <c r="E25" s="741">
        <f>SUM(E26:E42)</f>
        <v>29837049.800000004</v>
      </c>
      <c r="F25" s="741">
        <f>SUM(F26:F42)</f>
        <v>35217983.24333334</v>
      </c>
      <c r="G25" s="741">
        <f t="shared" ref="G25:H25" si="3">SUM(G26:G42)</f>
        <v>31624145.633333337</v>
      </c>
      <c r="H25" s="741">
        <f t="shared" si="3"/>
        <v>31158380.233333331</v>
      </c>
      <c r="I25" s="810">
        <f>SUM(C25:H25)</f>
        <v>581256368.75999999</v>
      </c>
    </row>
    <row r="26" spans="2:9" ht="15.6">
      <c r="B26" s="694" t="s">
        <v>259</v>
      </c>
      <c r="C26" s="743">
        <f>+'PRESENTACIÓN 09-25'!O5</f>
        <v>264427064.15999997</v>
      </c>
      <c r="D26" s="742">
        <f>+'CXP MMHB'!F9</f>
        <v>18016</v>
      </c>
      <c r="E26" s="742">
        <f>+'CXP MMHB'!I9</f>
        <v>0</v>
      </c>
      <c r="F26" s="742">
        <f>+'CXP MMHB'!J9</f>
        <v>0</v>
      </c>
      <c r="G26" s="742">
        <f>+'CXP MMHB'!K9</f>
        <v>0</v>
      </c>
      <c r="H26" s="742">
        <f>+'CXP MMHB'!L9</f>
        <v>0</v>
      </c>
      <c r="I26" s="811">
        <f t="shared" ref="I26:I42" si="4">SUM(C26:H26)</f>
        <v>264445080.15999997</v>
      </c>
    </row>
    <row r="27" spans="2:9" ht="15.6">
      <c r="B27" s="697" t="s">
        <v>260</v>
      </c>
      <c r="C27" s="738">
        <f>+'PRESENTACIÓN 09-25'!O20</f>
        <v>22020491.250000004</v>
      </c>
      <c r="D27" s="739">
        <f>+'CXP 09-25'!E10+'CXP MMHB'!F19</f>
        <v>333744.8</v>
      </c>
      <c r="E27" s="739">
        <f>+'Compromisos 09-25'!F11</f>
        <v>657533</v>
      </c>
      <c r="F27" s="739">
        <f>+'CXP 09-25'!E9</f>
        <v>1427678.42</v>
      </c>
      <c r="G27" s="739">
        <f>+'Compromisos 09-25'!I11+'CXP MMHB'!K19</f>
        <v>0</v>
      </c>
      <c r="H27" s="739">
        <f>+'Compromisos 09-25'!J11+'CXP MMHB'!L19</f>
        <v>0</v>
      </c>
      <c r="I27" s="809">
        <f t="shared" si="4"/>
        <v>24439447.470000006</v>
      </c>
    </row>
    <row r="28" spans="2:9" ht="15.6">
      <c r="B28" s="697" t="s">
        <v>1292</v>
      </c>
      <c r="C28" s="743">
        <f>+'PRESENTACIÓN 09-25'!O19</f>
        <v>16198119.509999998</v>
      </c>
      <c r="D28" s="742">
        <f>+'CXP 09-25'!E86+'CXP MMHB'!F68+'Compromisos 09-25'!F85</f>
        <v>1521977.29</v>
      </c>
      <c r="E28" s="742">
        <f>+'Compromisos 09-25'!G85+'CXP MMHB'!I68</f>
        <v>357835</v>
      </c>
      <c r="F28" s="742">
        <f>+'Compromisos 09-25'!H85+'CXP MMHB'!J68</f>
        <v>2091958.99</v>
      </c>
      <c r="G28" s="742">
        <f>+'Compromisos 09-25'!I85+'CXP MMHB'!K68</f>
        <v>357835</v>
      </c>
      <c r="H28" s="742">
        <f>+'Compromisos 09-25'!J85+'CXP MMHB'!L68</f>
        <v>0</v>
      </c>
      <c r="I28" s="811">
        <f t="shared" si="4"/>
        <v>20527725.789999995</v>
      </c>
    </row>
    <row r="29" spans="2:9" ht="15.6">
      <c r="B29" s="697" t="s">
        <v>271</v>
      </c>
      <c r="C29" s="738">
        <f>+'PRESENTACIÓN 09-25'!O6</f>
        <v>27788673.41</v>
      </c>
      <c r="D29" s="739">
        <f>+'Compromisos 09-25'!F19+'CXP MMHB'!F24+'CXP 09-25'!E14+'CXP 09-25'!E15+'CXP 09-25'!E16</f>
        <v>3345904.84</v>
      </c>
      <c r="E29" s="739">
        <f>+'Compromisos 09-25'!G19+'CXP 09-25'!E17</f>
        <v>4342033.18</v>
      </c>
      <c r="F29" s="739">
        <f>+'Compromisos 09-25'!H19</f>
        <v>5500000</v>
      </c>
      <c r="G29" s="739">
        <f>+'Compromisos 09-25'!I19</f>
        <v>6683734</v>
      </c>
      <c r="H29" s="739">
        <f>+'Compromisos 09-25'!J19</f>
        <v>5575803.5999999996</v>
      </c>
      <c r="I29" s="809">
        <f t="shared" si="4"/>
        <v>53236149.030000001</v>
      </c>
    </row>
    <row r="30" spans="2:9" ht="15.6">
      <c r="B30" s="697" t="s">
        <v>681</v>
      </c>
      <c r="C30" s="738">
        <f>+'PRESENTACIÓN 09-25'!O7</f>
        <v>0</v>
      </c>
      <c r="D30" s="739">
        <f>+'Compromisos 09-25'!F21</f>
        <v>0</v>
      </c>
      <c r="E30" s="739">
        <f>+'Compromisos 09-25'!G21</f>
        <v>3000000</v>
      </c>
      <c r="F30" s="739">
        <f>+'Compromisos 09-25'!H21</f>
        <v>5700000</v>
      </c>
      <c r="G30" s="739">
        <f>+'Compromisos 09-25'!I21</f>
        <v>5000000</v>
      </c>
      <c r="H30" s="739">
        <f>+'Compromisos 09-25'!J21</f>
        <v>6000000</v>
      </c>
      <c r="I30" s="809">
        <f t="shared" si="4"/>
        <v>19700000</v>
      </c>
    </row>
    <row r="31" spans="2:9" ht="15.6">
      <c r="B31" s="697" t="s">
        <v>682</v>
      </c>
      <c r="C31" s="738">
        <f>+'PRESENTACIÓN 09-25'!O10</f>
        <v>147108.54000000004</v>
      </c>
      <c r="D31" s="739">
        <f>+'Compromisos 09-25'!F34+'CXP 09-25'!E28</f>
        <v>529801.6</v>
      </c>
      <c r="E31" s="739">
        <f>+'Compromisos 09-25'!G34</f>
        <v>250000</v>
      </c>
      <c r="F31" s="739">
        <f>+'Compromisos 09-25'!H34</f>
        <v>250000</v>
      </c>
      <c r="G31" s="739">
        <f>+'Compromisos 09-25'!I34</f>
        <v>250000</v>
      </c>
      <c r="H31" s="739">
        <f>+'Compromisos 09-25'!J34</f>
        <v>250000</v>
      </c>
      <c r="I31" s="809">
        <f>SUM(C31:H31)</f>
        <v>1676910.1400000001</v>
      </c>
    </row>
    <row r="32" spans="2:9" ht="15.6">
      <c r="B32" s="697" t="s">
        <v>449</v>
      </c>
      <c r="C32" s="743">
        <f>+'PRESENTACIÓN 09-25'!O16</f>
        <v>19204268.959999997</v>
      </c>
      <c r="D32" s="742">
        <f>+'CXP 09-25'!E63+'CXP 09-25'!E77+'CXP 09-25'!E82+'CXP MMHB'!F36+'CXP MMHB'!F37+'CXP MMHB'!F54+'Compromisos 09-25'!F63+'Compromisos 09-25'!F73+'Compromisos 09-25'!F77-'CXP 09-25'!F72</f>
        <v>3697724.19</v>
      </c>
      <c r="E32" s="742">
        <f>+'Compromisos 09-25'!G63+'Compromisos 09-25'!G73+'Compromisos 09-25'!G77+'CXP MMHB'!I54+'CXP MMHB'!I40+'CXP MMHB'!F38+'CXP MMHB'!F39+'CXP 09-25'!G72</f>
        <v>1332901.1200000001</v>
      </c>
      <c r="F32" s="742">
        <f>+'Compromisos 09-25'!H63+'Compromisos 09-25'!H73+'Compromisos 09-25'!H77+'CXP MMHB'!J54+'CXP MMHB'!J40</f>
        <v>426390</v>
      </c>
      <c r="G32" s="742">
        <f>+'Compromisos 09-25'!I63+'Compromisos 09-25'!I73+'Compromisos 09-25'!I77+'CXP MMHB'!K54+'CXP MMHB'!K40</f>
        <v>258004</v>
      </c>
      <c r="H32" s="742">
        <f>+'Compromisos 09-25'!J63+'Compromisos 09-25'!J73+'Compromisos 09-25'!J77+'CXP MMHB'!L54+'CXP MMHB'!L40</f>
        <v>258004</v>
      </c>
      <c r="I32" s="811">
        <f t="shared" si="4"/>
        <v>25177292.27</v>
      </c>
    </row>
    <row r="33" spans="2:9" s="747" customFormat="1" ht="15.6">
      <c r="B33" s="744" t="s">
        <v>810</v>
      </c>
      <c r="C33" s="746">
        <f>+'PRESENTACIÓN 09-25'!O15</f>
        <v>1765167.7599999998</v>
      </c>
      <c r="D33" s="745">
        <f>+'Compromisos 09-25'!F87+'CXP 09-25'!E58</f>
        <v>604000</v>
      </c>
      <c r="E33" s="745">
        <f>+'Compromisos 09-25'!G87</f>
        <v>250000</v>
      </c>
      <c r="F33" s="745">
        <f>+'Compromisos 09-25'!H87</f>
        <v>250000</v>
      </c>
      <c r="G33" s="745">
        <f>+'Compromisos 09-25'!I87</f>
        <v>250000</v>
      </c>
      <c r="H33" s="745">
        <f>+'Compromisos 09-25'!J87</f>
        <v>250000</v>
      </c>
      <c r="I33" s="812">
        <f t="shared" si="4"/>
        <v>3369167.76</v>
      </c>
    </row>
    <row r="34" spans="2:9" s="747" customFormat="1" ht="15.6">
      <c r="B34" s="703" t="s">
        <v>767</v>
      </c>
      <c r="C34" s="749">
        <f>+'PRESENTACIÓN 09-25'!O8</f>
        <v>16558081.100000001</v>
      </c>
      <c r="D34" s="750">
        <f>+'Compromisos 09-25'!F26+'CXP 09-25'!E22</f>
        <v>4720000</v>
      </c>
      <c r="E34" s="750">
        <f>+'Compromisos 09-25'!G26+'CXP 09-25'!F22</f>
        <v>2360000</v>
      </c>
      <c r="F34" s="750">
        <f>+'Compromisos 09-25'!H26+'CXP 09-25'!G22</f>
        <v>2360000</v>
      </c>
      <c r="G34" s="750">
        <f>+'Compromisos 09-25'!I26+'CXP 09-25'!H22</f>
        <v>2360000</v>
      </c>
      <c r="H34" s="750">
        <f>+'Compromisos 09-25'!J26+'CXP 09-25'!I22</f>
        <v>2360000</v>
      </c>
      <c r="I34" s="813">
        <f t="shared" si="4"/>
        <v>30718081.100000001</v>
      </c>
    </row>
    <row r="35" spans="2:9" s="747" customFormat="1" ht="15.6">
      <c r="B35" s="703" t="s">
        <v>1607</v>
      </c>
      <c r="C35" s="749">
        <v>0</v>
      </c>
      <c r="D35" s="750">
        <f>+'Compromisos 09-25'!F30</f>
        <v>506964.3</v>
      </c>
      <c r="E35" s="750">
        <f>+'Compromisos 09-25'!G30</f>
        <v>506964.3</v>
      </c>
      <c r="F35" s="750">
        <f>+'Compromisos 09-25'!H30</f>
        <v>506964.3</v>
      </c>
      <c r="G35" s="750">
        <f>+'Compromisos 09-25'!I30</f>
        <v>506964.3</v>
      </c>
      <c r="H35" s="750">
        <f>+'Compromisos 09-25'!J30</f>
        <v>506964.3</v>
      </c>
      <c r="I35" s="814">
        <f>SUM(C35:H35)</f>
        <v>2534821.5</v>
      </c>
    </row>
    <row r="36" spans="2:9" s="747" customFormat="1" ht="15.6">
      <c r="B36" s="703" t="s">
        <v>768</v>
      </c>
      <c r="C36" s="748">
        <f>+'PRESENTACIÓN 09-25'!O13</f>
        <v>9011175.9699999988</v>
      </c>
      <c r="D36" s="751">
        <f>+'Compromisos 09-25'!F38+'CXP 09-25'!E32</f>
        <v>3540000</v>
      </c>
      <c r="E36" s="751">
        <f>+'Compromisos 09-25'!G38+'CXP 09-25'!F32</f>
        <v>1770000</v>
      </c>
      <c r="F36" s="751">
        <f>+'Compromisos 09-25'!H38+'CXP 09-25'!G32</f>
        <v>1770000</v>
      </c>
      <c r="G36" s="751">
        <f>+'Compromisos 09-25'!I38+'CXP 09-25'!H32</f>
        <v>1770000</v>
      </c>
      <c r="H36" s="751">
        <f>+'Compromisos 09-25'!J38+'CXP 09-25'!I32</f>
        <v>1770000</v>
      </c>
      <c r="I36" s="814">
        <f t="shared" si="4"/>
        <v>19631175.969999999</v>
      </c>
    </row>
    <row r="37" spans="2:9" s="747" customFormat="1" ht="15.6">
      <c r="B37" s="703" t="s">
        <v>1451</v>
      </c>
      <c r="C37" s="749">
        <f>+'Costos a Sept-25'!L29+'Costos a Sept-25'!L30-'CXP 09-25'!E46-'CXP 09-25'!E54-'CXP MMHB'!F29</f>
        <v>5687132.1400000006</v>
      </c>
      <c r="D37" s="750">
        <f>+'CXP 09-25'!E46+'CXP 09-25'!E54+'Compromisos 09-25'!F55</f>
        <v>2564609.88</v>
      </c>
      <c r="E37" s="750">
        <f>+'CXP 09-25'!F46+'Compromisos 09-25'!G55</f>
        <v>1311433.2</v>
      </c>
      <c r="F37" s="750">
        <f>+'CXP 09-25'!G46+'Compromisos 09-25'!H55</f>
        <v>1311433.2</v>
      </c>
      <c r="G37" s="750">
        <f>+'CXP 09-25'!H46+'Compromisos 09-25'!I55</f>
        <v>1300000</v>
      </c>
      <c r="H37" s="750">
        <f>+'CXP 09-25'!I46+'Compromisos 09-25'!J55</f>
        <v>1300000</v>
      </c>
      <c r="I37" s="813">
        <f t="shared" si="4"/>
        <v>13474608.42</v>
      </c>
    </row>
    <row r="38" spans="2:9" s="747" customFormat="1" ht="18" customHeight="1">
      <c r="B38" s="752" t="s">
        <v>962</v>
      </c>
      <c r="C38" s="748">
        <f>+'Costos a Sept-25'!L28-'CXP 09-25'!E42</f>
        <v>3535000</v>
      </c>
      <c r="D38" s="751">
        <f>+'Compromisos 09-25'!F48+'CXP 09-25'!E42</f>
        <v>1834000</v>
      </c>
      <c r="E38" s="751">
        <f>+'Compromisos 09-25'!G48+'CXP 09-25'!F42</f>
        <v>767000</v>
      </c>
      <c r="F38" s="751">
        <f>+'Compromisos 09-25'!H48+'CXP 09-25'!G42</f>
        <v>767000</v>
      </c>
      <c r="G38" s="751">
        <f>+'Compromisos 09-25'!I48+'CXP 09-25'!H42</f>
        <v>767000</v>
      </c>
      <c r="H38" s="751">
        <f>+'Compromisos 09-25'!J48+'CXP 09-25'!I42</f>
        <v>767000</v>
      </c>
      <c r="I38" s="814">
        <f t="shared" si="4"/>
        <v>8437000</v>
      </c>
    </row>
    <row r="39" spans="2:9" ht="15.6">
      <c r="B39" s="752" t="s">
        <v>770</v>
      </c>
      <c r="C39" s="743">
        <f>+'Costos a Sept-25'!L27-'CXP 09-25'!E37</f>
        <v>27991094.580000002</v>
      </c>
      <c r="D39" s="742">
        <f>+'CXP 09-25'!E37+'Compromisos 09-25'!F44</f>
        <v>13164630.120000001</v>
      </c>
      <c r="E39" s="742">
        <f>+'Compromisos 08-25'!P69</f>
        <v>12195400.000000002</v>
      </c>
      <c r="F39" s="742">
        <f>+'Compromisos 08-25'!Q69</f>
        <v>12195400.000000002</v>
      </c>
      <c r="G39" s="742">
        <f>+'Compromisos 08-25'!R69</f>
        <v>12195400.000000002</v>
      </c>
      <c r="H39" s="742">
        <f>+'Compromisos 08-25'!S69</f>
        <v>12195400.000000002</v>
      </c>
      <c r="I39" s="811">
        <f t="shared" si="4"/>
        <v>89937324.700000003</v>
      </c>
    </row>
    <row r="40" spans="2:9" ht="15.6" hidden="1">
      <c r="B40" s="753"/>
      <c r="C40" s="755"/>
      <c r="D40" s="739"/>
      <c r="E40" s="739"/>
      <c r="F40" s="739"/>
      <c r="G40" s="739"/>
      <c r="H40" s="739"/>
      <c r="I40" s="811">
        <f t="shared" si="4"/>
        <v>0</v>
      </c>
    </row>
    <row r="41" spans="2:9" ht="15.6" hidden="1">
      <c r="B41" s="753"/>
      <c r="C41" s="755"/>
      <c r="D41" s="739"/>
      <c r="E41" s="739"/>
      <c r="F41" s="739"/>
      <c r="G41" s="739"/>
      <c r="H41" s="739"/>
      <c r="I41" s="811">
        <f t="shared" si="4"/>
        <v>0</v>
      </c>
    </row>
    <row r="42" spans="2:9" ht="16.2" thickBot="1">
      <c r="B42" s="756" t="s">
        <v>50</v>
      </c>
      <c r="C42" s="758">
        <f>+'PRESENTACIÓN 07-25'!O21</f>
        <v>0</v>
      </c>
      <c r="D42" s="1397">
        <f>+'Proc. 09-25'!D16</f>
        <v>2704059.45</v>
      </c>
      <c r="E42" s="1397">
        <f>((+D23*0.1795)/12)</f>
        <v>735950</v>
      </c>
      <c r="F42" s="1397">
        <f t="shared" ref="F42:H42" si="5">((+E23*0.1795)/12)</f>
        <v>661158.33333333337</v>
      </c>
      <c r="G42" s="1397">
        <f t="shared" si="5"/>
        <v>-74791.666666666672</v>
      </c>
      <c r="H42" s="1397">
        <f t="shared" si="5"/>
        <v>-74791.666666666672</v>
      </c>
      <c r="I42" s="816">
        <f t="shared" si="4"/>
        <v>3951584.4500000007</v>
      </c>
    </row>
  </sheetData>
  <pageMargins left="0.7" right="0.7" top="0.75" bottom="0.75" header="0.3" footer="0.3"/>
  <ignoredErrors>
    <ignoredError sqref="I24" formula="1"/>
  </ignoredErrors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5803C-5DD9-448E-A44B-22BE4B1D80B0}">
  <sheetPr filterMode="1">
    <tabColor rgb="FFFFFF00"/>
  </sheetPr>
  <dimension ref="A1:G66"/>
  <sheetViews>
    <sheetView showGridLines="0" zoomScale="130" zoomScaleNormal="130" workbookViewId="0">
      <selection activeCell="K27" sqref="K27"/>
    </sheetView>
  </sheetViews>
  <sheetFormatPr baseColWidth="10" defaultColWidth="8" defaultRowHeight="11.4"/>
  <cols>
    <col min="1" max="1" width="39.33203125" style="1212" customWidth="1"/>
    <col min="2" max="2" width="12.6640625" style="1212" hidden="1" customWidth="1"/>
    <col min="3" max="3" width="11.44140625" style="1212" hidden="1" customWidth="1"/>
    <col min="4" max="4" width="17.6640625" style="1212" hidden="1" customWidth="1"/>
    <col min="5" max="5" width="12.5546875" style="1212" hidden="1" customWidth="1"/>
    <col min="6" max="6" width="18.109375" style="1212" hidden="1" customWidth="1"/>
    <col min="7" max="7" width="13.33203125" style="1212" bestFit="1" customWidth="1"/>
    <col min="8" max="16384" width="8" style="1212"/>
  </cols>
  <sheetData>
    <row r="1" spans="1:7" s="1221" customFormat="1" ht="16.649999999999999" customHeight="1">
      <c r="A1" s="2166" t="s">
        <v>1911</v>
      </c>
      <c r="B1" s="2166"/>
      <c r="C1" s="2166"/>
      <c r="D1" s="2166"/>
      <c r="E1" s="2166"/>
      <c r="F1" s="1972"/>
      <c r="G1" s="1972"/>
    </row>
    <row r="2" spans="1:7" s="1220" customFormat="1" ht="31.95" customHeight="1">
      <c r="A2" s="2164" t="s">
        <v>236</v>
      </c>
      <c r="B2" s="2164"/>
      <c r="C2" s="2164"/>
      <c r="D2" s="2164"/>
      <c r="E2" s="2164"/>
      <c r="F2" s="1973"/>
      <c r="G2" s="1973"/>
    </row>
    <row r="3" spans="1:7" s="1220" customFormat="1" ht="14.4" customHeight="1">
      <c r="A3" s="2165" t="s">
        <v>2006</v>
      </c>
      <c r="B3" s="2165"/>
      <c r="C3" s="2165"/>
      <c r="D3" s="2165"/>
      <c r="E3" s="2165"/>
      <c r="F3" s="1973"/>
      <c r="G3" s="1973"/>
    </row>
    <row r="4" spans="1:7" s="1220" customFormat="1" ht="14.4" customHeight="1">
      <c r="A4" s="1982" t="s">
        <v>1791</v>
      </c>
      <c r="B4" s="1983"/>
      <c r="C4" s="1982"/>
      <c r="D4" s="1983"/>
      <c r="E4" s="1982" t="s">
        <v>2007</v>
      </c>
      <c r="F4" s="1983" t="s">
        <v>2008</v>
      </c>
      <c r="G4" s="1982" t="s">
        <v>2009</v>
      </c>
    </row>
    <row r="5" spans="1:7" ht="13.35" hidden="1" customHeight="1">
      <c r="F5" s="1966"/>
      <c r="G5" s="1979"/>
    </row>
    <row r="6" spans="1:7" s="1216" customFormat="1" ht="12.15" hidden="1" customHeight="1">
      <c r="A6" s="1962" t="s">
        <v>690</v>
      </c>
      <c r="B6" s="1962" t="s">
        <v>689</v>
      </c>
      <c r="C6" s="1962" t="s">
        <v>823</v>
      </c>
      <c r="D6" s="1962" t="s">
        <v>773</v>
      </c>
      <c r="E6" s="1963" t="s">
        <v>164</v>
      </c>
      <c r="F6" s="1966"/>
      <c r="G6" s="1966"/>
    </row>
    <row r="7" spans="1:7" ht="13.35" hidden="1" customHeight="1">
      <c r="F7" s="1966"/>
      <c r="G7" s="1966"/>
    </row>
    <row r="8" spans="1:7" s="1216" customFormat="1" ht="12.15" hidden="1" customHeight="1">
      <c r="A8" s="1964" t="s">
        <v>889</v>
      </c>
      <c r="B8" s="1964"/>
      <c r="C8" s="1964"/>
      <c r="D8" s="1964"/>
      <c r="E8" s="1964"/>
      <c r="F8" s="1966"/>
      <c r="G8" s="1966"/>
    </row>
    <row r="9" spans="1:7" ht="10.95" hidden="1" customHeight="1">
      <c r="A9" s="1214" t="s">
        <v>301</v>
      </c>
      <c r="B9" s="1215">
        <v>45888</v>
      </c>
      <c r="C9" s="1215">
        <v>45891</v>
      </c>
      <c r="D9" s="1214" t="s">
        <v>1629</v>
      </c>
      <c r="E9" s="1213">
        <v>1427678.42</v>
      </c>
      <c r="F9" s="1966"/>
      <c r="G9" s="1966"/>
    </row>
    <row r="10" spans="1:7" ht="10.95" hidden="1" customHeight="1">
      <c r="A10" s="1218" t="s">
        <v>330</v>
      </c>
      <c r="B10" s="1219">
        <v>45938</v>
      </c>
      <c r="C10" s="1219">
        <v>45938</v>
      </c>
      <c r="D10" s="1218" t="s">
        <v>1926</v>
      </c>
      <c r="E10" s="1217">
        <v>136500</v>
      </c>
      <c r="F10" s="1966"/>
      <c r="G10" s="1966"/>
    </row>
    <row r="11" spans="1:7" ht="10.95" customHeight="1">
      <c r="A11" s="1399" t="s">
        <v>49</v>
      </c>
      <c r="B11" s="1965"/>
      <c r="C11" s="1965"/>
      <c r="D11" s="1965"/>
      <c r="E11" s="1966">
        <f>SUM(E9:E10)</f>
        <v>1564178.42</v>
      </c>
      <c r="F11" s="1966">
        <f>+'CXP MMHB'!H19</f>
        <v>110000</v>
      </c>
      <c r="G11" s="1400">
        <f>+E11+F11</f>
        <v>1674178.42</v>
      </c>
    </row>
    <row r="12" spans="1:7" ht="13.35" hidden="1" customHeight="1">
      <c r="F12" s="1966"/>
      <c r="G12" s="1979"/>
    </row>
    <row r="13" spans="1:7" s="1216" customFormat="1" ht="12.15" hidden="1" customHeight="1">
      <c r="A13" s="1964" t="s">
        <v>1030</v>
      </c>
      <c r="B13" s="1964"/>
      <c r="C13" s="1964"/>
      <c r="D13" s="1964"/>
      <c r="E13" s="1964"/>
      <c r="F13" s="1966"/>
      <c r="G13" s="1966"/>
    </row>
    <row r="14" spans="1:7" ht="10.95" hidden="1" customHeight="1">
      <c r="A14" s="1214" t="s">
        <v>317</v>
      </c>
      <c r="B14" s="1215">
        <v>45873</v>
      </c>
      <c r="C14" s="1215">
        <v>45903</v>
      </c>
      <c r="D14" s="1214" t="s">
        <v>1633</v>
      </c>
      <c r="E14" s="1213">
        <v>469430.56</v>
      </c>
      <c r="F14" s="1969"/>
      <c r="G14" s="1966"/>
    </row>
    <row r="15" spans="1:7" ht="10.95" hidden="1" customHeight="1">
      <c r="A15" s="1218" t="s">
        <v>1111</v>
      </c>
      <c r="B15" s="1219">
        <v>45881</v>
      </c>
      <c r="C15" s="1219">
        <v>45881</v>
      </c>
      <c r="D15" s="1218" t="s">
        <v>1634</v>
      </c>
      <c r="E15" s="1217">
        <v>275627.24</v>
      </c>
      <c r="F15" s="1965"/>
      <c r="G15" s="1966"/>
    </row>
    <row r="16" spans="1:7" ht="10.95" hidden="1" customHeight="1">
      <c r="A16" s="1218" t="s">
        <v>317</v>
      </c>
      <c r="B16" s="1219">
        <v>45908</v>
      </c>
      <c r="C16" s="1219">
        <v>45938</v>
      </c>
      <c r="D16" s="1218" t="s">
        <v>1830</v>
      </c>
      <c r="E16" s="1217">
        <v>342033.18</v>
      </c>
      <c r="F16" s="1966"/>
      <c r="G16" s="1966"/>
    </row>
    <row r="17" spans="1:7" ht="10.95" hidden="1" customHeight="1">
      <c r="A17" s="1218" t="s">
        <v>2010</v>
      </c>
      <c r="B17" s="1219"/>
      <c r="C17" s="1219"/>
      <c r="D17" s="1218" t="s">
        <v>2011</v>
      </c>
      <c r="E17" s="1217">
        <v>2000000</v>
      </c>
      <c r="F17" s="1966"/>
      <c r="G17" s="1966"/>
    </row>
    <row r="18" spans="1:7" ht="10.95" customHeight="1">
      <c r="A18" s="1399" t="s">
        <v>1764</v>
      </c>
      <c r="B18" s="1965"/>
      <c r="C18" s="1965"/>
      <c r="D18" s="1965"/>
      <c r="E18" s="1966">
        <f>SUM(E14:E17)</f>
        <v>3087090.98</v>
      </c>
      <c r="F18" s="1966"/>
      <c r="G18" s="1400">
        <f>+E18+F18</f>
        <v>3087090.98</v>
      </c>
    </row>
    <row r="19" spans="1:7" ht="13.35" hidden="1" customHeight="1">
      <c r="F19" s="1966"/>
      <c r="G19" s="1979"/>
    </row>
    <row r="20" spans="1:7" s="1216" customFormat="1" ht="12.15" hidden="1" customHeight="1">
      <c r="A20" s="1964" t="s">
        <v>1036</v>
      </c>
      <c r="B20" s="1964"/>
      <c r="C20" s="1964"/>
      <c r="D20" s="1964"/>
      <c r="E20" s="1964"/>
      <c r="F20" s="1966"/>
      <c r="G20" s="1966"/>
    </row>
    <row r="21" spans="1:7" ht="10.95" hidden="1" customHeight="1">
      <c r="A21" s="1214" t="s">
        <v>715</v>
      </c>
      <c r="B21" s="1215">
        <v>45918</v>
      </c>
      <c r="C21" s="1215">
        <v>45930</v>
      </c>
      <c r="D21" s="1214" t="s">
        <v>1832</v>
      </c>
      <c r="E21" s="1213">
        <v>2360000</v>
      </c>
      <c r="F21" s="1966"/>
      <c r="G21" s="1966"/>
    </row>
    <row r="22" spans="1:7" ht="10.95" hidden="1" customHeight="1">
      <c r="A22" s="1218" t="s">
        <v>715</v>
      </c>
      <c r="B22" s="1219">
        <v>45940</v>
      </c>
      <c r="C22" s="1219">
        <v>45940</v>
      </c>
      <c r="D22" s="1218" t="s">
        <v>1930</v>
      </c>
      <c r="E22" s="1217">
        <v>2360000</v>
      </c>
      <c r="F22" s="1966"/>
      <c r="G22" s="1966"/>
    </row>
    <row r="23" spans="1:7" ht="10.95" customHeight="1">
      <c r="A23" s="1399" t="s">
        <v>2012</v>
      </c>
      <c r="B23" s="1965"/>
      <c r="C23" s="1965"/>
      <c r="D23" s="1965"/>
      <c r="E23" s="1966">
        <f>SUM(E21:E22)</f>
        <v>4720000</v>
      </c>
      <c r="F23" s="1966"/>
      <c r="G23" s="1400">
        <f>+E23+F23</f>
        <v>4720000</v>
      </c>
    </row>
    <row r="24" spans="1:7" ht="13.35" hidden="1" customHeight="1">
      <c r="F24" s="1966"/>
      <c r="G24" s="1979"/>
    </row>
    <row r="25" spans="1:7" s="1216" customFormat="1" ht="12.15" hidden="1" customHeight="1">
      <c r="A25" s="1964" t="s">
        <v>2013</v>
      </c>
      <c r="B25" s="1964"/>
      <c r="C25" s="1964"/>
      <c r="D25" s="1964"/>
      <c r="E25" s="1964"/>
      <c r="F25" s="1969"/>
      <c r="G25" s="1966"/>
    </row>
    <row r="26" spans="1:7" ht="10.95" hidden="1" customHeight="1">
      <c r="A26" s="1214" t="s">
        <v>1045</v>
      </c>
      <c r="B26" s="1215">
        <v>45930</v>
      </c>
      <c r="C26" s="1215">
        <v>45960</v>
      </c>
      <c r="D26" s="1214" t="s">
        <v>1834</v>
      </c>
      <c r="E26" s="1213">
        <v>90246.399999999994</v>
      </c>
      <c r="F26" s="1965"/>
      <c r="G26" s="1966"/>
    </row>
    <row r="27" spans="1:7" ht="10.95" customHeight="1">
      <c r="A27" s="1399" t="s">
        <v>40</v>
      </c>
      <c r="B27" s="1965"/>
      <c r="C27" s="1965"/>
      <c r="D27" s="1965"/>
      <c r="E27" s="1966">
        <f>E26</f>
        <v>90246.399999999994</v>
      </c>
      <c r="F27" s="1966"/>
      <c r="G27" s="1400">
        <f>+E27+F27</f>
        <v>90246.399999999994</v>
      </c>
    </row>
    <row r="28" spans="1:7" ht="13.35" hidden="1" customHeight="1">
      <c r="F28" s="1966"/>
      <c r="G28" s="1979"/>
    </row>
    <row r="29" spans="1:7" s="1216" customFormat="1" ht="12.15" hidden="1" customHeight="1">
      <c r="A29" s="1964" t="s">
        <v>1836</v>
      </c>
      <c r="B29" s="1964"/>
      <c r="C29" s="1964"/>
      <c r="D29" s="1964"/>
      <c r="E29" s="1964"/>
      <c r="F29" s="1966"/>
      <c r="G29" s="1966"/>
    </row>
    <row r="30" spans="1:7" ht="10.95" hidden="1" customHeight="1">
      <c r="A30" s="1214" t="s">
        <v>295</v>
      </c>
      <c r="B30" s="1215">
        <v>45937</v>
      </c>
      <c r="C30" s="1215">
        <v>45944</v>
      </c>
      <c r="D30" s="1214" t="s">
        <v>1935</v>
      </c>
      <c r="E30" s="1213">
        <v>1770000</v>
      </c>
      <c r="F30" s="1966"/>
      <c r="G30" s="1966"/>
    </row>
    <row r="31" spans="1:7" ht="10.95" customHeight="1">
      <c r="A31" s="1399" t="s">
        <v>42</v>
      </c>
      <c r="B31" s="1965"/>
      <c r="C31" s="1965"/>
      <c r="D31" s="1965"/>
      <c r="E31" s="1966">
        <f>E30</f>
        <v>1770000</v>
      </c>
      <c r="F31" s="1966"/>
      <c r="G31" s="1400">
        <f>+E31+F31</f>
        <v>1770000</v>
      </c>
    </row>
    <row r="33" spans="1:7" s="1216" customFormat="1" ht="12.15" hidden="1" customHeight="1">
      <c r="A33" s="1964" t="s">
        <v>1475</v>
      </c>
      <c r="B33" s="1964"/>
      <c r="C33" s="1964"/>
      <c r="D33" s="1964"/>
      <c r="E33" s="1964"/>
      <c r="F33" s="1966"/>
      <c r="G33" s="1966"/>
    </row>
    <row r="34" spans="1:7" ht="10.95" hidden="1" customHeight="1">
      <c r="A34" s="1214" t="s">
        <v>914</v>
      </c>
      <c r="B34" s="1215">
        <v>45910</v>
      </c>
      <c r="C34" s="1215">
        <v>45925</v>
      </c>
      <c r="D34" s="1214" t="s">
        <v>1840</v>
      </c>
      <c r="E34" s="1213">
        <v>2032347.81</v>
      </c>
      <c r="F34" s="1966"/>
      <c r="G34" s="1966"/>
    </row>
    <row r="35" spans="1:7" ht="10.95" hidden="1" customHeight="1">
      <c r="A35" s="1218" t="s">
        <v>1569</v>
      </c>
      <c r="B35" s="1219">
        <v>45933</v>
      </c>
      <c r="C35" s="1219">
        <v>45947</v>
      </c>
      <c r="D35" s="1218" t="s">
        <v>1938</v>
      </c>
      <c r="E35" s="1217">
        <v>6641071.5300000003</v>
      </c>
      <c r="F35" s="1966"/>
      <c r="G35" s="1966"/>
    </row>
    <row r="36" spans="1:7" ht="10.95" hidden="1" customHeight="1">
      <c r="A36" s="1218" t="s">
        <v>389</v>
      </c>
      <c r="B36" s="1219">
        <v>45943</v>
      </c>
      <c r="C36" s="1219">
        <v>45956</v>
      </c>
      <c r="D36" s="1218" t="s">
        <v>1940</v>
      </c>
      <c r="E36" s="1217">
        <v>480332.16</v>
      </c>
      <c r="F36" s="1969"/>
      <c r="G36" s="1966"/>
    </row>
    <row r="37" spans="1:7" ht="10.95" hidden="1" customHeight="1">
      <c r="A37" s="1218" t="s">
        <v>1569</v>
      </c>
      <c r="B37" s="1219">
        <v>45943</v>
      </c>
      <c r="C37" s="1219">
        <v>45957</v>
      </c>
      <c r="D37" s="1218" t="s">
        <v>1942</v>
      </c>
      <c r="E37" s="1217">
        <v>3552763.7</v>
      </c>
      <c r="F37" s="1965"/>
      <c r="G37" s="1966"/>
    </row>
    <row r="38" spans="1:7" ht="10.95" customHeight="1">
      <c r="A38" s="1399" t="s">
        <v>1877</v>
      </c>
      <c r="B38" s="1965"/>
      <c r="C38" s="1965"/>
      <c r="D38" s="1965"/>
      <c r="E38" s="1966">
        <f>SUM(E34:E37)</f>
        <v>12706515.199999999</v>
      </c>
      <c r="F38" s="1966">
        <f>+'CXP MMHB'!H29</f>
        <v>293476.90999999997</v>
      </c>
      <c r="G38" s="1400">
        <f>+E38+F38</f>
        <v>12999992.109999999</v>
      </c>
    </row>
    <row r="39" spans="1:7" ht="13.35" hidden="1" customHeight="1">
      <c r="F39" s="1966"/>
      <c r="G39" s="1979"/>
    </row>
    <row r="40" spans="1:7" s="1216" customFormat="1" ht="12.15" hidden="1" customHeight="1">
      <c r="A40" s="1964" t="s">
        <v>1842</v>
      </c>
      <c r="B40" s="1964"/>
      <c r="C40" s="1964"/>
      <c r="D40" s="1964"/>
      <c r="E40" s="1964"/>
      <c r="F40" s="1966"/>
      <c r="G40" s="1966"/>
    </row>
    <row r="41" spans="1:7" ht="10.95" hidden="1" customHeight="1">
      <c r="A41" s="1214" t="s">
        <v>389</v>
      </c>
      <c r="B41" s="1215">
        <v>45937</v>
      </c>
      <c r="C41" s="1215">
        <v>45944</v>
      </c>
      <c r="D41" s="1214" t="s">
        <v>1945</v>
      </c>
      <c r="E41" s="1213">
        <v>767000</v>
      </c>
      <c r="F41" s="1966"/>
      <c r="G41" s="1966"/>
    </row>
    <row r="42" spans="1:7" ht="10.95" customHeight="1">
      <c r="A42" s="1399" t="s">
        <v>962</v>
      </c>
      <c r="B42" s="1965"/>
      <c r="C42" s="1965"/>
      <c r="D42" s="1965"/>
      <c r="E42" s="1966">
        <f>E41</f>
        <v>767000</v>
      </c>
      <c r="F42" s="1966"/>
      <c r="G42" s="1400">
        <f>+E42+F42</f>
        <v>767000</v>
      </c>
    </row>
    <row r="43" spans="1:7" ht="13.35" hidden="1" customHeight="1">
      <c r="F43" s="1966"/>
      <c r="G43" s="1979"/>
    </row>
    <row r="44" spans="1:7" s="1216" customFormat="1" ht="12.15" hidden="1" customHeight="1">
      <c r="A44" s="1964" t="s">
        <v>2014</v>
      </c>
      <c r="B44" s="1964"/>
      <c r="C44" s="1964"/>
      <c r="D44" s="1964"/>
      <c r="E44" s="1964"/>
      <c r="F44" s="1966"/>
      <c r="G44" s="1966"/>
    </row>
    <row r="45" spans="1:7" ht="10.95" hidden="1" customHeight="1">
      <c r="A45" s="1214" t="s">
        <v>778</v>
      </c>
      <c r="B45" s="1215">
        <v>45937</v>
      </c>
      <c r="C45" s="1215">
        <v>45944</v>
      </c>
      <c r="D45" s="1214" t="s">
        <v>1948</v>
      </c>
      <c r="E45" s="1213">
        <v>1132936.8999999999</v>
      </c>
      <c r="F45" s="1966"/>
      <c r="G45" s="1966"/>
    </row>
    <row r="46" spans="1:7" ht="10.95" hidden="1" customHeight="1">
      <c r="A46" s="1214" t="s">
        <v>1043</v>
      </c>
      <c r="B46" s="1215">
        <v>45916</v>
      </c>
      <c r="C46" s="1215">
        <v>45930</v>
      </c>
      <c r="D46" s="1214" t="s">
        <v>1848</v>
      </c>
      <c r="E46" s="1213">
        <v>15244.27</v>
      </c>
      <c r="F46" s="1966"/>
      <c r="G46" s="1966"/>
    </row>
    <row r="47" spans="1:7" ht="10.95" hidden="1" customHeight="1">
      <c r="A47" s="1218" t="s">
        <v>1045</v>
      </c>
      <c r="B47" s="1219">
        <v>45930</v>
      </c>
      <c r="C47" s="1219">
        <v>45960</v>
      </c>
      <c r="D47" s="1218" t="s">
        <v>1849</v>
      </c>
      <c r="E47" s="1217">
        <v>67968</v>
      </c>
      <c r="F47" s="1969"/>
      <c r="G47" s="1966"/>
    </row>
    <row r="48" spans="1:7" ht="10.95" customHeight="1">
      <c r="A48" s="1399" t="s">
        <v>1451</v>
      </c>
      <c r="B48" s="1965"/>
      <c r="C48" s="1965"/>
      <c r="D48" s="1965"/>
      <c r="E48" s="1966">
        <f>SUM(E45:E47)</f>
        <v>1216149.17</v>
      </c>
      <c r="F48" s="1965"/>
      <c r="G48" s="1400">
        <f>+E48+F48</f>
        <v>1216149.17</v>
      </c>
    </row>
    <row r="50" spans="1:7" s="1216" customFormat="1" ht="12.15" hidden="1" customHeight="1">
      <c r="A50" s="1964" t="s">
        <v>2015</v>
      </c>
      <c r="B50" s="1964"/>
      <c r="C50" s="1964"/>
      <c r="D50" s="1964"/>
      <c r="E50" s="1964"/>
      <c r="F50" s="1966"/>
      <c r="G50" s="1966"/>
    </row>
    <row r="51" spans="1:7" ht="10.95" hidden="1" customHeight="1">
      <c r="A51" s="1214" t="s">
        <v>740</v>
      </c>
      <c r="B51" s="1215">
        <v>45908</v>
      </c>
      <c r="C51" s="1215">
        <v>45932</v>
      </c>
      <c r="D51" s="1214" t="s">
        <v>1854</v>
      </c>
      <c r="E51" s="1213">
        <v>23086.7</v>
      </c>
      <c r="F51" s="1966"/>
      <c r="G51" s="1966"/>
    </row>
    <row r="52" spans="1:7" ht="10.95" hidden="1" customHeight="1">
      <c r="A52" s="1218" t="s">
        <v>1855</v>
      </c>
      <c r="B52" s="1219">
        <v>45932</v>
      </c>
      <c r="C52" s="1219">
        <v>45963</v>
      </c>
      <c r="D52" s="1218" t="s">
        <v>1953</v>
      </c>
      <c r="E52" s="1217">
        <v>94400</v>
      </c>
      <c r="F52" s="1966"/>
      <c r="G52" s="1966"/>
    </row>
    <row r="53" spans="1:7" ht="10.95" hidden="1" customHeight="1">
      <c r="A53" s="1218" t="s">
        <v>1631</v>
      </c>
      <c r="B53" s="1219">
        <v>45945</v>
      </c>
      <c r="C53" s="1219">
        <v>45960</v>
      </c>
      <c r="D53" s="1218" t="s">
        <v>1955</v>
      </c>
      <c r="E53" s="1217">
        <v>73986</v>
      </c>
      <c r="F53" s="1966"/>
      <c r="G53" s="1966"/>
    </row>
    <row r="54" spans="1:7" ht="10.95" hidden="1" customHeight="1">
      <c r="A54" s="1214" t="s">
        <v>856</v>
      </c>
      <c r="B54" s="1215">
        <v>45727</v>
      </c>
      <c r="C54" s="1215">
        <v>45731</v>
      </c>
      <c r="D54" s="1214" t="s">
        <v>1318</v>
      </c>
      <c r="E54" s="1213">
        <v>826</v>
      </c>
      <c r="F54" s="1966"/>
      <c r="G54" s="1966"/>
    </row>
    <row r="55" spans="1:7" ht="10.95" hidden="1" customHeight="1">
      <c r="A55" s="1218" t="s">
        <v>1254</v>
      </c>
      <c r="B55" s="1219">
        <v>45841</v>
      </c>
      <c r="C55" s="1219">
        <v>45849</v>
      </c>
      <c r="D55" s="1218" t="s">
        <v>1477</v>
      </c>
      <c r="E55" s="1217">
        <v>11000</v>
      </c>
      <c r="F55" s="1966"/>
      <c r="G55" s="1966"/>
    </row>
    <row r="56" spans="1:7" ht="10.95" hidden="1" customHeight="1">
      <c r="A56" s="1218" t="s">
        <v>1207</v>
      </c>
      <c r="B56" s="1219">
        <v>45869</v>
      </c>
      <c r="C56" s="1219">
        <v>45898</v>
      </c>
      <c r="D56" s="1218" t="s">
        <v>1482</v>
      </c>
      <c r="E56" s="1217">
        <v>44132</v>
      </c>
      <c r="F56" s="1966"/>
      <c r="G56" s="1966"/>
    </row>
    <row r="57" spans="1:7" ht="10.95" hidden="1" customHeight="1">
      <c r="A57" s="1218" t="s">
        <v>1367</v>
      </c>
      <c r="B57" s="1219">
        <v>45875</v>
      </c>
      <c r="C57" s="1219">
        <v>45889</v>
      </c>
      <c r="D57" s="1218" t="s">
        <v>1654</v>
      </c>
      <c r="E57" s="1217">
        <v>470840</v>
      </c>
      <c r="F57" s="1966"/>
      <c r="G57" s="1966"/>
    </row>
    <row r="58" spans="1:7" ht="10.95" hidden="1" customHeight="1">
      <c r="A58" s="1218" t="s">
        <v>746</v>
      </c>
      <c r="B58" s="1219">
        <v>45901</v>
      </c>
      <c r="C58" s="1219">
        <v>45930</v>
      </c>
      <c r="D58" s="1218" t="s">
        <v>1858</v>
      </c>
      <c r="E58" s="1217">
        <v>21240</v>
      </c>
      <c r="F58" s="1969"/>
      <c r="G58" s="1966"/>
    </row>
    <row r="59" spans="1:7" ht="10.95" hidden="1" customHeight="1">
      <c r="A59" s="1218" t="s">
        <v>756</v>
      </c>
      <c r="B59" s="1219">
        <v>45925</v>
      </c>
      <c r="C59" s="1219">
        <v>45955</v>
      </c>
      <c r="D59" s="1218" t="s">
        <v>1859</v>
      </c>
      <c r="E59" s="1217">
        <v>88264</v>
      </c>
      <c r="F59" s="1965"/>
      <c r="G59" s="1966"/>
    </row>
    <row r="60" spans="1:7" ht="10.95" hidden="1" customHeight="1">
      <c r="A60" s="1218" t="s">
        <v>746</v>
      </c>
      <c r="B60" s="1219">
        <v>45926</v>
      </c>
      <c r="C60" s="1219">
        <v>45954</v>
      </c>
      <c r="D60" s="1218" t="s">
        <v>1323</v>
      </c>
      <c r="E60" s="1217">
        <v>21240</v>
      </c>
      <c r="F60" s="1966"/>
      <c r="G60" s="1966"/>
    </row>
    <row r="61" spans="1:7" ht="10.95" hidden="1" customHeight="1">
      <c r="A61" s="1218" t="s">
        <v>389</v>
      </c>
      <c r="B61" s="1219">
        <v>45937</v>
      </c>
      <c r="C61" s="1219">
        <v>45944</v>
      </c>
      <c r="D61" s="1218" t="s">
        <v>1963</v>
      </c>
      <c r="E61" s="1217">
        <v>130695.02</v>
      </c>
      <c r="F61" s="1966"/>
      <c r="G61" s="1966"/>
    </row>
    <row r="62" spans="1:7" ht="10.95" hidden="1" customHeight="1">
      <c r="A62" s="1214" t="s">
        <v>389</v>
      </c>
      <c r="B62" s="1215">
        <v>45937</v>
      </c>
      <c r="C62" s="1215">
        <v>45944</v>
      </c>
      <c r="D62" s="1214" t="s">
        <v>1973</v>
      </c>
      <c r="E62" s="1213">
        <v>148184.4</v>
      </c>
      <c r="F62" s="1966"/>
      <c r="G62" s="1966"/>
    </row>
    <row r="63" spans="1:7" ht="10.95" customHeight="1">
      <c r="A63" s="1399" t="s">
        <v>2016</v>
      </c>
      <c r="B63" s="1965"/>
      <c r="C63" s="1965"/>
      <c r="D63" s="1965"/>
      <c r="E63" s="1966">
        <f>SUM(E51:E62)</f>
        <v>1127894.1199999999</v>
      </c>
      <c r="F63" s="1966">
        <f>+'CXP MMHB'!H40+'CXP MMHB'!H54</f>
        <v>105805.5</v>
      </c>
      <c r="G63" s="1400">
        <f>+E63+F63</f>
        <v>1233699.6199999999</v>
      </c>
    </row>
    <row r="65" spans="1:7" ht="13.35" customHeight="1">
      <c r="A65" s="1399" t="str">
        <f>+'CXP MMHB'!A68</f>
        <v>Permisos Legales y Preliminares</v>
      </c>
      <c r="F65" s="1966">
        <f>+'CXP MMHB'!H68</f>
        <v>427969.76</v>
      </c>
      <c r="G65" s="1400">
        <f>+E65+F65</f>
        <v>427969.76</v>
      </c>
    </row>
    <row r="66" spans="1:7" ht="17.399999999999999" customHeight="1">
      <c r="A66" s="1982" t="s">
        <v>164</v>
      </c>
      <c r="B66" s="1968"/>
      <c r="C66" s="1968"/>
      <c r="D66" s="1968"/>
      <c r="E66" s="1969">
        <f>SUM(E11,E18,E23,E27,E31,E38,E42,E48,E63,E65)</f>
        <v>27049074.290000003</v>
      </c>
      <c r="F66" s="1969">
        <f>SUM(F11,F18,F23,F27,F31,F38,F42,F48,F63,F65)</f>
        <v>937252.16999999993</v>
      </c>
      <c r="G66" s="1983">
        <f>SUM(G11,G18,G23,G27,G31,G38,G42,G48,G63,G65)</f>
        <v>27986326.460000001</v>
      </c>
    </row>
  </sheetData>
  <autoFilter ref="A1:E69" xr:uid="{00000000-0001-0000-0000-000000000000}">
    <filterColumn colId="0">
      <filters>
        <filter val="Ageing by due date"/>
        <filter val="As at 20 October 2025"/>
        <filter val="Fideicomiso Irrevocable de Desarrollo Inmobiliario y Administración Araya"/>
        <filter val="Total"/>
        <filter val="Total   2-2-3 Equipo y Oficina de Venta"/>
        <filter val="Total   2-4-2 Promoción y Publicidad"/>
        <filter val="Total  1-2-1 Diseño y Proyecto"/>
        <filter val="Total  1-4-1 Urbanismo"/>
        <filter val="Total  1-6-1 Gerencia de Construccion"/>
        <filter val="Total  1-7-4 Indirectos de Obra"/>
        <filter val="Total  2-1-1 Gerencia de la Promotora"/>
        <filter val="Total  2-2-1 Comisiones por Venta"/>
        <filter val="Total  2-2-2 Administración de la Venta"/>
      </filters>
    </filterColumn>
  </autoFilter>
  <mergeCells count="3">
    <mergeCell ref="A2:E2"/>
    <mergeCell ref="A3:E3"/>
    <mergeCell ref="A1:E1"/>
  </mergeCells>
  <pageMargins left="0.7" right="0.7" top="0.75" bottom="0.75" header="0.3" footer="0.3"/>
  <pageSetup paperSize="9" fitToWidth="0" fitToHeight="0" orientation="portrait" horizontalDpi="0" verticalDpi="0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8F98C-E8B2-4846-A439-3BA2F9C60BA6}">
  <sheetPr>
    <tabColor theme="5" tint="0.79998168889431442"/>
  </sheetPr>
  <dimension ref="A1:U50"/>
  <sheetViews>
    <sheetView showGridLines="0" topLeftCell="A2" zoomScale="110" zoomScaleNormal="110" workbookViewId="0">
      <pane xSplit="7" ySplit="3" topLeftCell="H5" activePane="bottomRight" state="frozen"/>
      <selection pane="topRight" activeCell="D22" sqref="D22"/>
      <selection pane="bottomLeft" activeCell="D22" sqref="D22"/>
      <selection pane="bottomRight" activeCell="D22" sqref="D22"/>
    </sheetView>
  </sheetViews>
  <sheetFormatPr baseColWidth="10" defaultColWidth="11.44140625" defaultRowHeight="14.4"/>
  <cols>
    <col min="1" max="1" width="3.6640625" customWidth="1"/>
    <col min="2" max="2" width="27.109375" customWidth="1"/>
    <col min="3" max="5" width="18" hidden="1" customWidth="1"/>
    <col min="6" max="6" width="14.6640625" style="841" hidden="1" customWidth="1"/>
    <col min="7" max="7" width="17.6640625" style="841" customWidth="1"/>
    <col min="8" max="8" width="13.33203125" customWidth="1"/>
    <col min="9" max="9" width="16.33203125" bestFit="1" customWidth="1"/>
    <col min="10" max="11" width="13.6640625" customWidth="1"/>
    <col min="12" max="12" width="13.33203125" customWidth="1"/>
    <col min="13" max="14" width="15" customWidth="1"/>
    <col min="15" max="15" width="15.5546875" bestFit="1" customWidth="1"/>
    <col min="16" max="16" width="18.109375" customWidth="1"/>
    <col min="17" max="17" width="17.6640625" customWidth="1"/>
    <col min="18" max="18" width="16.109375" customWidth="1"/>
    <col min="19" max="19" width="18.5546875" customWidth="1"/>
    <col min="20" max="20" width="17" customWidth="1"/>
    <col min="21" max="23" width="15.44140625" bestFit="1" customWidth="1"/>
    <col min="24" max="24" width="14.44140625" bestFit="1" customWidth="1"/>
  </cols>
  <sheetData>
    <row r="1" spans="1:21" ht="21.6" customHeight="1">
      <c r="E1" s="370"/>
      <c r="H1" s="370"/>
      <c r="J1" s="370"/>
      <c r="O1" s="732"/>
      <c r="R1" s="2109" t="s">
        <v>185</v>
      </c>
      <c r="S1" s="2109"/>
      <c r="T1" s="2109"/>
      <c r="U1" s="2109"/>
    </row>
    <row r="2" spans="1:21" ht="15" thickBot="1">
      <c r="E2" s="509"/>
      <c r="F2" s="840"/>
      <c r="G2" s="840"/>
      <c r="H2" s="509"/>
      <c r="I2" s="181" t="s">
        <v>197</v>
      </c>
      <c r="J2" s="2148" t="s">
        <v>1611</v>
      </c>
      <c r="K2" s="2148"/>
      <c r="L2" s="2148"/>
      <c r="M2" s="2148"/>
      <c r="N2" s="2148"/>
      <c r="O2" s="1111"/>
      <c r="P2" s="181" t="s">
        <v>199</v>
      </c>
      <c r="Q2" s="181" t="s">
        <v>225</v>
      </c>
      <c r="R2" s="2109"/>
      <c r="S2" s="2109"/>
      <c r="T2" s="2109"/>
      <c r="U2" s="2109"/>
    </row>
    <row r="3" spans="1:21" ht="15.6" customHeight="1" thickBot="1">
      <c r="B3" s="1033" t="s">
        <v>1445</v>
      </c>
      <c r="C3" s="1034"/>
      <c r="D3" s="1035"/>
      <c r="E3" s="1035"/>
      <c r="F3" s="1036"/>
      <c r="G3" s="1036"/>
      <c r="H3" s="1037">
        <v>61</v>
      </c>
      <c r="I3" s="2142" t="s">
        <v>145</v>
      </c>
      <c r="J3" s="2146" t="s">
        <v>650</v>
      </c>
      <c r="K3" s="2146" t="s">
        <v>1612</v>
      </c>
      <c r="L3" s="2146" t="s">
        <v>1541</v>
      </c>
      <c r="M3" s="2146" t="s">
        <v>1613</v>
      </c>
      <c r="N3" s="2146" t="s">
        <v>652</v>
      </c>
      <c r="O3" s="2142" t="s">
        <v>227</v>
      </c>
      <c r="P3" s="2142" t="s">
        <v>807</v>
      </c>
      <c r="Q3" s="2142" t="s">
        <v>146</v>
      </c>
      <c r="R3" s="183"/>
      <c r="S3" s="183"/>
      <c r="T3" s="183"/>
      <c r="U3" s="183"/>
    </row>
    <row r="4" spans="1:21" ht="16.95" customHeight="1" thickBot="1">
      <c r="A4" s="152"/>
      <c r="B4" s="1038" t="s">
        <v>29</v>
      </c>
      <c r="C4" s="1039" t="s">
        <v>762</v>
      </c>
      <c r="D4" s="1038" t="s">
        <v>763</v>
      </c>
      <c r="E4" s="1110" t="s">
        <v>1446</v>
      </c>
      <c r="F4" s="1110" t="s">
        <v>1614</v>
      </c>
      <c r="G4" s="1038" t="s">
        <v>1614</v>
      </c>
      <c r="H4" s="1038" t="s">
        <v>31</v>
      </c>
      <c r="I4" s="2143"/>
      <c r="J4" s="2147"/>
      <c r="K4" s="2147"/>
      <c r="L4" s="2147"/>
      <c r="M4" s="2147"/>
      <c r="N4" s="2147"/>
      <c r="O4" s="2143"/>
      <c r="P4" s="2143"/>
      <c r="Q4" s="2143"/>
      <c r="R4" s="183"/>
      <c r="S4" s="183"/>
      <c r="T4" s="183"/>
      <c r="U4" s="183"/>
    </row>
    <row r="5" spans="1:21">
      <c r="A5">
        <v>1</v>
      </c>
      <c r="B5" s="335" t="s">
        <v>33</v>
      </c>
      <c r="C5" s="1025">
        <f>SUM('budget (11)'!D2:D3)</f>
        <v>103385169</v>
      </c>
      <c r="D5" s="1053">
        <v>103385169</v>
      </c>
      <c r="E5" s="1053">
        <f>+'ADI 462 julio 25 '!D18</f>
        <v>105180000</v>
      </c>
      <c r="F5" s="1054">
        <f>+'ADI 462 AGO25'!D18</f>
        <v>106933000</v>
      </c>
      <c r="G5" s="1054">
        <f>+'ADI 09-25'!C18</f>
        <v>106933000</v>
      </c>
      <c r="H5" s="1053">
        <f>G5/H3</f>
        <v>1753000</v>
      </c>
      <c r="I5" s="1055">
        <f>+'Proc. 09-25'!C2</f>
        <v>264445080.16</v>
      </c>
      <c r="J5" s="1055">
        <f>+'Flujo y Ejecución'!G14</f>
        <v>264445080.15999997</v>
      </c>
      <c r="K5" s="1055">
        <f>+'Finanza 08-25'!H2</f>
        <v>0</v>
      </c>
      <c r="L5" s="1055">
        <f>+'CXP MMHB'!F9</f>
        <v>18016</v>
      </c>
      <c r="M5" s="1055"/>
      <c r="N5" s="1055"/>
      <c r="O5" s="1055">
        <f t="shared" ref="O5:O11" si="0">+J5-L5-M5+N5</f>
        <v>264427064.15999997</v>
      </c>
      <c r="P5" s="1056">
        <f>I5-O5</f>
        <v>18016.000000029802</v>
      </c>
      <c r="Q5" s="1056">
        <f t="shared" ref="Q5:Q11" si="1">+G5-I5</f>
        <v>-157512080.16</v>
      </c>
      <c r="R5" s="183"/>
      <c r="S5" s="183"/>
      <c r="T5" s="183"/>
      <c r="U5" s="183"/>
    </row>
    <row r="6" spans="1:21">
      <c r="B6" s="1044" t="s">
        <v>35</v>
      </c>
      <c r="C6" s="1017">
        <f>SUM('budget (11)'!D11:D24)</f>
        <v>451758999.99999994</v>
      </c>
      <c r="D6" s="1057">
        <v>451758999.99999994</v>
      </c>
      <c r="E6" s="1057">
        <f>+'ADI 462 julio 25 '!D19</f>
        <v>461429397</v>
      </c>
      <c r="F6" s="1058">
        <f>+'ADI 462 AGO25'!D19</f>
        <v>469173666.60000002</v>
      </c>
      <c r="G6" s="1058">
        <f>+'ADI 09-25'!C19</f>
        <v>469173666.60000002</v>
      </c>
      <c r="H6" s="1057">
        <f>G6/$H$3</f>
        <v>7691371.5836065579</v>
      </c>
      <c r="I6" s="1059">
        <f>+'Proc. 09-25'!C4</f>
        <v>42282308.519999996</v>
      </c>
      <c r="J6" s="1059">
        <f>+'Flujo y Ejecución'!G15</f>
        <v>16785255.600000001</v>
      </c>
      <c r="K6" s="1059">
        <f>+'Finanza 08-25'!H4</f>
        <v>14291211.33</v>
      </c>
      <c r="L6" s="1059">
        <f>+'CXP MMHB'!F24</f>
        <v>61326.559999999998</v>
      </c>
      <c r="M6" s="1059">
        <f>+'CXP 09-25'!E18</f>
        <v>1574162.05</v>
      </c>
      <c r="N6" s="1059">
        <f>+'Anticipos 09-25'!D10</f>
        <v>12638906.42</v>
      </c>
      <c r="O6" s="1059">
        <f t="shared" si="0"/>
        <v>27788673.41</v>
      </c>
      <c r="P6" s="1060">
        <f t="shared" ref="P6:P10" si="2">I6-O6</f>
        <v>14493635.109999996</v>
      </c>
      <c r="Q6" s="1060">
        <f>+G6-I6</f>
        <v>426891358.08000004</v>
      </c>
      <c r="R6" s="183"/>
      <c r="S6" s="184"/>
      <c r="T6" s="183"/>
      <c r="U6" s="183"/>
    </row>
    <row r="7" spans="1:21" ht="13.95" customHeight="1">
      <c r="B7" s="1044" t="s">
        <v>38</v>
      </c>
      <c r="C7" s="1020">
        <f>SUM('budget (11)'!D25:D39)</f>
        <v>1265953920</v>
      </c>
      <c r="D7" s="1057">
        <f>1447934796</f>
        <v>1447934796</v>
      </c>
      <c r="E7" s="1057">
        <f>+'ADI 462 julio 25 '!D22</f>
        <v>1521122757</v>
      </c>
      <c r="F7" s="1058">
        <f>+'ADI 462 AGO25'!D20</f>
        <v>1517166651</v>
      </c>
      <c r="G7" s="1058">
        <f>+'ADI 09-25'!C20</f>
        <v>1517166651</v>
      </c>
      <c r="H7" s="1057">
        <f t="shared" ref="H7:H11" si="3">G7/$H$3</f>
        <v>24871584.442622952</v>
      </c>
      <c r="I7" s="1061">
        <f>+'Proc. 09-25'!C5</f>
        <v>0</v>
      </c>
      <c r="J7" s="1061">
        <f>+'Flujo y Ejecución'!G16</f>
        <v>0</v>
      </c>
      <c r="K7" s="1061">
        <f>+'Finanza 08-25'!H5</f>
        <v>0</v>
      </c>
      <c r="L7" s="1061"/>
      <c r="M7" s="1061"/>
      <c r="N7" s="1061"/>
      <c r="O7" s="1061">
        <f t="shared" si="0"/>
        <v>0</v>
      </c>
      <c r="P7" s="1062">
        <f t="shared" si="2"/>
        <v>0</v>
      </c>
      <c r="Q7" s="1062">
        <f>+G7-I7</f>
        <v>1517166651</v>
      </c>
      <c r="R7" s="183"/>
      <c r="S7" s="184"/>
      <c r="T7" s="183"/>
      <c r="U7" s="183"/>
    </row>
    <row r="8" spans="1:21" ht="13.95" customHeight="1">
      <c r="B8" s="1044" t="s">
        <v>767</v>
      </c>
      <c r="C8" s="1020">
        <f>SUM('budget (11)'!D40:D41)</f>
        <v>171771292</v>
      </c>
      <c r="D8" s="1057">
        <v>189969380</v>
      </c>
      <c r="E8" s="1057">
        <f>+'ADI 462 julio 25 '!D23</f>
        <v>198255215.40000001</v>
      </c>
      <c r="F8" s="1058">
        <f>+'ADI 462 AGO25'!D21</f>
        <v>198634031.75999999</v>
      </c>
      <c r="G8" s="1058">
        <f>+'ADI 09-25'!C21</f>
        <v>234388157.47679996</v>
      </c>
      <c r="H8" s="1057">
        <f t="shared" si="3"/>
        <v>3842428.8110950813</v>
      </c>
      <c r="I8" s="1061">
        <f>+'Proc. 09-25'!C6</f>
        <v>21389162.52</v>
      </c>
      <c r="J8" s="1061">
        <f>+'Flujo y Ejecución'!G17</f>
        <v>18918081.100000001</v>
      </c>
      <c r="K8" s="1061">
        <f>+'Finanza 08-25'!H6</f>
        <v>0</v>
      </c>
      <c r="L8" s="1061"/>
      <c r="M8" s="1061">
        <f>+'CXP 09-25'!E22</f>
        <v>2360000</v>
      </c>
      <c r="N8" s="1061"/>
      <c r="O8" s="1061">
        <f t="shared" si="0"/>
        <v>16558081.100000001</v>
      </c>
      <c r="P8" s="1062">
        <f t="shared" si="2"/>
        <v>4831081.4199999981</v>
      </c>
      <c r="Q8" s="1062">
        <f t="shared" si="1"/>
        <v>212998994.95679995</v>
      </c>
      <c r="R8" s="183"/>
      <c r="S8" s="184"/>
      <c r="T8" s="183"/>
      <c r="U8" s="183"/>
    </row>
    <row r="9" spans="1:21" ht="13.95" customHeight="1">
      <c r="B9" s="1044" t="s">
        <v>1607</v>
      </c>
      <c r="C9" s="1114"/>
      <c r="D9" s="1057">
        <v>0</v>
      </c>
      <c r="E9" s="1057">
        <v>0</v>
      </c>
      <c r="F9" s="1058">
        <f>+'ADI 462 AGO25'!D22</f>
        <v>19863403.175999999</v>
      </c>
      <c r="G9" s="1058">
        <f>+'ADI 09-25'!C22</f>
        <v>19264643</v>
      </c>
      <c r="H9" s="1057">
        <f t="shared" si="3"/>
        <v>315813.81967213115</v>
      </c>
      <c r="I9" s="1061">
        <f>+'Proc. 09-25'!C9</f>
        <v>17866748.260000002</v>
      </c>
      <c r="J9" s="1061">
        <f>+'Flujo y Ejecución'!G18</f>
        <v>0</v>
      </c>
      <c r="K9" s="1061">
        <f>+'Finanza 08-25'!H7</f>
        <v>0</v>
      </c>
      <c r="L9" s="1061"/>
      <c r="M9" s="1061"/>
      <c r="N9" s="1061"/>
      <c r="O9" s="1061">
        <f t="shared" si="0"/>
        <v>0</v>
      </c>
      <c r="P9" s="1062"/>
      <c r="Q9" s="1062">
        <f>+G9-I9</f>
        <v>1397894.7399999984</v>
      </c>
      <c r="R9" s="183"/>
      <c r="S9" s="184"/>
      <c r="T9" s="183"/>
      <c r="U9" s="183"/>
    </row>
    <row r="10" spans="1:21">
      <c r="B10" s="1044" t="s">
        <v>40</v>
      </c>
      <c r="C10" s="1020">
        <f>SUM('budget (11)'!D42)</f>
        <v>34354258</v>
      </c>
      <c r="D10" s="1057">
        <v>37993876</v>
      </c>
      <c r="E10" s="1057">
        <f>+'ADI 462 julio 25 '!D24/2</f>
        <v>39651043.079999998</v>
      </c>
      <c r="F10" s="1058">
        <f>+'ADI 462 AGO25'!D23</f>
        <v>47672167.622400001</v>
      </c>
      <c r="G10" s="1058">
        <f>+'ADI 09-25'!C23</f>
        <v>47672167.622400001</v>
      </c>
      <c r="H10" s="1057">
        <f t="shared" si="3"/>
        <v>781510.94462950819</v>
      </c>
      <c r="I10" s="1061">
        <f>+'Proc. 09-25'!C7</f>
        <v>426910.14</v>
      </c>
      <c r="J10" s="1061">
        <f>+'Flujo y Ejecución'!G19</f>
        <v>426910.14</v>
      </c>
      <c r="K10" s="1061">
        <f>+'Finanza 08-25'!H7</f>
        <v>0</v>
      </c>
      <c r="L10" s="1061"/>
      <c r="M10" s="1061">
        <f>+'CXP 09-25'!E28</f>
        <v>279801.59999999998</v>
      </c>
      <c r="N10" s="1061"/>
      <c r="O10" s="1061">
        <f t="shared" si="0"/>
        <v>147108.54000000004</v>
      </c>
      <c r="P10" s="1062">
        <f t="shared" si="2"/>
        <v>279801.59999999998</v>
      </c>
      <c r="Q10" s="1062">
        <f t="shared" si="1"/>
        <v>47245257.4824</v>
      </c>
      <c r="R10" s="183"/>
      <c r="S10" s="184"/>
      <c r="T10" s="183"/>
      <c r="U10" s="183"/>
    </row>
    <row r="11" spans="1:21">
      <c r="B11" s="1044" t="s">
        <v>764</v>
      </c>
      <c r="C11" s="1020">
        <v>0</v>
      </c>
      <c r="D11" s="1057">
        <v>37993876</v>
      </c>
      <c r="E11" s="1057">
        <f>+'ADI 462 julio 25 '!D24/2</f>
        <v>39651043.079999998</v>
      </c>
      <c r="F11" s="1058">
        <f>+'ADI 462 AGO25'!D24</f>
        <v>39726806.351999998</v>
      </c>
      <c r="G11" s="1058">
        <f>+'ADI 09-25'!C24</f>
        <v>39726806.351999998</v>
      </c>
      <c r="H11" s="1057">
        <f t="shared" si="3"/>
        <v>651259.12052459014</v>
      </c>
      <c r="I11" s="1061">
        <f>+'Proc. 09-25'!C8</f>
        <v>0</v>
      </c>
      <c r="J11" s="1061">
        <f>+'Flujo y Ejecución'!G20</f>
        <v>0</v>
      </c>
      <c r="K11" s="1061">
        <f>+'Finanza 08-25'!H8</f>
        <v>0</v>
      </c>
      <c r="L11" s="1061"/>
      <c r="M11" s="1061"/>
      <c r="N11" s="1061"/>
      <c r="O11" s="1061">
        <f t="shared" si="0"/>
        <v>0</v>
      </c>
      <c r="P11" s="1062">
        <f>I11-O11</f>
        <v>0</v>
      </c>
      <c r="Q11" s="1062">
        <f t="shared" si="1"/>
        <v>39726806.351999998</v>
      </c>
      <c r="R11" s="183"/>
      <c r="S11" s="184"/>
      <c r="T11" s="183"/>
      <c r="U11" s="183"/>
    </row>
    <row r="12" spans="1:21">
      <c r="B12" s="254" t="s">
        <v>41</v>
      </c>
      <c r="C12" s="665">
        <f>SUM(C6:C10)</f>
        <v>1923838470</v>
      </c>
      <c r="D12" s="1063">
        <f t="shared" ref="D12:Q12" si="4">SUM(D6:D11)</f>
        <v>2165650928</v>
      </c>
      <c r="E12" s="1063">
        <f t="shared" si="4"/>
        <v>2260109455.5599999</v>
      </c>
      <c r="F12" s="1063">
        <f t="shared" si="4"/>
        <v>2292236726.5103998</v>
      </c>
      <c r="G12" s="1063">
        <f t="shared" si="4"/>
        <v>2327392092.0511999</v>
      </c>
      <c r="H12" s="1063">
        <f t="shared" si="4"/>
        <v>38153968.722150818</v>
      </c>
      <c r="I12" s="1064">
        <f t="shared" si="4"/>
        <v>81965129.439999998</v>
      </c>
      <c r="J12" s="1064">
        <f t="shared" si="4"/>
        <v>36130246.840000004</v>
      </c>
      <c r="K12" s="1064">
        <f t="shared" si="4"/>
        <v>14291211.33</v>
      </c>
      <c r="L12" s="1064">
        <f t="shared" si="4"/>
        <v>61326.559999999998</v>
      </c>
      <c r="M12" s="1064">
        <f>SUM(M6:M11)</f>
        <v>4213963.6499999994</v>
      </c>
      <c r="N12" s="1064">
        <f t="shared" si="4"/>
        <v>12638906.42</v>
      </c>
      <c r="O12" s="1064">
        <f t="shared" si="4"/>
        <v>44493863.050000004</v>
      </c>
      <c r="P12" s="1064">
        <f t="shared" si="4"/>
        <v>19604518.129999995</v>
      </c>
      <c r="Q12" s="1064">
        <f t="shared" si="4"/>
        <v>2245426962.6111994</v>
      </c>
      <c r="R12" s="183"/>
      <c r="S12" s="184"/>
      <c r="T12" s="183"/>
      <c r="U12" s="183"/>
    </row>
    <row r="13" spans="1:21">
      <c r="B13" s="1044" t="s">
        <v>42</v>
      </c>
      <c r="C13" s="1023">
        <f>SUM('budget (11)'!D43)</f>
        <v>137417034</v>
      </c>
      <c r="D13" s="1065">
        <v>151975504</v>
      </c>
      <c r="E13" s="1057">
        <f>+'ADI 462 julio 25 '!D26</f>
        <v>158604172.31999999</v>
      </c>
      <c r="F13" s="1058">
        <f>+'ADI 462 AGO25'!D26</f>
        <v>158907225.40799999</v>
      </c>
      <c r="G13" s="1058">
        <f>+'ADI 09-25'!C26</f>
        <v>187510525.98143998</v>
      </c>
      <c r="H13" s="1057">
        <f>G13/$H$3</f>
        <v>3073943.0488760653</v>
      </c>
      <c r="I13" s="1066">
        <f>+'Proc. 09-25'!C10</f>
        <v>12551175.970000001</v>
      </c>
      <c r="J13" s="1066">
        <f>+'Flujo y Ejecución'!G22</f>
        <v>10781175.969999999</v>
      </c>
      <c r="K13" s="1066">
        <f>+'Finanza 08-25'!H10</f>
        <v>0</v>
      </c>
      <c r="L13" s="1066"/>
      <c r="M13" s="1066">
        <f>+'CXP 09-25'!E32</f>
        <v>1770000</v>
      </c>
      <c r="N13" s="1066"/>
      <c r="O13" s="1066">
        <f>+J13-L13-M13+N13</f>
        <v>9011175.9699999988</v>
      </c>
      <c r="P13" s="1066">
        <f>I13-O13</f>
        <v>3540000.0000000019</v>
      </c>
      <c r="Q13" s="1066">
        <f>+G13-I13</f>
        <v>174959350.01143998</v>
      </c>
      <c r="R13" s="183"/>
      <c r="S13" s="184"/>
      <c r="T13" s="183"/>
      <c r="U13" s="183"/>
    </row>
    <row r="14" spans="1:21">
      <c r="B14" s="1044" t="s">
        <v>43</v>
      </c>
      <c r="C14" s="1023">
        <f>SUM('budget (11)'!D45:D46)</f>
        <v>281704919</v>
      </c>
      <c r="D14" s="1065">
        <v>308130334</v>
      </c>
      <c r="E14" s="1065">
        <f>+'ADI 462 julio 25 '!D27</f>
        <v>356859387.71999997</v>
      </c>
      <c r="F14" s="1067">
        <f>+'ADI 462 AGO25'!D27</f>
        <v>365486618.43839997</v>
      </c>
      <c r="G14" s="1067">
        <f>+'ADI 09-25'!C27</f>
        <v>327746152.40399998</v>
      </c>
      <c r="H14" s="1057">
        <f>G14/$H$3</f>
        <v>5372887.7443278683</v>
      </c>
      <c r="I14" s="1066">
        <f>+'Proc. 09-25'!C11</f>
        <v>55072288.060000002</v>
      </c>
      <c r="J14" s="1066">
        <f>+'Flujo y Ejecución'!G23</f>
        <v>42450789.550000004</v>
      </c>
      <c r="K14" s="1066">
        <f>+'Finanza 08-25'!H11</f>
        <v>0</v>
      </c>
      <c r="L14" s="1066">
        <f>+'CXP MMHB'!F29+'CXP MMHB'!F33</f>
        <v>306236.19</v>
      </c>
      <c r="M14" s="1066">
        <f>+'CXP 09-25'!E37+'CXP 09-25'!E42+'CXP 09-25'!E46+'CXP 09-25'!E54</f>
        <v>4944087.92</v>
      </c>
      <c r="N14" s="1066"/>
      <c r="O14" s="1066">
        <f>+J14-L14-M14+N14</f>
        <v>37200465.440000005</v>
      </c>
      <c r="P14" s="1066">
        <f>I14-O14</f>
        <v>17871822.619999997</v>
      </c>
      <c r="Q14" s="1066">
        <f>+G14-I14</f>
        <v>272673864.34399998</v>
      </c>
      <c r="R14" s="183"/>
      <c r="S14" s="184"/>
      <c r="T14" s="183"/>
      <c r="U14" s="183"/>
    </row>
    <row r="15" spans="1:21">
      <c r="B15" s="1044" t="s">
        <v>44</v>
      </c>
      <c r="C15" s="1023">
        <f>SUM('budget (11)'!D47)</f>
        <v>67334346</v>
      </c>
      <c r="D15" s="1065">
        <v>75797782</v>
      </c>
      <c r="E15" s="1065">
        <f>+'ADI 462 julio 25 '!D28</f>
        <v>79103830.944600001</v>
      </c>
      <c r="F15" s="1067">
        <f>+'ADI 462 AGO25'!D28</f>
        <v>80228285.427864</v>
      </c>
      <c r="G15" s="1067">
        <f>+'ADI 09-25'!C28</f>
        <v>81458723.221791998</v>
      </c>
      <c r="H15" s="1057">
        <f>G15/$H$3</f>
        <v>1335388.9052752787</v>
      </c>
      <c r="I15" s="1066">
        <f>+'Proc. 09-25'!C12</f>
        <v>2119167.7599999998</v>
      </c>
      <c r="J15" s="1066">
        <f>+'Flujo y Ejecución'!G24</f>
        <v>2119167.7599999998</v>
      </c>
      <c r="K15" s="1066">
        <f>+'Finanza 08-25'!H12</f>
        <v>0</v>
      </c>
      <c r="L15" s="1066"/>
      <c r="M15" s="1066">
        <f>+'CXP 09-25'!E58</f>
        <v>354000</v>
      </c>
      <c r="N15" s="1066"/>
      <c r="O15" s="1066">
        <f>+J15-L15-M15+N15</f>
        <v>1765167.7599999998</v>
      </c>
      <c r="P15" s="1066">
        <f>I15-O15</f>
        <v>354000</v>
      </c>
      <c r="Q15" s="1066">
        <f>+G15-I15</f>
        <v>79339555.461791992</v>
      </c>
      <c r="R15" s="183"/>
      <c r="S15" s="184"/>
      <c r="T15" s="183"/>
      <c r="U15" s="183"/>
    </row>
    <row r="16" spans="1:21">
      <c r="A16">
        <v>1</v>
      </c>
      <c r="B16" s="1044" t="s">
        <v>45</v>
      </c>
      <c r="C16" s="1023">
        <f>SUM('budget (11)'!D48:D49)</f>
        <v>51531387.949999996</v>
      </c>
      <c r="D16" s="1065">
        <v>56990814</v>
      </c>
      <c r="E16" s="1065">
        <f>+'ADI 462 julio 25 '!D29</f>
        <v>59476564.619999997</v>
      </c>
      <c r="F16" s="1067">
        <f>+'ADI 462 AGO25'!D29</f>
        <v>69521911.115999997</v>
      </c>
      <c r="G16" s="1067">
        <f>+'ADI 09-25'!C29</f>
        <v>69521911.115999997</v>
      </c>
      <c r="H16" s="1057">
        <f>G16/$H$3</f>
        <v>1139703.4609180328</v>
      </c>
      <c r="I16" s="1066">
        <f>+'Proc. 09-25'!C13</f>
        <v>23852478.210000001</v>
      </c>
      <c r="J16" s="1066">
        <f>+'Flujo y Ejecución'!G25</f>
        <v>22208783.899999999</v>
      </c>
      <c r="K16" s="1066">
        <f>+'Finanza 08-25'!H13</f>
        <v>0</v>
      </c>
      <c r="L16" s="1066">
        <f>+'CXP MMHB'!F40+'CXP MMHB'!F54</f>
        <v>1084181.48</v>
      </c>
      <c r="M16" s="1066">
        <f>+'CXP 09-25'!E63+'CXP 09-25'!E77+'CXP 09-25'!E82</f>
        <v>1920333.46</v>
      </c>
      <c r="N16" s="1066"/>
      <c r="O16" s="1066">
        <f>+J16-L16-M16+N16</f>
        <v>19204268.959999997</v>
      </c>
      <c r="P16" s="1066">
        <f>I16-O16</f>
        <v>4648209.2500000037</v>
      </c>
      <c r="Q16" s="1066">
        <f>+G16-I16</f>
        <v>45669432.905999996</v>
      </c>
      <c r="R16" s="183"/>
      <c r="S16" s="184"/>
      <c r="T16" s="183"/>
      <c r="U16" s="183"/>
    </row>
    <row r="17" spans="2:21">
      <c r="B17" s="1044" t="s">
        <v>46</v>
      </c>
      <c r="C17" s="1023">
        <f>SUM('budget (11)'!D50)</f>
        <v>19238385</v>
      </c>
      <c r="D17" s="1065">
        <v>21656506</v>
      </c>
      <c r="E17" s="1065">
        <f>+'ADI 462 julio 25 '!D30</f>
        <v>19825521.539999999</v>
      </c>
      <c r="F17" s="1067">
        <f>+'ADI 462 AGO25'!D30</f>
        <v>19863403.175999999</v>
      </c>
      <c r="G17" s="1067">
        <f>+'ADI 09-25'!C30</f>
        <v>19863403.175999999</v>
      </c>
      <c r="H17" s="1057">
        <f>G17/$H$3</f>
        <v>325629.56026229507</v>
      </c>
      <c r="I17" s="1066">
        <f>+'Proc. 09-25'!C14</f>
        <v>0</v>
      </c>
      <c r="J17" s="1066">
        <f>+'Flujo y Ejecución'!G26</f>
        <v>0</v>
      </c>
      <c r="K17" s="1066">
        <f>+'Finanza 08-25'!H14</f>
        <v>0</v>
      </c>
      <c r="L17" s="1066"/>
      <c r="M17" s="1066"/>
      <c r="N17" s="1066"/>
      <c r="O17" s="1066">
        <f>+J17-L17-M17+N17</f>
        <v>0</v>
      </c>
      <c r="P17" s="1066">
        <f>I17-O17</f>
        <v>0</v>
      </c>
      <c r="Q17" s="1066">
        <f>+G17-I17</f>
        <v>19863403.175999999</v>
      </c>
      <c r="R17" s="183"/>
      <c r="S17" s="184"/>
      <c r="T17" s="183"/>
      <c r="U17" s="183"/>
    </row>
    <row r="18" spans="2:21">
      <c r="B18" s="254" t="s">
        <v>47</v>
      </c>
      <c r="C18" s="665">
        <f t="shared" ref="C18:P18" si="5">SUM(C13:C17)</f>
        <v>557226071.95000005</v>
      </c>
      <c r="D18" s="1063">
        <f t="shared" si="5"/>
        <v>614550940</v>
      </c>
      <c r="E18" s="1063">
        <f t="shared" ref="E18:G18" si="6">SUM(E13:E17)</f>
        <v>673869477.14459991</v>
      </c>
      <c r="F18" s="1063">
        <f t="shared" si="6"/>
        <v>694007443.56626403</v>
      </c>
      <c r="G18" s="1063">
        <f t="shared" si="6"/>
        <v>686100715.89923203</v>
      </c>
      <c r="H18" s="1063">
        <f>SUM(H13:H17)</f>
        <v>11247552.719659541</v>
      </c>
      <c r="I18" s="1064">
        <f>SUM(I13:I17)</f>
        <v>93595110</v>
      </c>
      <c r="J18" s="1064">
        <f t="shared" si="5"/>
        <v>77559917.180000007</v>
      </c>
      <c r="K18" s="1064">
        <f t="shared" ref="K18:L18" si="7">SUM(K13:K17)</f>
        <v>0</v>
      </c>
      <c r="L18" s="1064">
        <f t="shared" si="7"/>
        <v>1390417.67</v>
      </c>
      <c r="M18" s="1064">
        <f>SUM(M13:M17)</f>
        <v>8988421.379999999</v>
      </c>
      <c r="N18" s="1064">
        <f t="shared" si="5"/>
        <v>0</v>
      </c>
      <c r="O18" s="1064">
        <f t="shared" si="5"/>
        <v>67181078.129999995</v>
      </c>
      <c r="P18" s="1064">
        <f t="shared" si="5"/>
        <v>26414031.870000001</v>
      </c>
      <c r="Q18" s="1064">
        <f t="shared" ref="Q18" si="8">SUM(Q13:Q17)</f>
        <v>592505605.89923191</v>
      </c>
      <c r="R18" s="183"/>
      <c r="S18" s="184"/>
      <c r="T18" s="183"/>
      <c r="U18" s="183"/>
    </row>
    <row r="19" spans="2:21">
      <c r="B19" s="1044" t="s">
        <v>48</v>
      </c>
      <c r="C19" s="1023">
        <f>SUM('budget (11)'!D51:D52)</f>
        <v>15000000</v>
      </c>
      <c r="D19" s="1065">
        <v>30500000</v>
      </c>
      <c r="E19" s="1065">
        <f>+'ADI 462 julio 25 '!D32</f>
        <v>30500000</v>
      </c>
      <c r="F19" s="1067">
        <f>+'ADI 462 AGO25'!D32</f>
        <v>30500000</v>
      </c>
      <c r="G19" s="1067">
        <f>+'ADI 09-25'!C32</f>
        <v>30500000</v>
      </c>
      <c r="H19" s="1065">
        <f>G19/$H$3</f>
        <v>500000</v>
      </c>
      <c r="I19" s="1066">
        <f>+'Proc. 09-25'!C15</f>
        <v>20569643.219999999</v>
      </c>
      <c r="J19" s="1066">
        <f>+'Flujo y Ejecución'!G28</f>
        <v>16877677.099999998</v>
      </c>
      <c r="K19" s="1066">
        <f>+'Finanza 08-25'!H15</f>
        <v>0</v>
      </c>
      <c r="L19" s="1066">
        <f>+'CXP MMHB'!F68</f>
        <v>881272.59000000008</v>
      </c>
      <c r="M19" s="1066">
        <f>+'CXP 09-25'!E86</f>
        <v>82600</v>
      </c>
      <c r="N19" s="1066">
        <f>+'Anticipos 09-25'!D12</f>
        <v>284315</v>
      </c>
      <c r="O19" s="1066">
        <f>+J19-L19-M19+N19</f>
        <v>16198119.509999998</v>
      </c>
      <c r="P19" s="1066">
        <f>I19-O19</f>
        <v>4371523.7100000009</v>
      </c>
      <c r="Q19" s="1066">
        <f>+G19-I19</f>
        <v>9930356.7800000012</v>
      </c>
      <c r="R19" s="183"/>
      <c r="S19" s="184"/>
      <c r="T19" s="183"/>
      <c r="U19" s="185"/>
    </row>
    <row r="20" spans="2:21">
      <c r="B20" s="1044" t="s">
        <v>49</v>
      </c>
      <c r="C20" s="1023">
        <f>SUM('budget (11)'!D4:D10)</f>
        <v>20789999.999999996</v>
      </c>
      <c r="D20" s="1065">
        <v>20789999.999999996</v>
      </c>
      <c r="E20" s="1065">
        <f>+'ADI 462 julio 25 '!D33</f>
        <v>25000000</v>
      </c>
      <c r="F20" s="1067">
        <f>+'ADI 462 AGO25'!D33</f>
        <v>25000000</v>
      </c>
      <c r="G20" s="1067">
        <f>+'ADI 09-25'!C33</f>
        <v>25000000</v>
      </c>
      <c r="H20" s="1065">
        <f>G20/$H$3</f>
        <v>409836.06557377049</v>
      </c>
      <c r="I20" s="1066">
        <f>+'Proc. 09-25'!C3</f>
        <v>24417368.440000001</v>
      </c>
      <c r="J20" s="1066">
        <f>+'Flujo y Ejecución'!G29</f>
        <v>23398914.470000003</v>
      </c>
      <c r="K20" s="1066">
        <f>+'Finanza 08-25'!H3</f>
        <v>278099.52</v>
      </c>
      <c r="L20" s="1066">
        <f>+'CXP MMHB'!F19</f>
        <v>287840</v>
      </c>
      <c r="M20" s="1066">
        <f>+'CXP 09-25'!E11</f>
        <v>1473583.22</v>
      </c>
      <c r="N20" s="1066">
        <f>+'Anticipos 09-25'!D5</f>
        <v>383000</v>
      </c>
      <c r="O20" s="1066">
        <f>+J20-L20-M20+N20</f>
        <v>22020491.250000004</v>
      </c>
      <c r="P20" s="1066">
        <f>I20-O20</f>
        <v>2396877.1899999976</v>
      </c>
      <c r="Q20" s="1066">
        <f>+G20-I20</f>
        <v>582631.55999999866</v>
      </c>
      <c r="R20" s="183"/>
      <c r="S20" s="184"/>
      <c r="T20" s="183"/>
      <c r="U20" s="183"/>
    </row>
    <row r="21" spans="2:21">
      <c r="B21" s="1044" t="s">
        <v>50</v>
      </c>
      <c r="C21" s="1023">
        <f>SUM('budget (11)'!D54)</f>
        <v>192383847</v>
      </c>
      <c r="D21" s="1065">
        <v>216565093</v>
      </c>
      <c r="E21" s="1065">
        <f>+'ADI 462 julio 25 '!D34</f>
        <v>226010945.55599999</v>
      </c>
      <c r="F21" s="1067">
        <f>+'ADI 462 AGO25'!D34</f>
        <v>229223672.65103999</v>
      </c>
      <c r="G21" s="1067">
        <f>+'ADI 09-25'!C34</f>
        <v>232739209.20512</v>
      </c>
      <c r="H21" s="1065">
        <f>G21/$H$3</f>
        <v>3815396.8722150819</v>
      </c>
      <c r="I21" s="1066">
        <f>+'Proc. 09-25'!C16</f>
        <v>2704059.45</v>
      </c>
      <c r="J21" s="1066">
        <v>0</v>
      </c>
      <c r="K21" s="1066">
        <v>0</v>
      </c>
      <c r="L21" s="1066"/>
      <c r="M21" s="1066"/>
      <c r="N21" s="1066"/>
      <c r="O21" s="1066">
        <f>+J21-L21-M21+N21</f>
        <v>0</v>
      </c>
      <c r="P21" s="1066">
        <f>I21-O21</f>
        <v>2704059.45</v>
      </c>
      <c r="Q21" s="1066">
        <f>+G21-I21</f>
        <v>230035149.75512001</v>
      </c>
      <c r="R21" s="183"/>
      <c r="S21" s="184"/>
      <c r="T21" s="183"/>
      <c r="U21" s="183"/>
    </row>
    <row r="22" spans="2:21">
      <c r="B22" s="1044" t="s">
        <v>51</v>
      </c>
      <c r="C22" s="1023">
        <f>SUM('budget (11)'!D53)</f>
        <v>19238385</v>
      </c>
      <c r="D22" s="1065">
        <v>21656509</v>
      </c>
      <c r="E22" s="1065">
        <f>+'ADI 462 julio 25 '!D35</f>
        <v>19825521.539999999</v>
      </c>
      <c r="F22" s="1067">
        <f>+'ADI 462 AGO25'!D35</f>
        <v>19863403.175999999</v>
      </c>
      <c r="G22" s="1067">
        <f>+'ADI 09-25'!C35</f>
        <v>19863403.175999999</v>
      </c>
      <c r="H22" s="1065">
        <f>G22/$H$3</f>
        <v>325629.56026229507</v>
      </c>
      <c r="I22" s="1066">
        <f>+'Proc. 09-25'!C17</f>
        <v>0</v>
      </c>
      <c r="J22" s="1066">
        <f>+'Flujo y Ejecución'!G31</f>
        <v>0</v>
      </c>
      <c r="K22" s="1066">
        <f>+'Finanza 08-25'!H16</f>
        <v>0</v>
      </c>
      <c r="L22" s="1066"/>
      <c r="M22" s="1066"/>
      <c r="N22" s="1066"/>
      <c r="O22" s="1066">
        <f>+J22-L22-M22+N22</f>
        <v>0</v>
      </c>
      <c r="P22" s="1066">
        <f>I22-O22</f>
        <v>0</v>
      </c>
      <c r="Q22" s="1066">
        <f>+G22-I22</f>
        <v>19863403.175999999</v>
      </c>
      <c r="R22" s="183"/>
      <c r="S22" s="184"/>
      <c r="T22" s="183"/>
      <c r="U22" s="183"/>
    </row>
    <row r="23" spans="2:21" ht="15" thickBot="1">
      <c r="B23" s="254" t="s">
        <v>52</v>
      </c>
      <c r="C23" s="665">
        <f t="shared" ref="C23:Q23" si="9">SUM(C19:C22)</f>
        <v>247412232</v>
      </c>
      <c r="D23" s="1063">
        <f t="shared" si="9"/>
        <v>289511602</v>
      </c>
      <c r="E23" s="1063">
        <f t="shared" ref="E23" si="10">SUM(E19:E22)</f>
        <v>301336467.09600002</v>
      </c>
      <c r="F23" s="1063">
        <f>SUM(F19:F22)</f>
        <v>304587075.82703996</v>
      </c>
      <c r="G23" s="1063">
        <f>SUM(G19:G22)</f>
        <v>308102612.38111997</v>
      </c>
      <c r="H23" s="1063">
        <f>SUM(H19:H22)</f>
        <v>5050862.4980511479</v>
      </c>
      <c r="I23" s="1064">
        <f>SUM(I19:I22)</f>
        <v>47691071.109999999</v>
      </c>
      <c r="J23" s="1064">
        <f t="shared" si="9"/>
        <v>40276591.57</v>
      </c>
      <c r="K23" s="1064">
        <f t="shared" ref="K23:L23" si="11">SUM(K19:K22)</f>
        <v>278099.52</v>
      </c>
      <c r="L23" s="1064">
        <f t="shared" si="11"/>
        <v>1169112.5900000001</v>
      </c>
      <c r="M23" s="1064">
        <f>SUM(M19:M22)</f>
        <v>1556183.22</v>
      </c>
      <c r="N23" s="1064">
        <f t="shared" si="9"/>
        <v>667315</v>
      </c>
      <c r="O23" s="1064">
        <f t="shared" si="9"/>
        <v>38218610.760000005</v>
      </c>
      <c r="P23" s="1064">
        <f t="shared" si="9"/>
        <v>9472460.3499999978</v>
      </c>
      <c r="Q23" s="1064">
        <f t="shared" si="9"/>
        <v>260411541.27112001</v>
      </c>
      <c r="R23" s="183"/>
      <c r="S23" s="184"/>
      <c r="T23" s="183"/>
      <c r="U23" s="183"/>
    </row>
    <row r="24" spans="2:21" ht="16.2" thickBot="1">
      <c r="B24" s="1041" t="s">
        <v>1156</v>
      </c>
      <c r="C24" s="1042">
        <f t="shared" ref="C24:H24" si="12">C5+C12+C18+C23</f>
        <v>2831861942.9499998</v>
      </c>
      <c r="D24" s="1068">
        <f t="shared" si="12"/>
        <v>3173098639</v>
      </c>
      <c r="E24" s="1043">
        <f t="shared" si="12"/>
        <v>3340495399.8006001</v>
      </c>
      <c r="F24" s="1043">
        <f t="shared" si="12"/>
        <v>3397764245.9037037</v>
      </c>
      <c r="G24" s="1043">
        <f t="shared" si="12"/>
        <v>3428528420.3315516</v>
      </c>
      <c r="H24" s="1043">
        <f t="shared" si="12"/>
        <v>56205383.939861506</v>
      </c>
      <c r="I24" s="1043">
        <f t="shared" ref="I24:Q24" si="13">I23+I18+I12+I5</f>
        <v>487696390.71000004</v>
      </c>
      <c r="J24" s="1043">
        <f t="shared" si="13"/>
        <v>418411835.75</v>
      </c>
      <c r="K24" s="1043">
        <f t="shared" si="13"/>
        <v>14569310.85</v>
      </c>
      <c r="L24" s="1043">
        <f t="shared" si="13"/>
        <v>2638872.8199999998</v>
      </c>
      <c r="M24" s="1043">
        <f>M23+M18+M12+M5</f>
        <v>14758568.25</v>
      </c>
      <c r="N24" s="1043">
        <f t="shared" si="13"/>
        <v>13306221.42</v>
      </c>
      <c r="O24" s="1043">
        <f t="shared" si="13"/>
        <v>414320616.09999996</v>
      </c>
      <c r="P24" s="1043">
        <f t="shared" si="13"/>
        <v>55509026.350000024</v>
      </c>
      <c r="Q24" s="1043">
        <f t="shared" si="13"/>
        <v>2940832029.6215515</v>
      </c>
      <c r="R24" s="183"/>
      <c r="S24" s="184"/>
      <c r="T24" s="183"/>
      <c r="U24" s="183"/>
    </row>
    <row r="25" spans="2:21" ht="15" thickBot="1">
      <c r="E25" s="509"/>
      <c r="H25" s="509"/>
      <c r="I25" s="369"/>
      <c r="J25" s="369"/>
      <c r="K25" s="369"/>
      <c r="L25" s="369"/>
      <c r="M25" s="369"/>
      <c r="N25" s="369"/>
      <c r="O25" s="730"/>
      <c r="P25" s="320"/>
      <c r="Q25" s="320"/>
    </row>
    <row r="26" spans="2:21" ht="15" thickBot="1">
      <c r="D26" s="320"/>
      <c r="E26" s="320"/>
      <c r="H26" s="320"/>
      <c r="I26" s="368"/>
      <c r="J26" s="368"/>
      <c r="K26" s="368"/>
      <c r="L26" s="368"/>
      <c r="M26" s="434" t="s">
        <v>653</v>
      </c>
      <c r="N26" s="435">
        <f>+'BCE 07-25'!C45</f>
        <v>159695773.63999999</v>
      </c>
      <c r="O26" s="1016"/>
      <c r="P26" s="142"/>
      <c r="Q26" s="142"/>
      <c r="S26" s="186" t="s">
        <v>189</v>
      </c>
      <c r="T26" s="190">
        <v>2831861942.3920002</v>
      </c>
    </row>
    <row r="27" spans="2:21" ht="18.600000000000001" thickBot="1">
      <c r="B27" s="333" t="s">
        <v>1447</v>
      </c>
      <c r="C27" s="672">
        <v>3515158425</v>
      </c>
      <c r="D27" s="672">
        <f t="shared" ref="D27" si="14">+D14/0.08</f>
        <v>3851629175</v>
      </c>
      <c r="E27" s="672">
        <f>+E28*60</f>
        <v>3996000000</v>
      </c>
      <c r="H27" s="672"/>
      <c r="I27" s="368"/>
      <c r="J27" s="368"/>
      <c r="K27" s="368"/>
      <c r="L27" s="368"/>
      <c r="M27" s="586" t="s">
        <v>1157</v>
      </c>
      <c r="N27" s="587">
        <f>+'BCE 07-25'!C33</f>
        <v>48015000</v>
      </c>
      <c r="O27" s="1016"/>
      <c r="P27" s="1098"/>
      <c r="Q27" s="142"/>
      <c r="S27" s="186"/>
      <c r="T27" s="190"/>
    </row>
    <row r="28" spans="2:21" ht="15" thickBot="1">
      <c r="C28" s="370">
        <f>+C27/59</f>
        <v>59578956.355932206</v>
      </c>
      <c r="D28" s="370">
        <f>+D27/59</f>
        <v>65281850.423728816</v>
      </c>
      <c r="E28" s="370">
        <v>66600000</v>
      </c>
      <c r="H28" s="370"/>
      <c r="I28" s="474"/>
      <c r="M28" s="436" t="s">
        <v>654</v>
      </c>
      <c r="N28" s="437">
        <f>-'BCE 07-25'!C17</f>
        <v>-45448879.799999997</v>
      </c>
      <c r="O28" s="12"/>
      <c r="P28" s="320"/>
      <c r="Q28" s="320"/>
      <c r="S28" s="188" t="s">
        <v>190</v>
      </c>
      <c r="T28" s="189">
        <f>C24</f>
        <v>2831861942.9499998</v>
      </c>
    </row>
    <row r="29" spans="2:21" ht="15" thickBot="1">
      <c r="C29" s="489"/>
      <c r="D29" s="370"/>
      <c r="E29" s="370"/>
      <c r="H29" s="370"/>
      <c r="I29" s="474"/>
      <c r="M29" s="441" t="s">
        <v>655</v>
      </c>
      <c r="N29" s="442">
        <f>+'BCE 07-25'!C35+'BCE 07-25'!C36+'BCE 07-25'!C37+'BCE 07-25'!C38</f>
        <v>432311.75</v>
      </c>
      <c r="O29" s="445"/>
      <c r="P29" s="320"/>
      <c r="Q29" s="320"/>
      <c r="S29" s="187" t="s">
        <v>191</v>
      </c>
      <c r="T29" s="191">
        <f>T26-T28</f>
        <v>-0.55799961090087891</v>
      </c>
    </row>
    <row r="30" spans="2:21" ht="18.600000000000001" thickBot="1">
      <c r="B30" s="333" t="s">
        <v>1448</v>
      </c>
      <c r="C30" s="672">
        <f>+C27-C24</f>
        <v>683296482.05000019</v>
      </c>
      <c r="D30" s="672">
        <f t="shared" ref="D30" si="15">+D27-D24</f>
        <v>678530536</v>
      </c>
      <c r="E30" s="672">
        <f>+E27-E24</f>
        <v>655504600.19939995</v>
      </c>
      <c r="H30" s="672"/>
      <c r="I30" s="474"/>
      <c r="M30" s="441" t="s">
        <v>808</v>
      </c>
      <c r="N30" s="442">
        <f>+'BCE 07-25'!C34</f>
        <v>42907921.100000001</v>
      </c>
      <c r="O30" s="445"/>
      <c r="P30" s="320"/>
      <c r="Q30" s="320"/>
      <c r="S30" s="183"/>
      <c r="T30" s="508"/>
    </row>
    <row r="31" spans="2:21">
      <c r="C31" s="370">
        <f>+C30/59</f>
        <v>11581296.305932207</v>
      </c>
      <c r="D31" s="370">
        <f t="shared" ref="D31" si="16">+D30/59</f>
        <v>11500517.559322033</v>
      </c>
      <c r="E31" s="370">
        <f>+E30/60</f>
        <v>10925076.669989999</v>
      </c>
      <c r="H31" s="370"/>
      <c r="I31" s="474"/>
      <c r="M31" s="441"/>
      <c r="N31" s="442"/>
      <c r="O31" s="445"/>
      <c r="P31" s="320"/>
      <c r="Q31" s="320"/>
      <c r="S31" s="183"/>
      <c r="T31" s="508"/>
    </row>
    <row r="32" spans="2:21">
      <c r="C32" s="489"/>
      <c r="D32" s="370"/>
      <c r="E32" s="370"/>
      <c r="H32" s="370"/>
      <c r="I32" s="474"/>
      <c r="M32" s="441" t="s">
        <v>888</v>
      </c>
      <c r="N32" s="442">
        <f>+'CXP 07-25'!E13</f>
        <v>364684.38</v>
      </c>
      <c r="O32" s="445"/>
      <c r="P32" s="320"/>
      <c r="Q32" s="320"/>
      <c r="S32" s="183"/>
      <c r="T32" s="508"/>
    </row>
    <row r="33" spans="2:16" ht="15" thickBot="1">
      <c r="C33" s="369"/>
      <c r="D33" s="370"/>
      <c r="E33" s="370"/>
      <c r="H33" s="370"/>
      <c r="M33" s="438" t="s">
        <v>656</v>
      </c>
      <c r="N33" s="439">
        <f>SUM(N26:N32)</f>
        <v>205966811.06999996</v>
      </c>
      <c r="O33" s="445"/>
    </row>
    <row r="34" spans="2:16">
      <c r="C34" s="161"/>
      <c r="D34" s="370"/>
      <c r="E34" s="370"/>
      <c r="H34" s="370"/>
      <c r="M34" s="440" t="s">
        <v>657</v>
      </c>
      <c r="N34" s="445">
        <f>+O24</f>
        <v>414320616.09999996</v>
      </c>
    </row>
    <row r="35" spans="2:16">
      <c r="M35" s="443" t="s">
        <v>658</v>
      </c>
      <c r="N35" s="443">
        <f>+N33-N34</f>
        <v>-208353805.03</v>
      </c>
      <c r="O35" s="444">
        <f>+'BCE 07-25'!C46+'BCE 07-25'!C47</f>
        <v>953438.13</v>
      </c>
      <c r="P35" s="444">
        <f>+N35+O35</f>
        <v>-207400366.90000001</v>
      </c>
    </row>
    <row r="36" spans="2:16">
      <c r="B36" s="192"/>
      <c r="C36" s="192"/>
      <c r="D36" s="192"/>
      <c r="E36" s="192"/>
      <c r="F36" s="843"/>
      <c r="G36" s="843"/>
      <c r="H36" s="192"/>
      <c r="I36" s="192"/>
      <c r="J36" s="192"/>
      <c r="K36" s="192"/>
      <c r="L36" s="192"/>
      <c r="M36" s="192"/>
      <c r="N36" s="192"/>
      <c r="O36" s="192"/>
      <c r="P36" s="192"/>
    </row>
    <row r="38" spans="2:16">
      <c r="B38" s="254" t="s">
        <v>47</v>
      </c>
    </row>
    <row r="39" spans="2:16">
      <c r="B39" s="112" t="s">
        <v>48</v>
      </c>
    </row>
    <row r="40" spans="2:16">
      <c r="B40" s="115" t="s">
        <v>49</v>
      </c>
    </row>
    <row r="41" spans="2:16">
      <c r="B41" s="112" t="s">
        <v>50</v>
      </c>
    </row>
    <row r="42" spans="2:16">
      <c r="B42" s="115" t="s">
        <v>51</v>
      </c>
    </row>
    <row r="43" spans="2:16">
      <c r="B43" s="254" t="s">
        <v>52</v>
      </c>
    </row>
    <row r="44" spans="2:16" ht="18.600000000000001" thickBot="1">
      <c r="B44" s="333" t="s">
        <v>229</v>
      </c>
    </row>
    <row r="46" spans="2:16" ht="15" thickBot="1"/>
    <row r="47" spans="2:16">
      <c r="B47" s="335" t="s">
        <v>234</v>
      </c>
      <c r="C47" s="336">
        <v>160000000</v>
      </c>
      <c r="D47" s="336"/>
      <c r="E47" s="336"/>
      <c r="F47" s="844"/>
      <c r="G47" s="844"/>
      <c r="H47" s="336"/>
    </row>
    <row r="48" spans="2:16">
      <c r="B48" s="588" t="s">
        <v>1158</v>
      </c>
      <c r="C48" s="589">
        <v>22200000</v>
      </c>
      <c r="D48" s="589"/>
      <c r="E48" s="589"/>
      <c r="F48" s="845"/>
      <c r="G48" s="845"/>
      <c r="H48" s="589"/>
    </row>
    <row r="49" spans="2:8">
      <c r="B49" s="112" t="s">
        <v>153</v>
      </c>
      <c r="C49" s="403">
        <f>+O24+P24</f>
        <v>469829642.44999999</v>
      </c>
      <c r="D49" s="403"/>
      <c r="E49" s="403"/>
      <c r="F49" s="846"/>
      <c r="G49" s="846"/>
      <c r="H49" s="403">
        <f>C49/C47</f>
        <v>2.9364352653124999</v>
      </c>
    </row>
    <row r="50" spans="2:8" ht="15" thickBot="1">
      <c r="B50" s="339" t="s">
        <v>154</v>
      </c>
      <c r="C50" s="340">
        <f>+C47+C48-C49</f>
        <v>-287629642.44999999</v>
      </c>
      <c r="D50" s="340"/>
      <c r="E50" s="340"/>
      <c r="F50" s="847"/>
      <c r="G50" s="847"/>
      <c r="H50" s="340">
        <f>C50/C47</f>
        <v>-1.7976852653124999</v>
      </c>
    </row>
  </sheetData>
  <mergeCells count="11">
    <mergeCell ref="Q3:Q4"/>
    <mergeCell ref="R1:U2"/>
    <mergeCell ref="J2:N2"/>
    <mergeCell ref="I3:I4"/>
    <mergeCell ref="J3:J4"/>
    <mergeCell ref="K3:K4"/>
    <mergeCell ref="L3:L4"/>
    <mergeCell ref="M3:M4"/>
    <mergeCell ref="N3:N4"/>
    <mergeCell ref="O3:O4"/>
    <mergeCell ref="P3:P4"/>
  </mergeCells>
  <conditionalFormatting sqref="R6:R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R8:R9">
    <cfRule type="iconSet" priority="1">
      <iconSet iconSet="3Arrows">
        <cfvo type="percent" val="0"/>
        <cfvo type="percent" val="45"/>
        <cfvo type="percent" val="80"/>
      </iconSet>
    </cfRule>
  </conditionalFormatting>
  <conditionalFormatting sqref="R14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R16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R20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R22">
    <cfRule type="iconSet" priority="2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ignoredErrors>
    <ignoredError sqref="H12:Q12 H18:Q18" formula="1"/>
  </ignoredErrors>
  <drawing r:id="rId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13360-F4AA-4FDA-9DE0-0CCA2BCFBC56}">
  <dimension ref="A1:G22"/>
  <sheetViews>
    <sheetView zoomScale="85" zoomScaleNormal="85" workbookViewId="0">
      <selection activeCell="D22" sqref="D22"/>
    </sheetView>
  </sheetViews>
  <sheetFormatPr baseColWidth="10" defaultColWidth="11.5546875" defaultRowHeight="14.4"/>
  <cols>
    <col min="1" max="1" width="37.109375" style="455" bestFit="1" customWidth="1"/>
    <col min="2" max="2" width="23.6640625" style="1470" customWidth="1"/>
    <col min="3" max="3" width="22.33203125" style="1470" customWidth="1"/>
    <col min="4" max="4" width="26.44140625" style="1470" bestFit="1" customWidth="1"/>
    <col min="5" max="5" width="15.33203125" style="1470" bestFit="1" customWidth="1"/>
    <col min="6" max="6" width="14" style="1470" bestFit="1" customWidth="1"/>
    <col min="7" max="7" width="17.109375" style="1470" bestFit="1" customWidth="1"/>
    <col min="8" max="16384" width="11.5546875" style="455"/>
  </cols>
  <sheetData>
    <row r="1" spans="1:6" ht="19.95" customHeight="1">
      <c r="A1" s="1408" t="s">
        <v>458</v>
      </c>
      <c r="B1" s="1469" t="s">
        <v>849</v>
      </c>
      <c r="C1" s="1469" t="s">
        <v>850</v>
      </c>
      <c r="D1" s="1469" t="s">
        <v>851</v>
      </c>
      <c r="E1" s="1469"/>
    </row>
    <row r="2" spans="1:6" s="1472" customFormat="1" ht="19.95" customHeight="1">
      <c r="A2" s="455" t="s">
        <v>65</v>
      </c>
      <c r="B2" s="1471">
        <v>106933000</v>
      </c>
      <c r="C2" s="1471">
        <v>264445080.16</v>
      </c>
      <c r="D2" s="1471">
        <v>264445081.16</v>
      </c>
      <c r="E2" s="1471"/>
      <c r="F2" s="1473"/>
    </row>
    <row r="3" spans="1:6" ht="19.95" customHeight="1">
      <c r="A3" s="455" t="s">
        <v>1662</v>
      </c>
      <c r="B3" s="1471">
        <v>25000000</v>
      </c>
      <c r="C3" s="1471">
        <v>24521537.59</v>
      </c>
      <c r="D3" s="1471">
        <v>23981165.699999999</v>
      </c>
      <c r="E3" s="1471"/>
      <c r="F3" s="1470">
        <v>278099.52</v>
      </c>
    </row>
    <row r="4" spans="1:6" ht="19.95" customHeight="1">
      <c r="A4" s="455" t="s">
        <v>78</v>
      </c>
      <c r="B4" s="1471">
        <v>469787395.51000005</v>
      </c>
      <c r="C4" s="1471">
        <f>42282308.52+102302.41+99569.07</f>
        <v>42484180</v>
      </c>
      <c r="D4" s="1471">
        <f>31076466.93+102302.41+99569.07</f>
        <v>31278338.41</v>
      </c>
      <c r="E4" s="1471"/>
      <c r="F4" s="1470">
        <v>14291211.33</v>
      </c>
    </row>
    <row r="5" spans="1:6" ht="19.95" customHeight="1">
      <c r="A5" s="455" t="s">
        <v>90</v>
      </c>
      <c r="B5" s="1471">
        <v>1517615075.7500005</v>
      </c>
      <c r="C5" s="1471">
        <v>0</v>
      </c>
      <c r="D5" s="1471">
        <v>0</v>
      </c>
      <c r="E5" s="1471"/>
    </row>
    <row r="6" spans="1:6" ht="19.95" customHeight="1">
      <c r="A6" s="455" t="s">
        <v>105</v>
      </c>
      <c r="B6" s="1471">
        <v>198740247.96000001</v>
      </c>
      <c r="C6" s="1471">
        <v>21389162.52</v>
      </c>
      <c r="D6" s="1471">
        <v>21278081.100000001</v>
      </c>
      <c r="E6" s="1471"/>
    </row>
    <row r="7" spans="1:6" ht="19.95" customHeight="1">
      <c r="A7" s="455" t="s">
        <v>108</v>
      </c>
      <c r="B7" s="1471">
        <v>47896399.740000002</v>
      </c>
      <c r="C7" s="1471">
        <v>519610.94</v>
      </c>
      <c r="D7" s="1471">
        <v>519610.94</v>
      </c>
      <c r="E7" s="1471"/>
    </row>
    <row r="8" spans="1:6" ht="19.95" customHeight="1">
      <c r="A8" s="455" t="s">
        <v>816</v>
      </c>
      <c r="B8" s="1471">
        <v>39748049.590000004</v>
      </c>
      <c r="C8" s="1471">
        <v>0</v>
      </c>
      <c r="D8" s="1471">
        <v>0</v>
      </c>
      <c r="E8" s="1471"/>
    </row>
    <row r="9" spans="1:6" ht="19.95" customHeight="1">
      <c r="A9" s="455" t="s">
        <v>1458</v>
      </c>
      <c r="B9" s="1471">
        <v>17866748.260000002</v>
      </c>
      <c r="C9" s="1471">
        <v>1013928.6</v>
      </c>
      <c r="D9" s="1471">
        <v>1013928.6</v>
      </c>
      <c r="E9" s="1471"/>
    </row>
    <row r="10" spans="1:6" ht="19.95" customHeight="1">
      <c r="A10" s="455" t="s">
        <v>112</v>
      </c>
      <c r="B10" s="1471">
        <v>158992198.37</v>
      </c>
      <c r="C10" s="1471">
        <v>12551175.970000001</v>
      </c>
      <c r="D10" s="1471">
        <v>12551175.970000001</v>
      </c>
      <c r="E10" s="1471"/>
    </row>
    <row r="11" spans="1:6" ht="19.95" customHeight="1">
      <c r="A11" s="455" t="s">
        <v>115</v>
      </c>
      <c r="B11" s="1471">
        <v>329908811.24000001</v>
      </c>
      <c r="C11" s="1471">
        <v>55142521.659999996</v>
      </c>
      <c r="D11" s="1471">
        <v>55112392.18</v>
      </c>
      <c r="E11" s="1471"/>
    </row>
    <row r="12" spans="1:6" ht="19.95" customHeight="1">
      <c r="A12" s="455" t="s">
        <v>119</v>
      </c>
      <c r="B12" s="1471">
        <v>80207886.760000005</v>
      </c>
      <c r="C12" s="1471">
        <v>2262725.81</v>
      </c>
      <c r="D12" s="1471">
        <v>2262725.81</v>
      </c>
      <c r="E12" s="1471"/>
    </row>
    <row r="13" spans="1:6" ht="19.95" customHeight="1">
      <c r="A13" s="455" t="s">
        <v>122</v>
      </c>
      <c r="B13" s="1471">
        <v>69559086.769999996</v>
      </c>
      <c r="C13" s="1471">
        <v>24218827.670000002</v>
      </c>
      <c r="D13" s="1471">
        <v>23452910.829999998</v>
      </c>
      <c r="E13" s="1471"/>
    </row>
    <row r="14" spans="1:6" ht="19.95" customHeight="1">
      <c r="A14" s="455" t="s">
        <v>126</v>
      </c>
      <c r="B14" s="1471">
        <v>19874021.48</v>
      </c>
      <c r="C14" s="1471">
        <v>0</v>
      </c>
      <c r="D14" s="1471">
        <v>0</v>
      </c>
      <c r="E14" s="1471"/>
    </row>
    <row r="15" spans="1:6" ht="19.95" customHeight="1">
      <c r="A15" s="455" t="s">
        <v>193</v>
      </c>
      <c r="B15" s="1471">
        <v>30500000</v>
      </c>
      <c r="C15" s="1471">
        <v>20569643.219999999</v>
      </c>
      <c r="D15" s="1471">
        <v>17726614.23</v>
      </c>
      <c r="E15" s="1471"/>
    </row>
    <row r="16" spans="1:6" ht="19.95" customHeight="1">
      <c r="A16" s="455" t="s">
        <v>136</v>
      </c>
      <c r="B16" s="1471">
        <v>229165392.31</v>
      </c>
      <c r="C16" s="1475">
        <v>3349823.34</v>
      </c>
      <c r="D16" s="1471">
        <v>3349823.34</v>
      </c>
      <c r="E16" s="1471"/>
      <c r="F16" s="1470">
        <v>3349823.34</v>
      </c>
    </row>
    <row r="17" spans="1:6" ht="19.95" customHeight="1">
      <c r="A17" s="455" t="s">
        <v>1663</v>
      </c>
      <c r="B17" s="1471">
        <v>19874024.48</v>
      </c>
      <c r="C17" s="1471">
        <v>0</v>
      </c>
      <c r="D17" s="1471">
        <v>0</v>
      </c>
      <c r="E17" s="1471"/>
    </row>
    <row r="18" spans="1:6" ht="19.95" customHeight="1">
      <c r="A18" s="1408" t="s">
        <v>1982</v>
      </c>
      <c r="B18" s="1473">
        <f>SUM(B2:B17)</f>
        <v>3361668338.2200003</v>
      </c>
      <c r="C18" s="1473">
        <f>SUM(C2:C17)</f>
        <v>472468217.48000008</v>
      </c>
      <c r="D18" s="1473">
        <f>SUM(D2:D17)</f>
        <v>456971848.2700001</v>
      </c>
      <c r="E18" s="1473">
        <f t="shared" ref="E18:F18" si="0">SUM(E2:E17)</f>
        <v>0</v>
      </c>
      <c r="F18" s="1473">
        <f t="shared" si="0"/>
        <v>17919134.189999998</v>
      </c>
    </row>
    <row r="19" spans="1:6" ht="19.95" customHeight="1">
      <c r="C19" s="1470">
        <v>472266346</v>
      </c>
      <c r="D19" s="1470">
        <v>456769976.79000002</v>
      </c>
      <c r="E19" s="1473">
        <f>+'PRESENTACIÓN 10-25'!J24</f>
        <v>439052713.13</v>
      </c>
      <c r="F19" s="1473">
        <f>+D18-E19</f>
        <v>17919135.140000105</v>
      </c>
    </row>
    <row r="20" spans="1:6" ht="19.95" customHeight="1">
      <c r="C20" s="1470">
        <f>+C18-C19</f>
        <v>201871.48000007868</v>
      </c>
      <c r="D20" s="1470">
        <f>+D18-D19</f>
        <v>201871.48000007868</v>
      </c>
      <c r="F20" s="1470">
        <f>+F18-F19</f>
        <v>-0.9500001072883606</v>
      </c>
    </row>
    <row r="21" spans="1:6" ht="19.95" customHeight="1">
      <c r="D21" s="1474">
        <v>102302.41</v>
      </c>
    </row>
    <row r="22" spans="1:6" ht="19.95" customHeight="1">
      <c r="D22" s="1474">
        <v>99569.07</v>
      </c>
    </row>
  </sheetData>
  <autoFilter ref="A1:D17" xr:uid="{33E5389C-C572-4585-A645-EB85C8057B2A}"/>
  <pageMargins left="0.7" right="0.7" top="0.75" bottom="0.75" header="0.3" footer="0.3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9F374-658E-4BD4-BBE6-D31A140F7A0F}">
  <dimension ref="A1:M26"/>
  <sheetViews>
    <sheetView showGridLines="0" zoomScaleNormal="100" workbookViewId="0">
      <selection activeCell="D22" sqref="D22"/>
    </sheetView>
  </sheetViews>
  <sheetFormatPr baseColWidth="10" defaultColWidth="8" defaultRowHeight="11.4"/>
  <cols>
    <col min="1" max="1" width="13.88671875" style="408" customWidth="1"/>
    <col min="2" max="2" width="30.5546875" style="528" customWidth="1"/>
    <col min="3" max="3" width="12" style="408" bestFit="1" customWidth="1"/>
    <col min="4" max="4" width="11.44140625" style="408" bestFit="1" customWidth="1"/>
    <col min="5" max="5" width="13.6640625" style="408" customWidth="1"/>
    <col min="6" max="6" width="29.33203125" style="408" bestFit="1" customWidth="1"/>
    <col min="7" max="7" width="13.44140625" style="408" bestFit="1" customWidth="1"/>
    <col min="8" max="8" width="11" style="408" bestFit="1" customWidth="1"/>
    <col min="9" max="9" width="11.33203125" style="408" bestFit="1" customWidth="1"/>
    <col min="10" max="10" width="8.6640625" style="408" bestFit="1" customWidth="1"/>
    <col min="11" max="11" width="11.6640625" style="408" bestFit="1" customWidth="1"/>
    <col min="12" max="12" width="8" style="408"/>
    <col min="13" max="13" width="9.6640625" style="408" bestFit="1" customWidth="1"/>
    <col min="14" max="16384" width="8" style="408"/>
  </cols>
  <sheetData>
    <row r="1" spans="1:13" s="405" customFormat="1" ht="16.649999999999999" customHeight="1">
      <c r="A1" s="404" t="s">
        <v>1771</v>
      </c>
      <c r="B1" s="526"/>
      <c r="C1" s="404"/>
      <c r="D1" s="404"/>
      <c r="E1" s="404"/>
      <c r="F1" s="408"/>
      <c r="G1" s="408"/>
      <c r="H1" s="408"/>
      <c r="I1" s="408"/>
      <c r="J1" s="408"/>
      <c r="K1" s="408"/>
      <c r="L1" s="408"/>
      <c r="M1" s="408"/>
    </row>
    <row r="2" spans="1:13" s="407" customFormat="1" ht="14.4" customHeight="1">
      <c r="A2" s="406" t="s">
        <v>236</v>
      </c>
      <c r="B2" s="527"/>
      <c r="C2" s="406"/>
      <c r="D2" s="406"/>
      <c r="E2" s="406"/>
      <c r="F2" s="408"/>
      <c r="G2" s="408"/>
      <c r="H2" s="408"/>
      <c r="I2" s="408"/>
      <c r="J2" s="408"/>
      <c r="K2" s="408"/>
      <c r="L2" s="408"/>
      <c r="M2" s="408"/>
    </row>
    <row r="3" spans="1:13" ht="13.35" customHeight="1">
      <c r="F3" s="1256" t="s">
        <v>1772</v>
      </c>
      <c r="G3" s="1249" t="s">
        <v>1773</v>
      </c>
      <c r="H3" s="1249" t="s">
        <v>1774</v>
      </c>
      <c r="I3" s="1249" t="s">
        <v>1775</v>
      </c>
      <c r="J3" s="1249" t="s">
        <v>1776</v>
      </c>
      <c r="K3" s="1249" t="s">
        <v>1777</v>
      </c>
      <c r="L3" s="1249" t="s">
        <v>1298</v>
      </c>
      <c r="M3" s="1249" t="s">
        <v>1778</v>
      </c>
    </row>
    <row r="4" spans="1:13" ht="13.35" customHeight="1">
      <c r="F4" s="1250" t="s">
        <v>1779</v>
      </c>
      <c r="G4" s="1251">
        <v>34200000</v>
      </c>
      <c r="H4" s="1251">
        <f>+E17+E18+E19</f>
        <v>34200000</v>
      </c>
      <c r="I4" s="1251">
        <f>+G4-H4</f>
        <v>0</v>
      </c>
      <c r="J4" s="1251">
        <f>-D23</f>
        <v>-5000000</v>
      </c>
      <c r="K4" s="1252">
        <f>+H4+J4</f>
        <v>29200000</v>
      </c>
      <c r="L4" s="1253">
        <v>0.1595</v>
      </c>
      <c r="M4" s="1254">
        <v>45923</v>
      </c>
    </row>
    <row r="5" spans="1:13" ht="13.35" customHeight="1">
      <c r="F5" s="1250" t="s">
        <v>1779</v>
      </c>
      <c r="G5" s="1251">
        <v>15000000</v>
      </c>
      <c r="H5" s="1251">
        <f>+E21+E22+E20</f>
        <v>15000000</v>
      </c>
      <c r="I5" s="1251"/>
      <c r="J5" s="1251"/>
      <c r="K5" s="1252">
        <f>+H5+J5</f>
        <v>15000000</v>
      </c>
      <c r="L5" s="1253">
        <v>0.19</v>
      </c>
      <c r="M5" s="1254">
        <v>45939</v>
      </c>
    </row>
    <row r="6" spans="1:13" ht="13.35" customHeight="1">
      <c r="F6" s="1250" t="s">
        <v>1780</v>
      </c>
      <c r="G6" s="1251">
        <v>100000000</v>
      </c>
      <c r="H6" s="1251">
        <f>+E14</f>
        <v>55184227.399999999</v>
      </c>
      <c r="I6" s="1251">
        <f>+G6-H6</f>
        <v>44815772.600000001</v>
      </c>
      <c r="J6" s="1251">
        <v>0</v>
      </c>
      <c r="K6" s="1252">
        <f>+H6+J6</f>
        <v>55184227.399999999</v>
      </c>
      <c r="L6" s="1253">
        <v>0.18</v>
      </c>
      <c r="M6" s="1254">
        <v>46274</v>
      </c>
    </row>
    <row r="7" spans="1:13" ht="13.35" customHeight="1">
      <c r="F7" s="1248" t="s">
        <v>1781</v>
      </c>
      <c r="G7" s="1255">
        <f>SUM(G4:G6)</f>
        <v>149200000</v>
      </c>
      <c r="H7" s="1255">
        <f t="shared" ref="H7:K7" si="0">SUM(H4:H6)</f>
        <v>104384227.40000001</v>
      </c>
      <c r="I7" s="1255">
        <f t="shared" si="0"/>
        <v>44815772.600000001</v>
      </c>
      <c r="J7" s="1255">
        <f t="shared" si="0"/>
        <v>-5000000</v>
      </c>
      <c r="K7" s="1255">
        <f t="shared" si="0"/>
        <v>99384227.400000006</v>
      </c>
      <c r="L7" s="1255"/>
      <c r="M7" s="1255"/>
    </row>
    <row r="8" spans="1:13" ht="13.35" customHeight="1"/>
    <row r="9" spans="1:13" s="412" customFormat="1" ht="12.15" customHeight="1">
      <c r="A9" s="410" t="s">
        <v>1485</v>
      </c>
      <c r="B9" s="529" t="s">
        <v>817</v>
      </c>
      <c r="C9" s="410" t="s">
        <v>691</v>
      </c>
      <c r="D9" s="411" t="s">
        <v>665</v>
      </c>
      <c r="E9" s="411" t="s">
        <v>666</v>
      </c>
      <c r="F9" s="408"/>
      <c r="G9" s="408"/>
      <c r="H9" s="408"/>
      <c r="I9" s="408"/>
      <c r="J9" s="408"/>
      <c r="K9" s="408"/>
      <c r="L9" s="408"/>
      <c r="M9" s="408"/>
    </row>
    <row r="10" spans="1:13" ht="13.35" customHeight="1"/>
    <row r="11" spans="1:13" s="412" customFormat="1" ht="12.15" customHeight="1">
      <c r="A11" s="409" t="s">
        <v>1782</v>
      </c>
      <c r="B11" s="530"/>
      <c r="C11" s="409"/>
      <c r="D11" s="409"/>
      <c r="E11" s="409"/>
    </row>
    <row r="12" spans="1:13" ht="22.8">
      <c r="A12" s="429">
        <v>45909</v>
      </c>
      <c r="B12" s="531" t="s">
        <v>1783</v>
      </c>
      <c r="C12" s="421" t="s">
        <v>1784</v>
      </c>
      <c r="D12" s="422">
        <v>0</v>
      </c>
      <c r="E12" s="422">
        <v>25000000</v>
      </c>
    </row>
    <row r="13" spans="1:13" ht="22.8">
      <c r="A13" s="430">
        <v>45926</v>
      </c>
      <c r="B13" s="533" t="s">
        <v>1783</v>
      </c>
      <c r="C13" s="414" t="s">
        <v>1784</v>
      </c>
      <c r="D13" s="415">
        <v>0</v>
      </c>
      <c r="E13" s="415">
        <v>30184227.399999999</v>
      </c>
      <c r="F13" s="412"/>
      <c r="G13" s="412"/>
      <c r="H13" s="412"/>
      <c r="I13" s="412"/>
      <c r="J13" s="412"/>
      <c r="K13" s="412"/>
      <c r="L13" s="412"/>
      <c r="M13" s="412"/>
    </row>
    <row r="14" spans="1:13" ht="10.95" customHeight="1">
      <c r="A14" s="416" t="s">
        <v>1785</v>
      </c>
      <c r="B14" s="532"/>
      <c r="C14" s="416"/>
      <c r="D14" s="417">
        <f>SUM(D12:D13)</f>
        <v>0</v>
      </c>
      <c r="E14" s="417">
        <f>SUM(E12:E13)</f>
        <v>55184227.399999999</v>
      </c>
    </row>
    <row r="15" spans="1:13" ht="13.35" customHeight="1"/>
    <row r="16" spans="1:13" s="412" customFormat="1" ht="12.15" customHeight="1">
      <c r="A16" s="409" t="s">
        <v>1786</v>
      </c>
      <c r="B16" s="530"/>
      <c r="C16" s="409"/>
      <c r="D16" s="409"/>
      <c r="E16" s="409"/>
      <c r="F16" s="408"/>
      <c r="G16" s="820"/>
      <c r="H16" s="408"/>
      <c r="I16" s="408"/>
      <c r="J16" s="408"/>
      <c r="K16" s="408"/>
      <c r="L16" s="408"/>
      <c r="M16" s="408"/>
    </row>
    <row r="17" spans="1:5" ht="10.95" customHeight="1">
      <c r="A17" s="429">
        <v>45761</v>
      </c>
      <c r="B17" s="531" t="s">
        <v>1787</v>
      </c>
      <c r="C17" s="414" t="s">
        <v>1788</v>
      </c>
      <c r="D17" s="422">
        <v>0</v>
      </c>
      <c r="E17" s="422">
        <v>15000000</v>
      </c>
    </row>
    <row r="18" spans="1:5" ht="10.95" customHeight="1">
      <c r="A18" s="430">
        <v>45792</v>
      </c>
      <c r="B18" s="531" t="s">
        <v>1787</v>
      </c>
      <c r="C18" s="414" t="s">
        <v>1788</v>
      </c>
      <c r="D18" s="415">
        <v>0</v>
      </c>
      <c r="E18" s="415">
        <v>7200000</v>
      </c>
    </row>
    <row r="19" spans="1:5" ht="10.95" customHeight="1">
      <c r="A19" s="430">
        <v>45820</v>
      </c>
      <c r="B19" s="531" t="s">
        <v>1787</v>
      </c>
      <c r="C19" s="414" t="s">
        <v>1788</v>
      </c>
      <c r="D19" s="415">
        <v>0</v>
      </c>
      <c r="E19" s="415">
        <v>12000000</v>
      </c>
    </row>
    <row r="20" spans="1:5" ht="34.200000000000003">
      <c r="A20" s="430">
        <v>45853</v>
      </c>
      <c r="B20" s="533" t="s">
        <v>1789</v>
      </c>
      <c r="C20" s="414" t="s">
        <v>1788</v>
      </c>
      <c r="D20" s="415">
        <v>0</v>
      </c>
      <c r="E20" s="415">
        <v>1185000</v>
      </c>
    </row>
    <row r="21" spans="1:5" ht="10.95" customHeight="1">
      <c r="A21" s="430">
        <v>45854</v>
      </c>
      <c r="B21" s="531" t="s">
        <v>1787</v>
      </c>
      <c r="C21" s="414" t="s">
        <v>1788</v>
      </c>
      <c r="D21" s="415">
        <v>0</v>
      </c>
      <c r="E21" s="415">
        <v>11000000</v>
      </c>
    </row>
    <row r="22" spans="1:5" ht="10.95" customHeight="1">
      <c r="A22" s="430">
        <v>45862</v>
      </c>
      <c r="B22" s="531" t="s">
        <v>1787</v>
      </c>
      <c r="C22" s="414" t="s">
        <v>1788</v>
      </c>
      <c r="D22" s="415">
        <v>0</v>
      </c>
      <c r="E22" s="415">
        <v>2815000</v>
      </c>
    </row>
    <row r="23" spans="1:5" ht="10.95" customHeight="1">
      <c r="A23" s="430">
        <v>45937</v>
      </c>
      <c r="B23" s="531" t="s">
        <v>2017</v>
      </c>
      <c r="C23" s="414" t="s">
        <v>1788</v>
      </c>
      <c r="D23" s="415">
        <v>5000000</v>
      </c>
      <c r="E23" s="415">
        <v>0</v>
      </c>
    </row>
    <row r="24" spans="1:5" ht="10.95" customHeight="1">
      <c r="A24" s="416" t="s">
        <v>1790</v>
      </c>
      <c r="B24" s="532"/>
      <c r="C24" s="416"/>
      <c r="D24" s="417">
        <f>SUM(D17:D23)</f>
        <v>5000000</v>
      </c>
      <c r="E24" s="417">
        <f>SUM(E17:E23)</f>
        <v>49200000</v>
      </c>
    </row>
    <row r="25" spans="1:5" ht="13.35" customHeight="1"/>
    <row r="26" spans="1:5" ht="10.95" customHeight="1">
      <c r="A26" s="419" t="s">
        <v>164</v>
      </c>
      <c r="B26" s="534"/>
      <c r="C26" s="419"/>
      <c r="D26" s="420">
        <f>SUM(D14,D24)</f>
        <v>5000000</v>
      </c>
      <c r="E26" s="420">
        <f>SUM(E14,E24)</f>
        <v>104384227.40000001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40155-976F-46B0-A4DA-6CB84E3CD5A1}">
  <dimension ref="A1:G13"/>
  <sheetViews>
    <sheetView workbookViewId="0">
      <selection activeCell="D22" sqref="D22"/>
    </sheetView>
  </sheetViews>
  <sheetFormatPr baseColWidth="10" defaultColWidth="11.44140625" defaultRowHeight="14.4"/>
  <cols>
    <col min="1" max="1" width="26" bestFit="1" customWidth="1"/>
    <col min="2" max="2" width="11" bestFit="1" customWidth="1"/>
    <col min="3" max="3" width="14" style="370" bestFit="1" customWidth="1"/>
    <col min="4" max="4" width="14.5546875" style="370" customWidth="1"/>
    <col min="5" max="5" width="32.5546875" customWidth="1"/>
    <col min="6" max="7" width="20" bestFit="1" customWidth="1"/>
  </cols>
  <sheetData>
    <row r="1" spans="1:7">
      <c r="A1" t="s">
        <v>707</v>
      </c>
      <c r="B1" t="s">
        <v>708</v>
      </c>
      <c r="C1" s="370" t="s">
        <v>164</v>
      </c>
      <c r="D1" s="370" t="s">
        <v>709</v>
      </c>
      <c r="E1" t="s">
        <v>817</v>
      </c>
      <c r="F1" t="s">
        <v>710</v>
      </c>
      <c r="G1" t="s">
        <v>852</v>
      </c>
    </row>
    <row r="2" spans="1:7">
      <c r="A2" t="s">
        <v>737</v>
      </c>
      <c r="B2" s="193">
        <v>45429</v>
      </c>
      <c r="C2" s="370">
        <v>40000</v>
      </c>
      <c r="D2" s="370">
        <v>40000</v>
      </c>
      <c r="E2" t="s">
        <v>738</v>
      </c>
      <c r="F2" t="s">
        <v>853</v>
      </c>
      <c r="G2" t="s">
        <v>853</v>
      </c>
    </row>
    <row r="3" spans="1:7">
      <c r="A3" t="s">
        <v>369</v>
      </c>
      <c r="B3" s="193">
        <v>45266</v>
      </c>
      <c r="C3" s="370">
        <v>273000</v>
      </c>
      <c r="D3" s="370">
        <v>273000</v>
      </c>
      <c r="E3" t="s">
        <v>911</v>
      </c>
      <c r="F3" t="s">
        <v>853</v>
      </c>
      <c r="G3" t="s">
        <v>853</v>
      </c>
    </row>
    <row r="4" spans="1:7">
      <c r="B4" s="193"/>
      <c r="C4" s="432">
        <f>SUM(C2:C3)</f>
        <v>313000</v>
      </c>
      <c r="D4" s="432">
        <f>SUM(D2:D3)</f>
        <v>313000</v>
      </c>
    </row>
    <row r="5" spans="1:7">
      <c r="A5" t="s">
        <v>715</v>
      </c>
      <c r="B5" s="193">
        <v>45771</v>
      </c>
      <c r="C5" s="370">
        <v>3200000</v>
      </c>
      <c r="D5" s="370">
        <v>638906.42000000004</v>
      </c>
      <c r="E5" t="s">
        <v>1023</v>
      </c>
      <c r="F5" t="s">
        <v>1024</v>
      </c>
      <c r="G5" t="s">
        <v>1025</v>
      </c>
    </row>
    <row r="6" spans="1:7">
      <c r="A6" t="s">
        <v>1084</v>
      </c>
      <c r="B6" s="193">
        <v>45805</v>
      </c>
      <c r="C6" s="370">
        <v>5000000</v>
      </c>
      <c r="D6" s="370">
        <v>5000000</v>
      </c>
      <c r="E6" t="s">
        <v>1189</v>
      </c>
      <c r="F6" t="s">
        <v>1024</v>
      </c>
      <c r="G6" t="s">
        <v>1025</v>
      </c>
    </row>
    <row r="7" spans="1:7">
      <c r="A7" t="s">
        <v>1084</v>
      </c>
      <c r="B7" s="193">
        <v>45826</v>
      </c>
      <c r="C7" s="370">
        <v>5000000</v>
      </c>
      <c r="D7" s="370">
        <v>5000000</v>
      </c>
      <c r="E7" t="s">
        <v>1189</v>
      </c>
      <c r="F7" t="s">
        <v>1024</v>
      </c>
      <c r="G7" t="s">
        <v>1025</v>
      </c>
    </row>
    <row r="8" spans="1:7">
      <c r="A8" t="s">
        <v>1084</v>
      </c>
      <c r="B8" s="193">
        <v>45911</v>
      </c>
      <c r="C8" s="370">
        <v>2000000</v>
      </c>
      <c r="D8" s="370">
        <v>2000000</v>
      </c>
      <c r="E8" t="s">
        <v>1189</v>
      </c>
      <c r="F8" t="s">
        <v>1024</v>
      </c>
      <c r="G8" t="s">
        <v>1025</v>
      </c>
    </row>
    <row r="9" spans="1:7">
      <c r="A9" t="s">
        <v>1084</v>
      </c>
      <c r="B9" s="193">
        <v>45932</v>
      </c>
      <c r="C9" s="370">
        <v>1000000</v>
      </c>
      <c r="D9" s="370">
        <v>1000000</v>
      </c>
      <c r="E9" t="s">
        <v>1189</v>
      </c>
      <c r="F9" t="s">
        <v>1024</v>
      </c>
      <c r="G9" t="s">
        <v>1025</v>
      </c>
    </row>
    <row r="10" spans="1:7">
      <c r="B10" s="193"/>
      <c r="C10" s="432">
        <f>SUM(C5:C9)</f>
        <v>16200000</v>
      </c>
      <c r="D10" s="432">
        <f>SUM(D5:D9)</f>
        <v>13638906.42</v>
      </c>
    </row>
    <row r="11" spans="1:7">
      <c r="A11" t="s">
        <v>1821</v>
      </c>
      <c r="B11" s="193">
        <v>45936</v>
      </c>
      <c r="C11" s="370">
        <v>6671.88</v>
      </c>
      <c r="D11" s="370">
        <v>6671.88</v>
      </c>
      <c r="E11" t="s">
        <v>2018</v>
      </c>
      <c r="F11" t="s">
        <v>1822</v>
      </c>
      <c r="G11" t="s">
        <v>1660</v>
      </c>
    </row>
    <row r="12" spans="1:7">
      <c r="B12" s="193"/>
      <c r="C12" s="432">
        <f>SUM(C11:C11)</f>
        <v>6671.88</v>
      </c>
      <c r="D12" s="432">
        <f>SUM(D11:D11)</f>
        <v>6671.88</v>
      </c>
    </row>
    <row r="13" spans="1:7">
      <c r="C13" s="1178">
        <f>+C4+C10+C12</f>
        <v>16519671.880000001</v>
      </c>
      <c r="D13" s="1178">
        <f>+D4+D10+D12</f>
        <v>13958578.300000001</v>
      </c>
    </row>
  </sheetData>
  <autoFilter ref="A1:G1" xr:uid="{8F833D8D-E3A2-49C0-BA28-FAE8897AAB0B}">
    <sortState xmlns:xlrd2="http://schemas.microsoft.com/office/spreadsheetml/2017/richdata2" ref="A2:G11">
      <sortCondition ref="G1"/>
    </sortState>
  </autoFilter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E998B-DE5D-4FD0-ADB0-67319F790B5A}">
  <dimension ref="A1:F91"/>
  <sheetViews>
    <sheetView showGridLines="0" topLeftCell="A44" zoomScaleNormal="100" workbookViewId="0">
      <selection activeCell="D22" sqref="D22"/>
    </sheetView>
  </sheetViews>
  <sheetFormatPr baseColWidth="10" defaultColWidth="8" defaultRowHeight="11.4"/>
  <cols>
    <col min="1" max="1" width="56.6640625" style="1409" customWidth="1"/>
    <col min="2" max="2" width="12.6640625" style="1409" customWidth="1"/>
    <col min="3" max="3" width="11.44140625" style="1409" hidden="1" customWidth="1"/>
    <col min="4" max="4" width="17.6640625" style="1409" customWidth="1"/>
    <col min="5" max="5" width="4.88671875" style="1409" customWidth="1"/>
    <col min="6" max="6" width="11.44140625" style="1409" customWidth="1"/>
    <col min="7" max="16384" width="8" style="1409"/>
  </cols>
  <sheetData>
    <row r="1" spans="1:6" s="1418" customFormat="1" ht="16.649999999999999" customHeight="1">
      <c r="A1" s="1984" t="s">
        <v>771</v>
      </c>
      <c r="B1" s="1984"/>
      <c r="C1" s="1984"/>
      <c r="D1" s="1984"/>
      <c r="E1" s="1984"/>
      <c r="F1" s="1984"/>
    </row>
    <row r="2" spans="1:6" s="1417" customFormat="1" ht="14.4" customHeight="1">
      <c r="A2" s="1985" t="s">
        <v>236</v>
      </c>
      <c r="B2" s="1985"/>
      <c r="C2" s="1985"/>
      <c r="D2" s="1985"/>
      <c r="E2" s="1985"/>
      <c r="F2" s="1985"/>
    </row>
    <row r="3" spans="1:6" s="1417" customFormat="1" ht="14.4" customHeight="1">
      <c r="A3" s="1985" t="s">
        <v>2019</v>
      </c>
      <c r="B3" s="1985"/>
      <c r="C3" s="1985"/>
      <c r="D3" s="1985"/>
      <c r="E3" s="1985"/>
      <c r="F3" s="1985"/>
    </row>
    <row r="4" spans="1:6" s="1417" customFormat="1" ht="14.4" customHeight="1">
      <c r="A4" s="1985" t="s">
        <v>724</v>
      </c>
      <c r="B4" s="1985"/>
      <c r="C4" s="1985"/>
      <c r="D4" s="1985"/>
      <c r="E4" s="1985"/>
      <c r="F4" s="1985"/>
    </row>
    <row r="5" spans="1:6" ht="13.35" customHeight="1"/>
    <row r="6" spans="1:6" s="1413" customFormat="1" ht="12.15" customHeight="1">
      <c r="A6" s="1986" t="s">
        <v>690</v>
      </c>
      <c r="B6" s="1986" t="s">
        <v>689</v>
      </c>
      <c r="C6" s="1986" t="s">
        <v>823</v>
      </c>
      <c r="D6" s="1986" t="s">
        <v>773</v>
      </c>
      <c r="E6" s="1987"/>
      <c r="F6" s="1987" t="s">
        <v>164</v>
      </c>
    </row>
    <row r="7" spans="1:6" ht="13.35" customHeight="1"/>
    <row r="8" spans="1:6" s="1413" customFormat="1" ht="12.15" customHeight="1">
      <c r="A8" s="1988" t="s">
        <v>889</v>
      </c>
      <c r="B8" s="1988"/>
      <c r="C8" s="1988"/>
      <c r="D8" s="1988"/>
      <c r="E8" s="1988"/>
      <c r="F8" s="1988"/>
    </row>
    <row r="9" spans="1:6" ht="10.95" customHeight="1">
      <c r="A9" s="1411" t="s">
        <v>301</v>
      </c>
      <c r="B9" s="1412">
        <v>45888</v>
      </c>
      <c r="C9" s="1412">
        <v>45891</v>
      </c>
      <c r="D9" s="1411" t="s">
        <v>1629</v>
      </c>
      <c r="E9" s="1411"/>
      <c r="F9" s="1410">
        <v>1427678.42</v>
      </c>
    </row>
    <row r="10" spans="1:6" ht="10.95" customHeight="1">
      <c r="A10" s="1415" t="s">
        <v>330</v>
      </c>
      <c r="B10" s="1416">
        <v>45938</v>
      </c>
      <c r="C10" s="1416">
        <v>45938</v>
      </c>
      <c r="D10" s="1415" t="s">
        <v>1926</v>
      </c>
      <c r="E10" s="1415"/>
      <c r="F10" s="1414">
        <v>136500</v>
      </c>
    </row>
    <row r="11" spans="1:6" ht="10.95" customHeight="1">
      <c r="A11" s="1415" t="s">
        <v>373</v>
      </c>
      <c r="B11" s="1416">
        <v>45939</v>
      </c>
      <c r="C11" s="1416">
        <v>46022</v>
      </c>
      <c r="D11" s="1415" t="s">
        <v>2020</v>
      </c>
      <c r="E11" s="1415"/>
      <c r="F11" s="1414">
        <v>104169.15</v>
      </c>
    </row>
    <row r="12" spans="1:6" ht="10.95" customHeight="1">
      <c r="A12" s="1989" t="s">
        <v>1829</v>
      </c>
      <c r="B12" s="1989"/>
      <c r="C12" s="1989"/>
      <c r="D12" s="1989"/>
      <c r="E12" s="1989"/>
      <c r="F12" s="1990">
        <f>SUM(F9:F11)</f>
        <v>1668347.5699999998</v>
      </c>
    </row>
    <row r="13" spans="1:6" ht="13.35" customHeight="1"/>
    <row r="14" spans="1:6" s="1413" customFormat="1" ht="12.15" customHeight="1">
      <c r="A14" s="1988" t="s">
        <v>1030</v>
      </c>
      <c r="B14" s="1988"/>
      <c r="C14" s="1988"/>
      <c r="D14" s="1988"/>
      <c r="E14" s="1988"/>
      <c r="F14" s="1988"/>
    </row>
    <row r="15" spans="1:6" ht="10.95" customHeight="1">
      <c r="A15" s="1411" t="s">
        <v>317</v>
      </c>
      <c r="B15" s="1412">
        <v>45873</v>
      </c>
      <c r="C15" s="1412">
        <v>45903</v>
      </c>
      <c r="D15" s="1411" t="s">
        <v>1633</v>
      </c>
      <c r="E15" s="1411"/>
      <c r="F15" s="1410">
        <v>469430.56</v>
      </c>
    </row>
    <row r="16" spans="1:6" ht="10.95" customHeight="1">
      <c r="A16" s="1415" t="s">
        <v>1111</v>
      </c>
      <c r="B16" s="1416">
        <v>45881</v>
      </c>
      <c r="C16" s="1416">
        <v>45881</v>
      </c>
      <c r="D16" s="1415" t="s">
        <v>1634</v>
      </c>
      <c r="E16" s="1415"/>
      <c r="F16" s="1414">
        <v>275627.24</v>
      </c>
    </row>
    <row r="17" spans="1:6" ht="10.95" customHeight="1">
      <c r="A17" s="1415" t="s">
        <v>317</v>
      </c>
      <c r="B17" s="1416">
        <v>45908</v>
      </c>
      <c r="C17" s="1416">
        <v>45938</v>
      </c>
      <c r="D17" s="1415" t="s">
        <v>1830</v>
      </c>
      <c r="E17" s="1415"/>
      <c r="F17" s="1414">
        <v>342033.18</v>
      </c>
    </row>
    <row r="18" spans="1:6" ht="10.95" customHeight="1">
      <c r="A18" s="1989" t="s">
        <v>1831</v>
      </c>
      <c r="B18" s="1989"/>
      <c r="C18" s="1989"/>
      <c r="D18" s="1989"/>
      <c r="E18" s="1989"/>
      <c r="F18" s="1990">
        <f>SUM(F15:F17)</f>
        <v>1087090.98</v>
      </c>
    </row>
    <row r="19" spans="1:6" ht="13.35" customHeight="1"/>
    <row r="20" spans="1:6" s="1413" customFormat="1" ht="12.15" customHeight="1">
      <c r="A20" s="1988" t="s">
        <v>1036</v>
      </c>
      <c r="B20" s="1988"/>
      <c r="C20" s="1988"/>
      <c r="D20" s="1988"/>
      <c r="E20" s="1988"/>
      <c r="F20" s="1988"/>
    </row>
    <row r="21" spans="1:6" ht="10.95" customHeight="1">
      <c r="A21" s="1411" t="s">
        <v>715</v>
      </c>
      <c r="B21" s="1412">
        <v>45918</v>
      </c>
      <c r="C21" s="1412">
        <v>45930</v>
      </c>
      <c r="D21" s="1411" t="s">
        <v>1832</v>
      </c>
      <c r="E21" s="1411"/>
      <c r="F21" s="1410">
        <v>500000</v>
      </c>
    </row>
    <row r="22" spans="1:6" ht="10.95" customHeight="1">
      <c r="A22" s="1415" t="s">
        <v>715</v>
      </c>
      <c r="B22" s="1416">
        <v>45940</v>
      </c>
      <c r="C22" s="1416">
        <v>45940</v>
      </c>
      <c r="D22" s="1415" t="s">
        <v>1930</v>
      </c>
      <c r="E22" s="1415"/>
      <c r="F22" s="1414">
        <v>2360000</v>
      </c>
    </row>
    <row r="23" spans="1:6" ht="10.95" customHeight="1">
      <c r="A23" s="1989" t="s">
        <v>1833</v>
      </c>
      <c r="B23" s="1989"/>
      <c r="C23" s="1989"/>
      <c r="D23" s="1989"/>
      <c r="E23" s="1989"/>
      <c r="F23" s="1990">
        <f>SUM(F21:F22)</f>
        <v>2860000</v>
      </c>
    </row>
    <row r="24" spans="1:6" ht="13.35" customHeight="1"/>
    <row r="25" spans="1:6" s="1413" customFormat="1" ht="12.15" customHeight="1">
      <c r="A25" s="1988" t="s">
        <v>1308</v>
      </c>
      <c r="B25" s="1988"/>
      <c r="C25" s="1988"/>
      <c r="D25" s="1988"/>
      <c r="E25" s="1988"/>
      <c r="F25" s="1988"/>
    </row>
    <row r="26" spans="1:6" ht="10.95" customHeight="1">
      <c r="A26" s="1411" t="s">
        <v>1045</v>
      </c>
      <c r="B26" s="1412">
        <v>45930</v>
      </c>
      <c r="C26" s="1412">
        <v>45960</v>
      </c>
      <c r="D26" s="1411" t="s">
        <v>1834</v>
      </c>
      <c r="E26" s="1411"/>
      <c r="F26" s="1410">
        <v>90246.399999999994</v>
      </c>
    </row>
    <row r="27" spans="1:6" ht="10.95" customHeight="1">
      <c r="A27" s="1415" t="s">
        <v>1045</v>
      </c>
      <c r="B27" s="1416">
        <v>45961</v>
      </c>
      <c r="C27" s="1416">
        <v>45991</v>
      </c>
      <c r="D27" s="1415" t="s">
        <v>2021</v>
      </c>
      <c r="E27" s="1415"/>
      <c r="F27" s="1414">
        <v>92700.800000000003</v>
      </c>
    </row>
    <row r="28" spans="1:6" ht="10.95" customHeight="1">
      <c r="A28" s="1989" t="s">
        <v>1835</v>
      </c>
      <c r="B28" s="1989"/>
      <c r="C28" s="1989"/>
      <c r="D28" s="1989"/>
      <c r="E28" s="1989"/>
      <c r="F28" s="1990">
        <f>SUM(F26:F27)</f>
        <v>182947.20000000001</v>
      </c>
    </row>
    <row r="29" spans="1:6" ht="13.35" customHeight="1"/>
    <row r="30" spans="1:6" s="1413" customFormat="1" ht="12.15" customHeight="1">
      <c r="A30" s="1988" t="s">
        <v>2022</v>
      </c>
      <c r="B30" s="1988"/>
      <c r="C30" s="1988"/>
      <c r="D30" s="1988"/>
      <c r="E30" s="1988"/>
      <c r="F30" s="1988"/>
    </row>
    <row r="31" spans="1:6" ht="10.95" customHeight="1">
      <c r="A31" s="1411" t="s">
        <v>2023</v>
      </c>
      <c r="B31" s="1412">
        <v>45951</v>
      </c>
      <c r="C31" s="1412">
        <v>45951</v>
      </c>
      <c r="D31" s="1411" t="s">
        <v>873</v>
      </c>
      <c r="E31" s="1411"/>
      <c r="F31" s="1410">
        <v>506964.3</v>
      </c>
    </row>
    <row r="32" spans="1:6" ht="10.95" customHeight="1">
      <c r="A32" s="1415" t="s">
        <v>2023</v>
      </c>
      <c r="B32" s="1416">
        <v>45951</v>
      </c>
      <c r="C32" s="1416">
        <v>45951</v>
      </c>
      <c r="D32" s="1415" t="s">
        <v>1926</v>
      </c>
      <c r="E32" s="1415"/>
      <c r="F32" s="1414">
        <v>77333.539999999994</v>
      </c>
    </row>
    <row r="33" spans="1:6" ht="10.95" customHeight="1">
      <c r="A33" s="1989" t="s">
        <v>2024</v>
      </c>
      <c r="B33" s="1989"/>
      <c r="C33" s="1989"/>
      <c r="D33" s="1989"/>
      <c r="E33" s="1989"/>
      <c r="F33" s="1990">
        <f>SUM(F31:F32)</f>
        <v>584297.84</v>
      </c>
    </row>
    <row r="34" spans="1:6" ht="13.35" customHeight="1"/>
    <row r="35" spans="1:6" s="1413" customFormat="1" ht="12.15" customHeight="1">
      <c r="A35" s="1988" t="s">
        <v>1836</v>
      </c>
      <c r="B35" s="1988"/>
      <c r="C35" s="1988"/>
      <c r="D35" s="1988"/>
      <c r="E35" s="1988"/>
      <c r="F35" s="1988"/>
    </row>
    <row r="36" spans="1:6" ht="10.95" customHeight="1">
      <c r="A36" s="1411" t="s">
        <v>295</v>
      </c>
      <c r="B36" s="1412">
        <v>45937</v>
      </c>
      <c r="C36" s="1412">
        <v>45944</v>
      </c>
      <c r="D36" s="1411" t="s">
        <v>1935</v>
      </c>
      <c r="E36" s="1411"/>
      <c r="F36" s="1410">
        <v>1770000</v>
      </c>
    </row>
    <row r="37" spans="1:6" ht="10.95" customHeight="1">
      <c r="A37" s="1989" t="s">
        <v>1838</v>
      </c>
      <c r="B37" s="1989"/>
      <c r="C37" s="1989"/>
      <c r="D37" s="1989"/>
      <c r="E37" s="1989"/>
      <c r="F37" s="1990">
        <f>F36</f>
        <v>1770000</v>
      </c>
    </row>
    <row r="38" spans="1:6" ht="13.35" customHeight="1"/>
    <row r="39" spans="1:6" s="1413" customFormat="1" ht="12.15" customHeight="1">
      <c r="A39" s="1988" t="s">
        <v>1475</v>
      </c>
      <c r="B39" s="1988"/>
      <c r="C39" s="1988"/>
      <c r="D39" s="1988"/>
      <c r="E39" s="1988"/>
      <c r="F39" s="1988"/>
    </row>
    <row r="40" spans="1:6" ht="10.95" customHeight="1">
      <c r="A40" s="1411" t="s">
        <v>914</v>
      </c>
      <c r="B40" s="1412">
        <v>45910</v>
      </c>
      <c r="C40" s="1412">
        <v>45925</v>
      </c>
      <c r="D40" s="1411" t="s">
        <v>1840</v>
      </c>
      <c r="E40" s="1411"/>
      <c r="F40" s="1410">
        <v>2032347.81</v>
      </c>
    </row>
    <row r="41" spans="1:6" ht="10.95" customHeight="1">
      <c r="A41" s="1415" t="s">
        <v>1569</v>
      </c>
      <c r="B41" s="1416">
        <v>45933</v>
      </c>
      <c r="C41" s="1416">
        <v>45947</v>
      </c>
      <c r="D41" s="1415" t="s">
        <v>1938</v>
      </c>
      <c r="E41" s="1415"/>
      <c r="F41" s="1414">
        <v>6641071.5300000003</v>
      </c>
    </row>
    <row r="42" spans="1:6" ht="10.95" customHeight="1">
      <c r="A42" s="1415" t="s">
        <v>389</v>
      </c>
      <c r="B42" s="1416">
        <v>45943</v>
      </c>
      <c r="C42" s="1416">
        <v>45956</v>
      </c>
      <c r="D42" s="1415" t="s">
        <v>1940</v>
      </c>
      <c r="E42" s="1415"/>
      <c r="F42" s="1414">
        <v>480332.16</v>
      </c>
    </row>
    <row r="43" spans="1:6" ht="10.95" customHeight="1">
      <c r="A43" s="1415" t="s">
        <v>1569</v>
      </c>
      <c r="B43" s="1416">
        <v>45943</v>
      </c>
      <c r="C43" s="1416">
        <v>45957</v>
      </c>
      <c r="D43" s="1415" t="s">
        <v>1942</v>
      </c>
      <c r="E43" s="1415"/>
      <c r="F43" s="1414">
        <v>3552763.7</v>
      </c>
    </row>
    <row r="44" spans="1:6" ht="10.95" customHeight="1">
      <c r="A44" s="1989" t="s">
        <v>1841</v>
      </c>
      <c r="B44" s="1989"/>
      <c r="C44" s="1989"/>
      <c r="D44" s="1989"/>
      <c r="E44" s="1989"/>
      <c r="F44" s="1990">
        <f>SUM(F40:F43)</f>
        <v>12706515.199999999</v>
      </c>
    </row>
    <row r="45" spans="1:6" ht="13.35" customHeight="1"/>
    <row r="46" spans="1:6" s="1413" customFormat="1" ht="12.15" customHeight="1">
      <c r="A46" s="1988" t="s">
        <v>1842</v>
      </c>
      <c r="B46" s="1988"/>
      <c r="C46" s="1988"/>
      <c r="D46" s="1988"/>
      <c r="E46" s="1988"/>
      <c r="F46" s="1988"/>
    </row>
    <row r="47" spans="1:6" ht="10.95" customHeight="1">
      <c r="A47" s="1411" t="s">
        <v>389</v>
      </c>
      <c r="B47" s="1412">
        <v>45937</v>
      </c>
      <c r="C47" s="1412">
        <v>45944</v>
      </c>
      <c r="D47" s="1411" t="s">
        <v>1945</v>
      </c>
      <c r="E47" s="1411"/>
      <c r="F47" s="1410">
        <v>767000</v>
      </c>
    </row>
    <row r="48" spans="1:6" ht="10.95" customHeight="1">
      <c r="A48" s="1989" t="s">
        <v>1844</v>
      </c>
      <c r="B48" s="1989"/>
      <c r="C48" s="1989"/>
      <c r="D48" s="1989"/>
      <c r="E48" s="1989"/>
      <c r="F48" s="1990">
        <f>F47</f>
        <v>767000</v>
      </c>
    </row>
    <row r="50" spans="1:6" s="1413" customFormat="1" ht="12.15" customHeight="1">
      <c r="A50" s="1988" t="s">
        <v>1314</v>
      </c>
      <c r="B50" s="1988"/>
      <c r="C50" s="1988"/>
      <c r="D50" s="1988"/>
      <c r="E50" s="1988"/>
      <c r="F50" s="1988"/>
    </row>
    <row r="51" spans="1:6" ht="10.95" customHeight="1">
      <c r="A51" s="1411" t="s">
        <v>778</v>
      </c>
      <c r="B51" s="1412">
        <v>45937</v>
      </c>
      <c r="C51" s="1412">
        <v>45944</v>
      </c>
      <c r="D51" s="1411" t="s">
        <v>1948</v>
      </c>
      <c r="E51" s="1411"/>
      <c r="F51" s="1410">
        <v>1132936.8999999999</v>
      </c>
    </row>
    <row r="52" spans="1:6" ht="10.95" customHeight="1">
      <c r="A52" s="1989" t="s">
        <v>1846</v>
      </c>
      <c r="B52" s="1989"/>
      <c r="C52" s="1989"/>
      <c r="D52" s="1989"/>
      <c r="E52" s="1989"/>
      <c r="F52" s="1990">
        <f>F51</f>
        <v>1132936.8999999999</v>
      </c>
    </row>
    <row r="53" spans="1:6" ht="13.35" customHeight="1"/>
    <row r="54" spans="1:6" s="1413" customFormat="1" ht="12.15" customHeight="1">
      <c r="A54" s="1988" t="s">
        <v>1847</v>
      </c>
      <c r="B54" s="1988"/>
      <c r="C54" s="1988"/>
      <c r="D54" s="1988"/>
      <c r="E54" s="1988"/>
      <c r="F54" s="1988"/>
    </row>
    <row r="55" spans="1:6" ht="10.95" customHeight="1">
      <c r="A55" s="1411" t="s">
        <v>1043</v>
      </c>
      <c r="B55" s="1412">
        <v>45916</v>
      </c>
      <c r="C55" s="1412">
        <v>45930</v>
      </c>
      <c r="D55" s="1411" t="s">
        <v>1848</v>
      </c>
      <c r="E55" s="1411"/>
      <c r="F55" s="1410">
        <v>15244.27</v>
      </c>
    </row>
    <row r="56" spans="1:6" ht="10.95" customHeight="1">
      <c r="A56" s="1415" t="s">
        <v>1045</v>
      </c>
      <c r="B56" s="1416">
        <v>45930</v>
      </c>
      <c r="C56" s="1416">
        <v>45960</v>
      </c>
      <c r="D56" s="1415" t="s">
        <v>1849</v>
      </c>
      <c r="E56" s="1415"/>
      <c r="F56" s="1414">
        <v>67968</v>
      </c>
    </row>
    <row r="57" spans="1:6" ht="10.95" customHeight="1">
      <c r="A57" s="1415" t="s">
        <v>1043</v>
      </c>
      <c r="B57" s="1416">
        <v>45950</v>
      </c>
      <c r="C57" s="1416">
        <v>45961</v>
      </c>
      <c r="D57" s="1415" t="s">
        <v>2025</v>
      </c>
      <c r="E57" s="1415"/>
      <c r="F57" s="1414">
        <v>15603.33</v>
      </c>
    </row>
    <row r="58" spans="1:6" ht="10.95" customHeight="1">
      <c r="A58" s="1415" t="s">
        <v>1045</v>
      </c>
      <c r="B58" s="1416">
        <v>45961</v>
      </c>
      <c r="C58" s="1416">
        <v>45991</v>
      </c>
      <c r="D58" s="1415" t="s">
        <v>2026</v>
      </c>
      <c r="E58" s="1415"/>
      <c r="F58" s="1414">
        <v>70233.600000000006</v>
      </c>
    </row>
    <row r="59" spans="1:6" ht="10.95" customHeight="1">
      <c r="A59" s="1989" t="s">
        <v>1850</v>
      </c>
      <c r="B59" s="1989"/>
      <c r="C59" s="1989"/>
      <c r="D59" s="1989"/>
      <c r="E59" s="1989"/>
      <c r="F59" s="1990">
        <f>SUM(F55:F58)</f>
        <v>169049.2</v>
      </c>
    </row>
    <row r="60" spans="1:6" ht="13.35" customHeight="1"/>
    <row r="61" spans="1:6" s="1413" customFormat="1" ht="12.15" customHeight="1">
      <c r="A61" s="1988" t="s">
        <v>2027</v>
      </c>
      <c r="B61" s="1988"/>
      <c r="C61" s="1988"/>
      <c r="D61" s="1988"/>
      <c r="E61" s="1988"/>
      <c r="F61" s="1988"/>
    </row>
    <row r="62" spans="1:6" ht="10.95" customHeight="1">
      <c r="A62" s="1411" t="s">
        <v>1254</v>
      </c>
      <c r="B62" s="1412">
        <v>45841</v>
      </c>
      <c r="C62" s="1412">
        <v>45849</v>
      </c>
      <c r="D62" s="1411" t="s">
        <v>1477</v>
      </c>
      <c r="E62" s="1411"/>
      <c r="F62" s="1410">
        <v>11000</v>
      </c>
    </row>
    <row r="63" spans="1:6" ht="10.95" customHeight="1">
      <c r="A63" s="1415" t="s">
        <v>1367</v>
      </c>
      <c r="B63" s="1416">
        <v>45875</v>
      </c>
      <c r="C63" s="1416">
        <v>45889</v>
      </c>
      <c r="D63" s="1415" t="s">
        <v>1654</v>
      </c>
      <c r="E63" s="1415"/>
      <c r="F63" s="1414">
        <v>470840</v>
      </c>
    </row>
    <row r="64" spans="1:6" ht="10.95" customHeight="1">
      <c r="A64" s="1989" t="s">
        <v>2028</v>
      </c>
      <c r="B64" s="1989"/>
      <c r="C64" s="1989"/>
      <c r="D64" s="1989"/>
      <c r="E64" s="1989"/>
      <c r="F64" s="1990">
        <f>SUM(F62:F63)</f>
        <v>481840</v>
      </c>
    </row>
    <row r="66" spans="1:6" s="1413" customFormat="1" ht="12.15" customHeight="1">
      <c r="A66" s="1988" t="s">
        <v>2029</v>
      </c>
      <c r="B66" s="1988"/>
      <c r="C66" s="1988"/>
      <c r="D66" s="1988"/>
      <c r="E66" s="1988"/>
      <c r="F66" s="1988"/>
    </row>
    <row r="67" spans="1:6" ht="10.95" customHeight="1">
      <c r="A67" s="1411" t="s">
        <v>1855</v>
      </c>
      <c r="B67" s="1412">
        <v>45932</v>
      </c>
      <c r="C67" s="1412">
        <v>45963</v>
      </c>
      <c r="D67" s="1411" t="s">
        <v>1953</v>
      </c>
      <c r="E67" s="1411"/>
      <c r="F67" s="1410">
        <v>94400</v>
      </c>
    </row>
    <row r="68" spans="1:6" ht="10.95" customHeight="1">
      <c r="A68" s="1415" t="s">
        <v>1631</v>
      </c>
      <c r="B68" s="1416">
        <v>45945</v>
      </c>
      <c r="C68" s="1416">
        <v>45960</v>
      </c>
      <c r="D68" s="1415" t="s">
        <v>1955</v>
      </c>
      <c r="E68" s="1415"/>
      <c r="F68" s="1414">
        <v>73986</v>
      </c>
    </row>
    <row r="69" spans="1:6" ht="10.95" customHeight="1">
      <c r="A69" s="1989" t="s">
        <v>2030</v>
      </c>
      <c r="B69" s="1989"/>
      <c r="C69" s="1989"/>
      <c r="D69" s="1989"/>
      <c r="E69" s="1989"/>
      <c r="F69" s="1990">
        <f>SUM(F67:F68)</f>
        <v>168386</v>
      </c>
    </row>
    <row r="70" spans="1:6" ht="13.35" customHeight="1"/>
    <row r="71" spans="1:6" s="1413" customFormat="1" ht="12.15" customHeight="1">
      <c r="A71" s="1988" t="s">
        <v>2031</v>
      </c>
      <c r="B71" s="1988"/>
      <c r="C71" s="1988"/>
      <c r="D71" s="1988"/>
      <c r="E71" s="1988"/>
      <c r="F71" s="1988"/>
    </row>
    <row r="72" spans="1:6" ht="10.95" customHeight="1">
      <c r="A72" s="1411" t="s">
        <v>756</v>
      </c>
      <c r="B72" s="1412">
        <v>45925</v>
      </c>
      <c r="C72" s="1412">
        <v>45955</v>
      </c>
      <c r="D72" s="1411" t="s">
        <v>1859</v>
      </c>
      <c r="E72" s="1411"/>
      <c r="F72" s="1410">
        <v>88264</v>
      </c>
    </row>
    <row r="73" spans="1:6" ht="10.95" customHeight="1">
      <c r="A73" s="1989" t="s">
        <v>2032</v>
      </c>
      <c r="B73" s="1989"/>
      <c r="C73" s="1989"/>
      <c r="D73" s="1989"/>
      <c r="E73" s="1989"/>
      <c r="F73" s="1990">
        <f>F72</f>
        <v>88264</v>
      </c>
    </row>
    <row r="74" spans="1:6" ht="13.35" customHeight="1"/>
    <row r="75" spans="1:6" s="1413" customFormat="1" ht="12.15" customHeight="1">
      <c r="A75" s="1988" t="s">
        <v>2033</v>
      </c>
      <c r="B75" s="1988"/>
      <c r="C75" s="1988"/>
      <c r="D75" s="1988"/>
      <c r="E75" s="1988"/>
      <c r="F75" s="1988"/>
    </row>
    <row r="76" spans="1:6" ht="10.95" customHeight="1">
      <c r="A76" s="1411" t="s">
        <v>1207</v>
      </c>
      <c r="B76" s="1412">
        <v>45869</v>
      </c>
      <c r="C76" s="1412">
        <v>45898</v>
      </c>
      <c r="D76" s="1411" t="s">
        <v>1482</v>
      </c>
      <c r="E76" s="1411"/>
      <c r="F76" s="1410">
        <v>44132</v>
      </c>
    </row>
    <row r="77" spans="1:6" ht="10.95" customHeight="1">
      <c r="A77" s="1415" t="s">
        <v>389</v>
      </c>
      <c r="B77" s="1416">
        <v>45937</v>
      </c>
      <c r="C77" s="1416">
        <v>45944</v>
      </c>
      <c r="D77" s="1415" t="s">
        <v>2034</v>
      </c>
      <c r="E77" s="1415"/>
      <c r="F77" s="1414">
        <v>130695.02</v>
      </c>
    </row>
    <row r="78" spans="1:6" ht="10.95" customHeight="1">
      <c r="A78" s="1415" t="s">
        <v>2035</v>
      </c>
      <c r="B78" s="1416">
        <v>45959</v>
      </c>
      <c r="C78" s="1416">
        <v>45960</v>
      </c>
      <c r="D78" s="1415" t="s">
        <v>2036</v>
      </c>
      <c r="E78" s="1415"/>
      <c r="F78" s="1414">
        <v>32957.4</v>
      </c>
    </row>
    <row r="79" spans="1:6" ht="10.95" customHeight="1">
      <c r="A79" s="1989" t="s">
        <v>2037</v>
      </c>
      <c r="B79" s="1989"/>
      <c r="C79" s="1989"/>
      <c r="D79" s="1989"/>
      <c r="E79" s="1989"/>
      <c r="F79" s="1990">
        <f>SUM(F76:F78)</f>
        <v>207784.42</v>
      </c>
    </row>
    <row r="81" spans="1:6" s="1413" customFormat="1" ht="12.15" customHeight="1">
      <c r="A81" s="1988" t="s">
        <v>2038</v>
      </c>
      <c r="B81" s="1988"/>
      <c r="C81" s="1988"/>
      <c r="D81" s="1988"/>
      <c r="E81" s="1988"/>
      <c r="F81" s="1988"/>
    </row>
    <row r="82" spans="1:6" ht="10.95" customHeight="1">
      <c r="A82" s="1411" t="s">
        <v>389</v>
      </c>
      <c r="B82" s="1412">
        <v>45937</v>
      </c>
      <c r="C82" s="1412">
        <v>45944</v>
      </c>
      <c r="D82" s="1411" t="s">
        <v>1973</v>
      </c>
      <c r="E82" s="1411"/>
      <c r="F82" s="1410">
        <v>148184.4</v>
      </c>
    </row>
    <row r="83" spans="1:6" ht="10.95" customHeight="1">
      <c r="A83" s="1989" t="s">
        <v>2039</v>
      </c>
      <c r="B83" s="1989"/>
      <c r="C83" s="1989"/>
      <c r="D83" s="1989"/>
      <c r="E83" s="1989"/>
      <c r="F83" s="1990">
        <f>F82</f>
        <v>148184.4</v>
      </c>
    </row>
    <row r="84" spans="1:6" ht="13.35" customHeight="1"/>
    <row r="85" spans="1:6" ht="10.95" customHeight="1">
      <c r="A85" s="1991" t="s">
        <v>164</v>
      </c>
      <c r="B85" s="1991"/>
      <c r="C85" s="1991"/>
      <c r="D85" s="1991"/>
      <c r="E85" s="1991"/>
      <c r="F85" s="1992">
        <f>SUM(F12,F18,F23,F28,F33,F37,F44,F48,F52,F59,F64,F69,F73,F79,F83)</f>
        <v>24022643.709999997</v>
      </c>
    </row>
    <row r="86" spans="1:6" ht="13.35" customHeight="1"/>
    <row r="88" spans="1:6" ht="12">
      <c r="A88" s="1419" t="s">
        <v>740</v>
      </c>
      <c r="B88" s="1420">
        <v>45947</v>
      </c>
      <c r="C88" s="1420">
        <v>45947</v>
      </c>
      <c r="D88" s="1419" t="s">
        <v>2040</v>
      </c>
      <c r="E88" s="1419" t="s">
        <v>641</v>
      </c>
      <c r="F88" s="1421">
        <v>-15864.99</v>
      </c>
    </row>
    <row r="91" spans="1:6">
      <c r="F91" s="1422">
        <f>+F85+F88</f>
        <v>24006778.719999999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82099-D3D3-4F28-A4BC-C59584D8D978}">
  <dimension ref="A2:G17"/>
  <sheetViews>
    <sheetView showGridLines="0" zoomScaleNormal="100" workbookViewId="0">
      <selection activeCell="D22" sqref="D22"/>
    </sheetView>
  </sheetViews>
  <sheetFormatPr baseColWidth="10" defaultColWidth="8" defaultRowHeight="13.2"/>
  <cols>
    <col min="1" max="1" width="24.5546875" style="1444" customWidth="1"/>
    <col min="2" max="7" width="12.6640625" style="1444" customWidth="1"/>
    <col min="8" max="16384" width="8" style="1440"/>
  </cols>
  <sheetData>
    <row r="2" spans="1:7" s="1439" customFormat="1" ht="14.4" customHeight="1">
      <c r="A2" s="2167" t="s">
        <v>236</v>
      </c>
      <c r="B2" s="2167"/>
      <c r="C2" s="2167"/>
      <c r="D2" s="2167"/>
      <c r="E2" s="2167"/>
      <c r="F2" s="2167"/>
      <c r="G2" s="2167"/>
    </row>
    <row r="3" spans="1:7" s="1439" customFormat="1" ht="14.4" customHeight="1">
      <c r="A3" s="2167" t="s">
        <v>2041</v>
      </c>
      <c r="B3" s="2167"/>
      <c r="C3" s="2167"/>
      <c r="D3" s="2167"/>
      <c r="E3" s="2167"/>
      <c r="F3" s="2167"/>
      <c r="G3" s="2167"/>
    </row>
    <row r="4" spans="1:7" ht="13.35" customHeight="1" thickBot="1">
      <c r="A4" s="1518"/>
      <c r="B4" s="1518"/>
      <c r="C4" s="1518"/>
      <c r="D4" s="1518"/>
      <c r="E4" s="1518"/>
      <c r="F4" s="1518"/>
      <c r="G4" s="1518"/>
    </row>
    <row r="5" spans="1:7" s="1444" customFormat="1" ht="12.15" customHeight="1">
      <c r="A5" s="1514" t="s">
        <v>695</v>
      </c>
      <c r="B5" s="1515" t="s">
        <v>861</v>
      </c>
      <c r="C5" s="1515" t="s">
        <v>824</v>
      </c>
      <c r="D5" s="1515" t="s">
        <v>825</v>
      </c>
      <c r="E5" s="1515" t="s">
        <v>826</v>
      </c>
      <c r="F5" s="1515" t="s">
        <v>827</v>
      </c>
      <c r="G5" s="1516" t="s">
        <v>164</v>
      </c>
    </row>
    <row r="6" spans="1:7" s="1517" customFormat="1" ht="15" customHeight="1">
      <c r="A6" s="1519" t="s">
        <v>1490</v>
      </c>
      <c r="B6" s="1520">
        <v>104169.15</v>
      </c>
      <c r="C6" s="1520">
        <v>127050</v>
      </c>
      <c r="D6" s="1520">
        <v>0</v>
      </c>
      <c r="E6" s="1520">
        <v>1427678.42</v>
      </c>
      <c r="F6" s="1520">
        <v>0</v>
      </c>
      <c r="G6" s="1521">
        <v>1658897.57</v>
      </c>
    </row>
    <row r="7" spans="1:7" s="1517" customFormat="1" ht="15" customHeight="1">
      <c r="A7" s="1522" t="s">
        <v>1024</v>
      </c>
      <c r="B7" s="1523">
        <v>102302.41</v>
      </c>
      <c r="C7" s="1523">
        <v>441602.25</v>
      </c>
      <c r="D7" s="1523">
        <v>469430.56</v>
      </c>
      <c r="E7" s="1523">
        <v>275627.24</v>
      </c>
      <c r="F7" s="1523">
        <v>0</v>
      </c>
      <c r="G7" s="1524">
        <v>1288962.46</v>
      </c>
    </row>
    <row r="8" spans="1:7" s="1517" customFormat="1" ht="15" customHeight="1">
      <c r="A8" s="1522" t="s">
        <v>952</v>
      </c>
      <c r="B8" s="1523">
        <v>0</v>
      </c>
      <c r="C8" s="1523">
        <v>2360000</v>
      </c>
      <c r="D8" s="1523">
        <v>500000</v>
      </c>
      <c r="E8" s="1523">
        <v>0</v>
      </c>
      <c r="F8" s="1523">
        <v>0</v>
      </c>
      <c r="G8" s="1524">
        <v>2860000</v>
      </c>
    </row>
    <row r="9" spans="1:7" s="1517" customFormat="1" ht="15" customHeight="1">
      <c r="A9" s="1522" t="s">
        <v>1797</v>
      </c>
      <c r="B9" s="1523">
        <v>92700.800000000003</v>
      </c>
      <c r="C9" s="1523">
        <v>90246.399999999994</v>
      </c>
      <c r="D9" s="1523">
        <v>0</v>
      </c>
      <c r="E9" s="1523">
        <v>0</v>
      </c>
      <c r="F9" s="1523">
        <v>0</v>
      </c>
      <c r="G9" s="1524">
        <v>182947.20000000001</v>
      </c>
    </row>
    <row r="10" spans="1:7" s="1517" customFormat="1" ht="15" customHeight="1">
      <c r="A10" s="1522" t="s">
        <v>2042</v>
      </c>
      <c r="B10" s="1523">
        <v>0</v>
      </c>
      <c r="C10" s="1523">
        <v>561097.78</v>
      </c>
      <c r="D10" s="1523">
        <v>0</v>
      </c>
      <c r="E10" s="1523">
        <v>0</v>
      </c>
      <c r="F10" s="1523">
        <v>0</v>
      </c>
      <c r="G10" s="1524">
        <v>561097.78</v>
      </c>
    </row>
    <row r="11" spans="1:7" s="1517" customFormat="1" ht="15" customHeight="1">
      <c r="A11" s="1522" t="s">
        <v>1807</v>
      </c>
      <c r="B11" s="1523">
        <v>0</v>
      </c>
      <c r="C11" s="1523">
        <v>1770000</v>
      </c>
      <c r="D11" s="1523">
        <v>0</v>
      </c>
      <c r="E11" s="1523">
        <v>0</v>
      </c>
      <c r="F11" s="1523">
        <v>0</v>
      </c>
      <c r="G11" s="1524">
        <v>1770000</v>
      </c>
    </row>
    <row r="12" spans="1:7" s="1517" customFormat="1" ht="15" customHeight="1">
      <c r="A12" s="1522" t="s">
        <v>1808</v>
      </c>
      <c r="B12" s="1523">
        <v>70233.600000000006</v>
      </c>
      <c r="C12" s="1523">
        <v>12657675.619999999</v>
      </c>
      <c r="D12" s="1523">
        <v>2047592.08</v>
      </c>
      <c r="E12" s="1523">
        <v>0</v>
      </c>
      <c r="F12" s="1523">
        <v>0</v>
      </c>
      <c r="G12" s="1524">
        <v>14775501.300000001</v>
      </c>
    </row>
    <row r="13" spans="1:7" s="1517" customFormat="1" ht="15" customHeight="1">
      <c r="A13" s="1522" t="s">
        <v>854</v>
      </c>
      <c r="B13" s="1523">
        <v>94400</v>
      </c>
      <c r="C13" s="1523">
        <v>458181.3</v>
      </c>
      <c r="D13" s="1523">
        <v>0</v>
      </c>
      <c r="E13" s="1523">
        <v>514972</v>
      </c>
      <c r="F13" s="1523">
        <v>11000</v>
      </c>
      <c r="G13" s="1524">
        <v>1078553.3</v>
      </c>
    </row>
    <row r="14" spans="1:7" s="1517" customFormat="1" ht="5.4" customHeight="1">
      <c r="A14" s="1525"/>
      <c r="B14" s="1526"/>
      <c r="C14" s="1526"/>
      <c r="D14" s="1526"/>
      <c r="E14" s="1526"/>
      <c r="F14" s="1526"/>
      <c r="G14" s="1527"/>
    </row>
    <row r="15" spans="1:7" s="1517" customFormat="1" ht="18" customHeight="1">
      <c r="A15" s="1528" t="s">
        <v>164</v>
      </c>
      <c r="B15" s="1529">
        <f t="shared" ref="B15:G15" si="0">SUM(B6:B13)</f>
        <v>463805.95999999996</v>
      </c>
      <c r="C15" s="1529">
        <f t="shared" si="0"/>
        <v>18465853.349999998</v>
      </c>
      <c r="D15" s="1529">
        <f t="shared" si="0"/>
        <v>3017022.64</v>
      </c>
      <c r="E15" s="1529">
        <f t="shared" si="0"/>
        <v>2218277.66</v>
      </c>
      <c r="F15" s="1529">
        <f t="shared" si="0"/>
        <v>11000</v>
      </c>
      <c r="G15" s="1530">
        <f t="shared" si="0"/>
        <v>24175959.610000003</v>
      </c>
    </row>
    <row r="17" spans="1:7" ht="17.399999999999999" customHeight="1" thickBot="1">
      <c r="A17" s="1531" t="s">
        <v>732</v>
      </c>
      <c r="B17" s="1532">
        <f>(SUM(B6:B13) / SUM(B6:F6,B7:F7,B8:F8,B9:F9,B10:F10,B11:F11,B12:F12,B13:F13))</f>
        <v>1.9184593599674699E-2</v>
      </c>
      <c r="C17" s="1532">
        <f>(SUM(C6:C13) / SUM(B6:F6,B7:F7,B8:F8,B9:F9,B10:F10,B11:F11,B12:F12,B13:F13))</f>
        <v>0.76381056420866522</v>
      </c>
      <c r="D17" s="1532">
        <f>(SUM(D6:D13) / SUM(B6:F6,B7:F7,B8:F8,B9:F9,B10:F10,B11:F11,B12:F12,B13:F13))</f>
        <v>0.12479432827775148</v>
      </c>
      <c r="E17" s="1532">
        <f>(SUM(E6:E13) / SUM(B6:F6,B7:F7,B8:F8,B9:F9,B10:F10,B11:F11,B12:F12,B13:F13))</f>
        <v>9.1755516462827202E-2</v>
      </c>
      <c r="F17" s="1532">
        <f>(SUM(F6:F13) / SUM(B6:F6,B7:F7,B8:F8,B9:F9,B10:F10,B11:F11,B12:F12,B13:F13))</f>
        <v>4.5499745108152923E-4</v>
      </c>
      <c r="G17" s="1533">
        <f>(SUM(G6:G13) / SUM(G6:G13))</f>
        <v>1</v>
      </c>
    </row>
  </sheetData>
  <mergeCells count="2">
    <mergeCell ref="A2:G2"/>
    <mergeCell ref="A3:G3"/>
  </mergeCells>
  <pageMargins left="0.7" right="0.7" top="0.75" bottom="0.75" header="0.3" footer="0.3"/>
  <pageSetup paperSize="9" fitToWidth="0" fitToHeight="0" orientation="portrait" horizontalDpi="0" verticalDpi="0"/>
  <ignoredErrors>
    <ignoredError sqref="B17:F17" formulaRange="1"/>
  </ignoredError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EC62F-F0A5-4E14-A8D3-14918BF7DD8F}">
  <sheetPr>
    <pageSetUpPr fitToPage="1"/>
  </sheetPr>
  <dimension ref="A1:G38"/>
  <sheetViews>
    <sheetView showGridLines="0" topLeftCell="A4" zoomScaleNormal="100" workbookViewId="0">
      <selection activeCell="D22" sqref="D22"/>
    </sheetView>
  </sheetViews>
  <sheetFormatPr baseColWidth="10" defaultColWidth="8" defaultRowHeight="11.4"/>
  <cols>
    <col min="1" max="1" width="20.6640625" style="408" customWidth="1"/>
    <col min="2" max="2" width="22" style="408" customWidth="1"/>
    <col min="3" max="3" width="41.88671875" style="528" customWidth="1"/>
    <col min="4" max="4" width="14.5546875" style="408" customWidth="1"/>
    <col min="5" max="5" width="13.6640625" style="408" customWidth="1"/>
    <col min="6" max="7" width="9.33203125" style="408" bestFit="1" customWidth="1"/>
    <col min="8" max="16384" width="8" style="408"/>
  </cols>
  <sheetData>
    <row r="1" spans="1:6" s="405" customFormat="1" ht="17.399999999999999">
      <c r="A1" s="404" t="s">
        <v>1865</v>
      </c>
      <c r="B1" s="404"/>
      <c r="C1" s="526"/>
      <c r="D1" s="404"/>
      <c r="E1" s="404"/>
    </row>
    <row r="2" spans="1:6" s="407" customFormat="1" ht="15">
      <c r="A2" s="2151" t="s">
        <v>236</v>
      </c>
      <c r="B2" s="2151"/>
      <c r="C2" s="2151"/>
      <c r="D2" s="2152"/>
      <c r="E2" s="2151"/>
    </row>
    <row r="3" spans="1:6" s="407" customFormat="1" ht="15">
      <c r="A3" s="406" t="s">
        <v>1866</v>
      </c>
      <c r="B3" s="406"/>
      <c r="C3" s="527"/>
      <c r="D3" s="406"/>
      <c r="E3" s="406"/>
    </row>
    <row r="5" spans="1:6" s="412" customFormat="1" ht="13.2">
      <c r="A5" s="410" t="s">
        <v>1485</v>
      </c>
      <c r="B5" s="410" t="s">
        <v>1867</v>
      </c>
      <c r="C5" s="529" t="s">
        <v>817</v>
      </c>
      <c r="D5" s="410" t="s">
        <v>691</v>
      </c>
      <c r="E5" s="411" t="s">
        <v>1869</v>
      </c>
    </row>
    <row r="7" spans="1:6" s="412" customFormat="1" ht="13.2">
      <c r="A7" s="409" t="s">
        <v>1389</v>
      </c>
      <c r="B7" s="409"/>
      <c r="C7" s="530"/>
      <c r="D7" s="409"/>
      <c r="E7" s="409"/>
    </row>
    <row r="8" spans="1:6">
      <c r="A8" s="430">
        <v>45429</v>
      </c>
      <c r="B8" s="414" t="s">
        <v>1871</v>
      </c>
      <c r="C8" s="414" t="s">
        <v>1491</v>
      </c>
      <c r="D8" s="414" t="s">
        <v>738</v>
      </c>
      <c r="E8" s="415">
        <v>40000</v>
      </c>
    </row>
    <row r="9" spans="1:6">
      <c r="A9" s="430">
        <v>45860</v>
      </c>
      <c r="B9" s="414" t="s">
        <v>1871</v>
      </c>
      <c r="C9" s="414" t="s">
        <v>1872</v>
      </c>
      <c r="D9" s="414" t="s">
        <v>1873</v>
      </c>
      <c r="E9" s="1085">
        <v>70000</v>
      </c>
    </row>
    <row r="10" spans="1:6" ht="12">
      <c r="A10" s="416" t="s">
        <v>49</v>
      </c>
      <c r="B10" s="416"/>
      <c r="C10" s="532"/>
      <c r="D10" s="416"/>
      <c r="E10" s="417">
        <f>SUM(E8:E9)</f>
        <v>110000</v>
      </c>
    </row>
    <row r="12" spans="1:6" s="412" customFormat="1" ht="13.2">
      <c r="A12" s="1423" t="s">
        <v>1610</v>
      </c>
      <c r="B12" s="1423"/>
      <c r="C12" s="1424"/>
      <c r="D12" s="1423"/>
      <c r="E12" s="1423"/>
      <c r="F12" s="1425"/>
    </row>
    <row r="13" spans="1:6">
      <c r="A13" s="1426">
        <v>45900</v>
      </c>
      <c r="B13" s="1427" t="s">
        <v>1870</v>
      </c>
      <c r="C13" s="1427" t="s">
        <v>1875</v>
      </c>
      <c r="D13" s="1427" t="s">
        <v>1876</v>
      </c>
      <c r="E13" s="1428">
        <v>279018.3</v>
      </c>
      <c r="F13" s="1429" t="s">
        <v>1786</v>
      </c>
    </row>
    <row r="14" spans="1:6">
      <c r="A14" s="1430">
        <v>45900</v>
      </c>
      <c r="B14" s="1431" t="s">
        <v>1870</v>
      </c>
      <c r="C14" s="1431" t="s">
        <v>1875</v>
      </c>
      <c r="D14" s="1431" t="s">
        <v>1876</v>
      </c>
      <c r="E14" s="1432">
        <v>14458.61</v>
      </c>
      <c r="F14" s="1429" t="s">
        <v>1786</v>
      </c>
    </row>
    <row r="15" spans="1:6" ht="12">
      <c r="A15" s="1433" t="s">
        <v>1877</v>
      </c>
      <c r="B15" s="1433"/>
      <c r="C15" s="1433"/>
      <c r="D15" s="1433"/>
      <c r="E15" s="1434">
        <f t="shared" ref="E15" si="0">SUM(E13:E14)</f>
        <v>293476.90999999997</v>
      </c>
      <c r="F15" s="1429"/>
    </row>
    <row r="17" spans="1:7" ht="13.2">
      <c r="A17" s="1988" t="s">
        <v>2043</v>
      </c>
      <c r="B17" s="409"/>
      <c r="C17" s="530"/>
      <c r="D17" s="409"/>
      <c r="E17" s="409"/>
    </row>
    <row r="18" spans="1:7">
      <c r="A18" s="430">
        <v>45731</v>
      </c>
      <c r="B18" s="414" t="s">
        <v>1870</v>
      </c>
      <c r="C18" s="414" t="s">
        <v>2044</v>
      </c>
      <c r="D18" s="414" t="s">
        <v>1318</v>
      </c>
      <c r="E18" s="415">
        <v>826</v>
      </c>
    </row>
    <row r="19" spans="1:7">
      <c r="A19" s="429">
        <v>45947</v>
      </c>
      <c r="B19" s="414" t="s">
        <v>1870</v>
      </c>
      <c r="C19" s="414" t="s">
        <v>2045</v>
      </c>
      <c r="D19" s="414" t="s">
        <v>2046</v>
      </c>
      <c r="E19" s="1085">
        <v>23010</v>
      </c>
    </row>
    <row r="20" spans="1:7">
      <c r="A20" s="429">
        <v>45947</v>
      </c>
      <c r="B20" s="414" t="s">
        <v>1870</v>
      </c>
      <c r="C20" s="414" t="s">
        <v>2047</v>
      </c>
      <c r="D20" s="414" t="s">
        <v>2048</v>
      </c>
      <c r="E20" s="1085">
        <v>29500</v>
      </c>
    </row>
    <row r="21" spans="1:7" ht="12">
      <c r="A21" s="416" t="s">
        <v>2049</v>
      </c>
      <c r="B21" s="416"/>
      <c r="C21" s="532"/>
      <c r="D21" s="416"/>
      <c r="E21" s="417">
        <f>SUM(E18:E20)</f>
        <v>53336</v>
      </c>
    </row>
    <row r="23" spans="1:7" s="412" customFormat="1" ht="13.2">
      <c r="A23" s="409" t="s">
        <v>2050</v>
      </c>
      <c r="B23" s="409"/>
      <c r="C23" s="530"/>
      <c r="D23" s="409"/>
      <c r="E23" s="409"/>
    </row>
    <row r="24" spans="1:7">
      <c r="A24" s="430">
        <v>45925</v>
      </c>
      <c r="B24" s="414" t="s">
        <v>1870</v>
      </c>
      <c r="C24" s="414" t="s">
        <v>1507</v>
      </c>
      <c r="D24" s="414" t="s">
        <v>1879</v>
      </c>
      <c r="E24" s="1085">
        <v>89555.5</v>
      </c>
    </row>
    <row r="25" spans="1:7">
      <c r="A25" s="430">
        <v>45931</v>
      </c>
      <c r="B25" s="414" t="s">
        <v>1870</v>
      </c>
      <c r="C25" s="414" t="s">
        <v>1507</v>
      </c>
      <c r="D25" s="414" t="s">
        <v>2051</v>
      </c>
      <c r="E25" s="415">
        <v>143615.85999999999</v>
      </c>
      <c r="G25" s="425">
        <f>+E8+E18+E25</f>
        <v>184441.86</v>
      </c>
    </row>
    <row r="26" spans="1:7" ht="12">
      <c r="A26" s="416" t="s">
        <v>1880</v>
      </c>
      <c r="B26" s="416"/>
      <c r="C26" s="532"/>
      <c r="D26" s="416"/>
      <c r="E26" s="417">
        <f>SUM(E24:E25)</f>
        <v>233171.36</v>
      </c>
      <c r="G26" s="408">
        <v>184836.79</v>
      </c>
    </row>
    <row r="27" spans="1:7">
      <c r="G27" s="425">
        <f>+G25-G26</f>
        <v>-394.93000000002212</v>
      </c>
    </row>
    <row r="28" spans="1:7" s="412" customFormat="1" ht="13.2">
      <c r="A28" s="409" t="s">
        <v>860</v>
      </c>
      <c r="B28" s="409"/>
      <c r="C28" s="530"/>
      <c r="D28" s="409"/>
      <c r="E28" s="409"/>
    </row>
    <row r="29" spans="1:7">
      <c r="A29" s="430">
        <v>45747</v>
      </c>
      <c r="B29" s="414" t="s">
        <v>1871</v>
      </c>
      <c r="C29" s="414" t="s">
        <v>1884</v>
      </c>
      <c r="D29" s="414" t="s">
        <v>1885</v>
      </c>
      <c r="E29" s="1085">
        <v>5000</v>
      </c>
    </row>
    <row r="30" spans="1:7">
      <c r="A30" s="430">
        <v>45747</v>
      </c>
      <c r="B30" s="414" t="s">
        <v>1871</v>
      </c>
      <c r="C30" s="414" t="s">
        <v>1884</v>
      </c>
      <c r="D30" s="414" t="s">
        <v>1886</v>
      </c>
      <c r="E30" s="1085">
        <v>5000</v>
      </c>
    </row>
    <row r="31" spans="1:7">
      <c r="A31" s="430">
        <v>45887</v>
      </c>
      <c r="B31" s="414" t="s">
        <v>1870</v>
      </c>
      <c r="C31" s="414" t="s">
        <v>1520</v>
      </c>
      <c r="D31" s="414" t="s">
        <v>1671</v>
      </c>
      <c r="E31" s="1085">
        <v>42225</v>
      </c>
    </row>
    <row r="32" spans="1:7">
      <c r="A32" s="430">
        <v>45887</v>
      </c>
      <c r="B32" s="414" t="s">
        <v>1870</v>
      </c>
      <c r="C32" s="414" t="s">
        <v>1520</v>
      </c>
      <c r="D32" s="414" t="s">
        <v>1671</v>
      </c>
      <c r="E32" s="1085">
        <v>59818.75</v>
      </c>
    </row>
    <row r="33" spans="1:5">
      <c r="A33" s="430">
        <v>45887</v>
      </c>
      <c r="B33" s="414" t="s">
        <v>1871</v>
      </c>
      <c r="C33" s="414" t="s">
        <v>1672</v>
      </c>
      <c r="D33" s="414" t="s">
        <v>1673</v>
      </c>
      <c r="E33" s="1085">
        <v>284315</v>
      </c>
    </row>
    <row r="34" spans="1:5">
      <c r="A34" s="430">
        <v>45916</v>
      </c>
      <c r="B34" s="414" t="s">
        <v>1870</v>
      </c>
      <c r="C34" s="414" t="s">
        <v>1669</v>
      </c>
      <c r="D34" s="414" t="s">
        <v>1887</v>
      </c>
      <c r="E34" s="1085">
        <v>21611.01</v>
      </c>
    </row>
    <row r="35" spans="1:5">
      <c r="A35" s="430">
        <v>45923</v>
      </c>
      <c r="B35" s="414" t="s">
        <v>1870</v>
      </c>
      <c r="C35" s="414" t="s">
        <v>1888</v>
      </c>
      <c r="D35" s="414" t="s">
        <v>1889</v>
      </c>
      <c r="E35" s="1085">
        <v>10000</v>
      </c>
    </row>
    <row r="36" spans="1:5" ht="12">
      <c r="A36" s="416" t="s">
        <v>1890</v>
      </c>
      <c r="B36" s="416"/>
      <c r="C36" s="532"/>
      <c r="D36" s="416"/>
      <c r="E36" s="417">
        <f t="shared" ref="E36" si="1">SUM(E29:E35)</f>
        <v>427969.76</v>
      </c>
    </row>
    <row r="38" spans="1:5" ht="12">
      <c r="A38" s="419" t="s">
        <v>164</v>
      </c>
      <c r="B38" s="419"/>
      <c r="C38" s="534"/>
      <c r="D38" s="419"/>
      <c r="E38" s="420">
        <f>+E10+E15+E21+E26+E36</f>
        <v>1117954.03</v>
      </c>
    </row>
  </sheetData>
  <autoFilter ref="A1:E40" xr:uid="{21EBD777-0645-4A57-A514-52C6A2CD1953}"/>
  <mergeCells count="1">
    <mergeCell ref="A2:E2"/>
  </mergeCells>
  <phoneticPr fontId="3" type="noConversion"/>
  <pageMargins left="0.7" right="0.7" top="0.75" bottom="0.75" header="0.3" footer="0.3"/>
  <pageSetup scale="75" orientation="portrait"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C2F98-F534-4FA3-9FB9-D7A53AF65181}">
  <dimension ref="A1:L148"/>
  <sheetViews>
    <sheetView showGridLines="0" zoomScale="80" zoomScaleNormal="80" workbookViewId="0">
      <selection activeCell="D22" sqref="D22"/>
    </sheetView>
  </sheetViews>
  <sheetFormatPr baseColWidth="10" defaultColWidth="8" defaultRowHeight="11.4"/>
  <cols>
    <col min="1" max="1" width="56.6640625" style="1440" customWidth="1"/>
    <col min="2" max="2" width="12.6640625" style="1440" hidden="1" customWidth="1"/>
    <col min="3" max="3" width="11.44140625" style="1440" hidden="1" customWidth="1"/>
    <col min="4" max="4" width="17.6640625" style="1440" hidden="1" customWidth="1"/>
    <col min="5" max="5" width="4.88671875" style="1440" hidden="1" customWidth="1"/>
    <col min="6" max="6" width="12.44140625" style="1440" hidden="1" customWidth="1"/>
    <col min="7" max="7" width="18.109375" style="1440" hidden="1" customWidth="1"/>
    <col min="8" max="8" width="14.5546875" style="1440" bestFit="1" customWidth="1"/>
    <col min="9" max="9" width="13.33203125" style="1440" bestFit="1" customWidth="1"/>
    <col min="10" max="12" width="12.44140625" style="1440" bestFit="1" customWidth="1"/>
    <col min="13" max="16384" width="8" style="1440"/>
  </cols>
  <sheetData>
    <row r="1" spans="1:12" s="1437" customFormat="1" ht="16.649999999999999" customHeight="1">
      <c r="A1" s="1436" t="s">
        <v>771</v>
      </c>
      <c r="B1" s="1436"/>
      <c r="C1" s="1436"/>
      <c r="D1" s="1436"/>
      <c r="E1" s="1436"/>
      <c r="F1" s="1436"/>
      <c r="G1" s="1436"/>
      <c r="H1" s="1436"/>
      <c r="I1" s="1436"/>
      <c r="J1" s="1436"/>
      <c r="K1" s="1436"/>
      <c r="L1" s="1436"/>
    </row>
    <row r="2" spans="1:12" s="1439" customFormat="1" ht="14.4" customHeight="1">
      <c r="A2" s="1438" t="s">
        <v>236</v>
      </c>
      <c r="B2" s="1438"/>
      <c r="C2" s="1438"/>
      <c r="D2" s="1438"/>
      <c r="E2" s="1438"/>
      <c r="F2" s="1438"/>
      <c r="G2" s="1438"/>
      <c r="H2" s="1438"/>
      <c r="I2" s="1438"/>
      <c r="J2" s="1438"/>
      <c r="K2" s="1438"/>
      <c r="L2" s="1438"/>
    </row>
    <row r="3" spans="1:12" s="1439" customFormat="1" ht="14.4" customHeight="1">
      <c r="A3" s="1438" t="s">
        <v>2019</v>
      </c>
      <c r="B3" s="1438"/>
      <c r="C3" s="1438"/>
      <c r="D3" s="1438"/>
      <c r="E3" s="1438"/>
      <c r="F3" s="1438"/>
      <c r="G3" s="1438"/>
      <c r="H3" s="1438"/>
      <c r="I3" s="1438"/>
      <c r="J3" s="1438"/>
      <c r="K3" s="1438"/>
      <c r="L3" s="1438"/>
    </row>
    <row r="4" spans="1:12" s="1439" customFormat="1" ht="14.4" customHeight="1">
      <c r="A4" s="1438" t="s">
        <v>724</v>
      </c>
      <c r="B4" s="1438"/>
      <c r="C4" s="1438"/>
      <c r="D4" s="1438"/>
      <c r="E4" s="1438"/>
      <c r="F4" s="1438"/>
      <c r="G4" s="1438"/>
      <c r="H4" s="1438"/>
      <c r="I4" s="1438"/>
      <c r="J4" s="1438"/>
      <c r="K4" s="1438"/>
      <c r="L4" s="1438"/>
    </row>
    <row r="5" spans="1:12" ht="13.35" customHeight="1"/>
    <row r="6" spans="1:12" s="1444" customFormat="1" ht="12.15" customHeight="1">
      <c r="A6" s="1441" t="s">
        <v>690</v>
      </c>
      <c r="B6" s="1441" t="s">
        <v>689</v>
      </c>
      <c r="C6" s="1441" t="s">
        <v>823</v>
      </c>
      <c r="D6" s="1441" t="s">
        <v>773</v>
      </c>
      <c r="E6" s="1442"/>
      <c r="F6" s="1442" t="s">
        <v>2052</v>
      </c>
      <c r="G6" s="1442" t="s">
        <v>2053</v>
      </c>
      <c r="H6" s="1443">
        <v>45962</v>
      </c>
      <c r="I6" s="1443">
        <v>45992</v>
      </c>
      <c r="J6" s="1443">
        <v>46023</v>
      </c>
      <c r="K6" s="1443">
        <v>46054</v>
      </c>
      <c r="L6" s="1443">
        <v>46082</v>
      </c>
    </row>
    <row r="7" spans="1:12" ht="13.35" customHeight="1"/>
    <row r="8" spans="1:12" s="1444" customFormat="1" ht="12.15" customHeight="1">
      <c r="A8" s="1445" t="s">
        <v>889</v>
      </c>
      <c r="B8" s="1445"/>
      <c r="C8" s="1445"/>
      <c r="D8" s="1445"/>
      <c r="E8" s="1445"/>
      <c r="F8" s="1445"/>
      <c r="G8" s="1445"/>
      <c r="H8" s="1445"/>
      <c r="I8" s="1445"/>
      <c r="J8" s="1445"/>
      <c r="K8" s="1445"/>
      <c r="L8" s="1445"/>
    </row>
    <row r="9" spans="1:12" ht="10.95" customHeight="1">
      <c r="A9" s="1446" t="s">
        <v>301</v>
      </c>
      <c r="B9" s="1447">
        <v>45888</v>
      </c>
      <c r="C9" s="1447">
        <v>45891</v>
      </c>
      <c r="D9" s="1446" t="s">
        <v>1629</v>
      </c>
      <c r="E9" s="1446"/>
      <c r="F9" s="1448">
        <v>1427678.42</v>
      </c>
      <c r="G9" s="1448">
        <f>SUM(H9:L9)</f>
        <v>1427678.42</v>
      </c>
      <c r="H9" s="1448"/>
      <c r="I9" s="1449">
        <v>1427678.42</v>
      </c>
      <c r="J9" s="1448"/>
      <c r="K9" s="1448"/>
      <c r="L9" s="1448"/>
    </row>
    <row r="10" spans="1:12" ht="10.95" customHeight="1">
      <c r="A10" s="1450" t="s">
        <v>330</v>
      </c>
      <c r="B10" s="1451">
        <v>45938</v>
      </c>
      <c r="C10" s="1451">
        <v>45938</v>
      </c>
      <c r="D10" s="1450" t="s">
        <v>1926</v>
      </c>
      <c r="E10" s="1450"/>
      <c r="F10" s="1452">
        <v>136500</v>
      </c>
      <c r="G10" s="1448">
        <f t="shared" ref="G10:G13" si="0">SUM(H10:L10)</f>
        <v>136500</v>
      </c>
      <c r="H10" s="1468">
        <v>136500</v>
      </c>
      <c r="I10" s="1452"/>
      <c r="J10" s="1452"/>
      <c r="K10" s="1452"/>
      <c r="L10" s="1452"/>
    </row>
    <row r="11" spans="1:12" ht="10.95" customHeight="1">
      <c r="A11" s="1450" t="s">
        <v>373</v>
      </c>
      <c r="B11" s="1451">
        <v>45939</v>
      </c>
      <c r="C11" s="1451">
        <v>46022</v>
      </c>
      <c r="D11" s="1450" t="s">
        <v>2020</v>
      </c>
      <c r="E11" s="1450"/>
      <c r="F11" s="1452">
        <v>104169.15</v>
      </c>
      <c r="G11" s="1448">
        <f t="shared" si="0"/>
        <v>104169.15</v>
      </c>
      <c r="H11" s="1452"/>
      <c r="I11" s="1453">
        <v>104169.15</v>
      </c>
      <c r="J11" s="1452"/>
      <c r="K11" s="1452"/>
      <c r="L11" s="1452"/>
    </row>
    <row r="12" spans="1:12" ht="10.95" customHeight="1">
      <c r="A12" s="1450" t="s">
        <v>1491</v>
      </c>
      <c r="B12" s="430">
        <v>45429</v>
      </c>
      <c r="C12" s="1451"/>
      <c r="D12" s="1450" t="s">
        <v>738</v>
      </c>
      <c r="F12" s="1452">
        <v>40000</v>
      </c>
      <c r="G12" s="1448">
        <f t="shared" si="0"/>
        <v>40000</v>
      </c>
      <c r="H12" s="1452"/>
      <c r="I12" s="1453">
        <v>40000</v>
      </c>
      <c r="J12" s="1452"/>
      <c r="K12" s="1452"/>
      <c r="L12" s="1452"/>
    </row>
    <row r="13" spans="1:12" ht="10.95" customHeight="1">
      <c r="A13" s="1450" t="s">
        <v>1872</v>
      </c>
      <c r="B13" s="430">
        <v>45860</v>
      </c>
      <c r="C13" s="1451"/>
      <c r="D13" s="1450" t="s">
        <v>1873</v>
      </c>
      <c r="F13" s="1452">
        <v>70000</v>
      </c>
      <c r="G13" s="1448">
        <f t="shared" si="0"/>
        <v>70000</v>
      </c>
      <c r="H13" s="1468">
        <v>70000</v>
      </c>
      <c r="I13" s="1452"/>
      <c r="J13" s="1452"/>
      <c r="K13" s="1452"/>
      <c r="L13" s="1452"/>
    </row>
    <row r="14" spans="1:12" ht="10.95" customHeight="1">
      <c r="A14" s="1454" t="s">
        <v>1829</v>
      </c>
      <c r="B14" s="1454"/>
      <c r="C14" s="1454"/>
      <c r="D14" s="1454"/>
      <c r="E14" s="1454"/>
      <c r="F14" s="1455">
        <f t="shared" ref="F14:L14" si="1">SUM(F9:F13)</f>
        <v>1778347.5699999998</v>
      </c>
      <c r="G14" s="1455">
        <f t="shared" si="1"/>
        <v>1778347.5699999998</v>
      </c>
      <c r="H14" s="1455">
        <f t="shared" si="1"/>
        <v>206500</v>
      </c>
      <c r="I14" s="1455">
        <f t="shared" si="1"/>
        <v>1571847.5699999998</v>
      </c>
      <c r="J14" s="1455">
        <f t="shared" si="1"/>
        <v>0</v>
      </c>
      <c r="K14" s="1455">
        <f t="shared" si="1"/>
        <v>0</v>
      </c>
      <c r="L14" s="1455">
        <f t="shared" si="1"/>
        <v>0</v>
      </c>
    </row>
    <row r="15" spans="1:12" ht="13.35" customHeight="1"/>
    <row r="16" spans="1:12" s="1444" customFormat="1" ht="12.15" customHeight="1">
      <c r="A16" s="1445" t="s">
        <v>1030</v>
      </c>
      <c r="B16" s="1445"/>
      <c r="C16" s="1445"/>
      <c r="D16" s="1445"/>
      <c r="E16" s="1445"/>
      <c r="F16" s="1445"/>
      <c r="G16" s="1445"/>
      <c r="H16" s="1445"/>
      <c r="I16" s="1445"/>
      <c r="J16" s="1445"/>
      <c r="K16" s="1445"/>
      <c r="L16" s="1445"/>
    </row>
    <row r="17" spans="1:12" ht="10.95" customHeight="1">
      <c r="A17" s="1446" t="s">
        <v>317</v>
      </c>
      <c r="B17" s="1447">
        <v>45873</v>
      </c>
      <c r="C17" s="1447">
        <v>45903</v>
      </c>
      <c r="D17" s="1446" t="s">
        <v>1633</v>
      </c>
      <c r="E17" s="1446"/>
      <c r="F17" s="1448">
        <v>469430.56</v>
      </c>
      <c r="G17" s="1448">
        <f>SUM(H17:L17)</f>
        <v>469430.56</v>
      </c>
      <c r="H17" s="1467">
        <v>469430.56</v>
      </c>
      <c r="I17" s="1448"/>
      <c r="J17" s="1448"/>
      <c r="K17" s="1448"/>
      <c r="L17" s="1448"/>
    </row>
    <row r="18" spans="1:12" ht="10.95" customHeight="1">
      <c r="A18" s="1450" t="s">
        <v>1111</v>
      </c>
      <c r="B18" s="1451">
        <v>45881</v>
      </c>
      <c r="C18" s="1451">
        <v>45881</v>
      </c>
      <c r="D18" s="1450" t="s">
        <v>1634</v>
      </c>
      <c r="E18" s="1450"/>
      <c r="F18" s="1452">
        <v>275627.24</v>
      </c>
      <c r="G18" s="1448">
        <f t="shared" ref="G18:G22" si="2">SUM(H18:L18)</f>
        <v>275627.24</v>
      </c>
      <c r="H18" s="1468">
        <v>275627.24</v>
      </c>
      <c r="I18" s="1452"/>
      <c r="J18" s="1452"/>
      <c r="K18" s="1452"/>
      <c r="L18" s="1452"/>
    </row>
    <row r="19" spans="1:12" ht="10.95" customHeight="1">
      <c r="A19" s="1450" t="s">
        <v>317</v>
      </c>
      <c r="B19" s="1451">
        <v>45908</v>
      </c>
      <c r="C19" s="1451">
        <v>45938</v>
      </c>
      <c r="D19" s="1450" t="s">
        <v>1830</v>
      </c>
      <c r="E19" s="1450"/>
      <c r="F19" s="1452">
        <v>342033.18</v>
      </c>
      <c r="G19" s="1448">
        <f t="shared" si="2"/>
        <v>342033.18</v>
      </c>
      <c r="H19" s="1453">
        <v>342033.18</v>
      </c>
      <c r="I19" s="1452"/>
      <c r="J19" s="1452"/>
      <c r="K19" s="1452"/>
      <c r="L19" s="1452"/>
    </row>
    <row r="20" spans="1:12" ht="10.95" customHeight="1">
      <c r="A20" s="1450" t="s">
        <v>1086</v>
      </c>
      <c r="B20" s="1451"/>
      <c r="C20" s="1451"/>
      <c r="D20" s="1450"/>
      <c r="E20" s="1450"/>
      <c r="F20" s="1452"/>
      <c r="G20" s="1448">
        <f t="shared" si="2"/>
        <v>2000000</v>
      </c>
      <c r="H20" s="1452"/>
      <c r="I20" s="1456">
        <v>2000000</v>
      </c>
      <c r="J20" s="1456"/>
      <c r="K20" s="1456"/>
      <c r="L20" s="1456"/>
    </row>
    <row r="21" spans="1:12" ht="10.95" customHeight="1">
      <c r="A21" s="1450" t="s">
        <v>1226</v>
      </c>
      <c r="B21" s="1451"/>
      <c r="C21" s="1451"/>
      <c r="D21" s="1450"/>
      <c r="E21" s="1450"/>
      <c r="F21" s="1452"/>
      <c r="G21" s="1448">
        <f t="shared" si="2"/>
        <v>6000000</v>
      </c>
      <c r="H21" s="1452"/>
      <c r="I21" s="1456">
        <v>250000</v>
      </c>
      <c r="J21" s="1456">
        <v>2950000</v>
      </c>
      <c r="K21" s="1456">
        <f>1900000+250000</f>
        <v>2150000</v>
      </c>
      <c r="L21" s="1456">
        <v>650000</v>
      </c>
    </row>
    <row r="22" spans="1:12" ht="10.95" customHeight="1">
      <c r="A22" s="1450" t="s">
        <v>1227</v>
      </c>
      <c r="B22" s="1451"/>
      <c r="C22" s="1451"/>
      <c r="D22" s="1450"/>
      <c r="E22" s="1450"/>
      <c r="F22" s="1452"/>
      <c r="G22" s="1448">
        <f t="shared" si="2"/>
        <v>650000</v>
      </c>
      <c r="H22" s="1452"/>
      <c r="I22" s="1456">
        <v>650000</v>
      </c>
      <c r="J22" s="1456"/>
      <c r="K22" s="1456"/>
      <c r="L22" s="1456"/>
    </row>
    <row r="23" spans="1:12" ht="10.95" customHeight="1">
      <c r="A23" s="1450" t="s">
        <v>2054</v>
      </c>
      <c r="B23" s="1451"/>
      <c r="C23" s="1451"/>
      <c r="D23" s="1450"/>
      <c r="E23" s="1450"/>
      <c r="F23" s="1452"/>
      <c r="G23" s="1448"/>
      <c r="H23" s="1456">
        <v>300000</v>
      </c>
      <c r="I23" s="1456">
        <v>150000</v>
      </c>
      <c r="J23" s="1456">
        <v>150000</v>
      </c>
      <c r="K23" s="1456">
        <v>150000</v>
      </c>
      <c r="L23" s="1456">
        <v>150000</v>
      </c>
    </row>
    <row r="24" spans="1:12" ht="10.95" customHeight="1">
      <c r="A24" s="1450" t="s">
        <v>2055</v>
      </c>
      <c r="B24" s="1451"/>
      <c r="C24" s="1451"/>
      <c r="D24" s="1450"/>
      <c r="E24" s="1450"/>
      <c r="F24" s="1452"/>
      <c r="G24" s="1448"/>
      <c r="H24" s="1456">
        <v>633670.6</v>
      </c>
      <c r="I24" s="1452"/>
      <c r="J24" s="1452"/>
      <c r="K24" s="1452"/>
      <c r="L24" s="1452"/>
    </row>
    <row r="25" spans="1:12" ht="10.95" customHeight="1">
      <c r="A25" s="1454" t="s">
        <v>1831</v>
      </c>
      <c r="B25" s="1454"/>
      <c r="C25" s="1454"/>
      <c r="D25" s="1454"/>
      <c r="E25" s="1454"/>
      <c r="F25" s="1455">
        <f>SUM(F17:F24)</f>
        <v>1087090.98</v>
      </c>
      <c r="G25" s="1455">
        <f t="shared" ref="G25:L25" si="3">SUM(G17:G24)</f>
        <v>9737090.9800000004</v>
      </c>
      <c r="H25" s="1455">
        <f t="shared" si="3"/>
        <v>2020761.58</v>
      </c>
      <c r="I25" s="1455">
        <f t="shared" si="3"/>
        <v>3050000</v>
      </c>
      <c r="J25" s="1455">
        <f t="shared" si="3"/>
        <v>3100000</v>
      </c>
      <c r="K25" s="1455">
        <f t="shared" si="3"/>
        <v>2300000</v>
      </c>
      <c r="L25" s="1455">
        <f t="shared" si="3"/>
        <v>800000</v>
      </c>
    </row>
    <row r="26" spans="1:12" ht="13.35" customHeight="1"/>
    <row r="27" spans="1:12" s="1444" customFormat="1" ht="12.15" customHeight="1">
      <c r="A27" s="1445" t="s">
        <v>2056</v>
      </c>
      <c r="B27" s="1445"/>
      <c r="C27" s="1445"/>
      <c r="D27" s="1445"/>
      <c r="E27" s="1445"/>
      <c r="F27" s="1445"/>
      <c r="G27" s="1445"/>
      <c r="H27" s="1445"/>
      <c r="I27" s="1445"/>
      <c r="J27" s="1445"/>
      <c r="K27" s="1445"/>
      <c r="L27" s="1445"/>
    </row>
    <row r="28" spans="1:12" ht="10.95" customHeight="1">
      <c r="A28" s="1446"/>
      <c r="B28" s="1447"/>
      <c r="C28" s="1447"/>
      <c r="D28" s="1446"/>
      <c r="E28" s="1446"/>
      <c r="F28" s="1448"/>
      <c r="G28" s="1448">
        <f>SUM(H28:L28)</f>
        <v>12450000</v>
      </c>
      <c r="H28" s="1448"/>
      <c r="I28" s="1457">
        <f>3800000-900000</f>
        <v>2900000</v>
      </c>
      <c r="J28" s="1457">
        <f>500000+50000+320000+670000+10000+4000000</f>
        <v>5550000</v>
      </c>
      <c r="K28" s="1457">
        <v>4000000</v>
      </c>
      <c r="L28" s="1457"/>
    </row>
    <row r="29" spans="1:12" ht="10.95" customHeight="1">
      <c r="A29" s="1450" t="s">
        <v>2054</v>
      </c>
      <c r="B29" s="1447"/>
      <c r="C29" s="1447"/>
      <c r="D29" s="1446"/>
      <c r="E29" s="1446"/>
      <c r="F29" s="1448"/>
      <c r="G29" s="1448"/>
      <c r="H29" s="1448"/>
      <c r="I29" s="1457">
        <v>150000</v>
      </c>
      <c r="J29" s="1457">
        <v>150000</v>
      </c>
      <c r="K29" s="1457">
        <v>150000</v>
      </c>
      <c r="L29" s="1457">
        <v>150000</v>
      </c>
    </row>
    <row r="30" spans="1:12" ht="10.95" customHeight="1">
      <c r="A30" s="1454" t="s">
        <v>2057</v>
      </c>
      <c r="B30" s="1454"/>
      <c r="C30" s="1454"/>
      <c r="D30" s="1454"/>
      <c r="E30" s="1454"/>
      <c r="F30" s="1455">
        <f>SUM(F28:F29)</f>
        <v>0</v>
      </c>
      <c r="G30" s="1455">
        <f t="shared" ref="G30:L30" si="4">SUM(G28:G29)</f>
        <v>12450000</v>
      </c>
      <c r="H30" s="1455">
        <f t="shared" si="4"/>
        <v>0</v>
      </c>
      <c r="I30" s="1455">
        <f t="shared" si="4"/>
        <v>3050000</v>
      </c>
      <c r="J30" s="1455">
        <f t="shared" si="4"/>
        <v>5700000</v>
      </c>
      <c r="K30" s="1455">
        <f t="shared" si="4"/>
        <v>4150000</v>
      </c>
      <c r="L30" s="1455">
        <f t="shared" si="4"/>
        <v>150000</v>
      </c>
    </row>
    <row r="31" spans="1:12" ht="13.35" customHeight="1"/>
    <row r="32" spans="1:12" s="1444" customFormat="1" ht="12.15" customHeight="1">
      <c r="A32" s="1445" t="s">
        <v>1036</v>
      </c>
      <c r="B32" s="1445"/>
      <c r="C32" s="1445"/>
      <c r="D32" s="1445"/>
      <c r="E32" s="1445"/>
      <c r="F32" s="1445"/>
      <c r="G32" s="1445"/>
      <c r="H32" s="1445"/>
      <c r="I32" s="1445"/>
      <c r="J32" s="1445"/>
      <c r="K32" s="1445"/>
      <c r="L32" s="1445"/>
    </row>
    <row r="33" spans="1:12" ht="10.95" customHeight="1">
      <c r="A33" s="1446" t="s">
        <v>715</v>
      </c>
      <c r="B33" s="1447">
        <v>45918</v>
      </c>
      <c r="C33" s="1447">
        <v>45930</v>
      </c>
      <c r="D33" s="1446" t="s">
        <v>1832</v>
      </c>
      <c r="E33" s="1446"/>
      <c r="F33" s="1448">
        <v>500000</v>
      </c>
      <c r="G33" s="1448">
        <f>SUM(H33:L33)</f>
        <v>500000</v>
      </c>
      <c r="H33" s="1467">
        <v>500000</v>
      </c>
      <c r="I33" s="1448"/>
      <c r="J33" s="1448"/>
      <c r="K33" s="1448"/>
      <c r="L33" s="1448"/>
    </row>
    <row r="34" spans="1:12" ht="10.95" customHeight="1">
      <c r="A34" s="1450" t="s">
        <v>715</v>
      </c>
      <c r="B34" s="1451">
        <v>45940</v>
      </c>
      <c r="C34" s="1451">
        <v>45940</v>
      </c>
      <c r="D34" s="1450" t="s">
        <v>1930</v>
      </c>
      <c r="E34" s="1450"/>
      <c r="F34" s="1452">
        <v>2360000</v>
      </c>
      <c r="G34" s="1448">
        <f t="shared" ref="G34:G35" si="5">SUM(H34:L34)</f>
        <v>2360000</v>
      </c>
      <c r="H34" s="1468">
        <f>1500000+108000+752000</f>
        <v>2360000</v>
      </c>
      <c r="I34" s="1452"/>
      <c r="J34" s="1452"/>
      <c r="K34" s="1452"/>
      <c r="L34" s="1452"/>
    </row>
    <row r="35" spans="1:12" ht="10.95" customHeight="1">
      <c r="A35" s="1450" t="s">
        <v>715</v>
      </c>
      <c r="B35" s="1451"/>
      <c r="C35" s="1451"/>
      <c r="D35" s="1450"/>
      <c r="E35" s="1450"/>
      <c r="F35" s="1452"/>
      <c r="G35" s="1448">
        <f t="shared" si="5"/>
        <v>11800000</v>
      </c>
      <c r="H35" s="1456">
        <v>2360000</v>
      </c>
      <c r="I35" s="1456">
        <v>2360000</v>
      </c>
      <c r="J35" s="1456">
        <v>2360000</v>
      </c>
      <c r="K35" s="1456">
        <v>2360000</v>
      </c>
      <c r="L35" s="1456">
        <v>2360000</v>
      </c>
    </row>
    <row r="36" spans="1:12" ht="10.95" customHeight="1">
      <c r="A36" s="1454" t="s">
        <v>1833</v>
      </c>
      <c r="B36" s="1454"/>
      <c r="C36" s="1454"/>
      <c r="D36" s="1454"/>
      <c r="E36" s="1454"/>
      <c r="F36" s="1455">
        <f t="shared" ref="F36:L36" si="6">SUM(F33:F35)</f>
        <v>2860000</v>
      </c>
      <c r="G36" s="1455">
        <f t="shared" si="6"/>
        <v>14660000</v>
      </c>
      <c r="H36" s="1455">
        <f t="shared" si="6"/>
        <v>5220000</v>
      </c>
      <c r="I36" s="1455">
        <f t="shared" si="6"/>
        <v>2360000</v>
      </c>
      <c r="J36" s="1455">
        <f t="shared" si="6"/>
        <v>2360000</v>
      </c>
      <c r="K36" s="1455">
        <f t="shared" si="6"/>
        <v>2360000</v>
      </c>
      <c r="L36" s="1455">
        <f t="shared" si="6"/>
        <v>2360000</v>
      </c>
    </row>
    <row r="37" spans="1:12" ht="13.35" customHeight="1"/>
    <row r="38" spans="1:12" s="1444" customFormat="1" ht="12.15" customHeight="1">
      <c r="A38" s="1445" t="s">
        <v>1308</v>
      </c>
      <c r="B38" s="1445"/>
      <c r="C38" s="1445"/>
      <c r="D38" s="1445"/>
      <c r="E38" s="1445"/>
      <c r="F38" s="1445"/>
      <c r="G38" s="1445"/>
      <c r="H38" s="1445"/>
      <c r="I38" s="1445"/>
      <c r="J38" s="1445"/>
      <c r="K38" s="1445"/>
      <c r="L38" s="1445"/>
    </row>
    <row r="39" spans="1:12" ht="10.95" customHeight="1">
      <c r="A39" s="1446" t="s">
        <v>1045</v>
      </c>
      <c r="B39" s="1447">
        <v>45930</v>
      </c>
      <c r="C39" s="1447">
        <v>45960</v>
      </c>
      <c r="D39" s="1446" t="s">
        <v>1834</v>
      </c>
      <c r="E39" s="1446"/>
      <c r="F39" s="1448">
        <v>90246.399999999994</v>
      </c>
      <c r="G39" s="1448">
        <f t="shared" ref="G39:G41" si="7">SUM(H39:L39)</f>
        <v>90246.399999999994</v>
      </c>
      <c r="H39" s="1467">
        <v>90246.399999999994</v>
      </c>
      <c r="I39" s="1448"/>
      <c r="J39" s="1448"/>
      <c r="K39" s="1448"/>
      <c r="L39" s="1448"/>
    </row>
    <row r="40" spans="1:12" ht="10.95" customHeight="1">
      <c r="A40" s="1450" t="s">
        <v>1045</v>
      </c>
      <c r="B40" s="1451">
        <v>45961</v>
      </c>
      <c r="C40" s="1451">
        <v>45991</v>
      </c>
      <c r="D40" s="1450" t="s">
        <v>2021</v>
      </c>
      <c r="E40" s="1450"/>
      <c r="F40" s="1452">
        <v>92700.800000000003</v>
      </c>
      <c r="G40" s="1448">
        <f t="shared" si="7"/>
        <v>492700.8</v>
      </c>
      <c r="H40" s="1453">
        <v>92700.800000000003</v>
      </c>
      <c r="I40" s="1456">
        <v>100000</v>
      </c>
      <c r="J40" s="1456">
        <v>100000</v>
      </c>
      <c r="K40" s="1456">
        <v>100000</v>
      </c>
      <c r="L40" s="1456">
        <v>100000</v>
      </c>
    </row>
    <row r="41" spans="1:12" ht="10.95" customHeight="1">
      <c r="A41" s="1450" t="s">
        <v>2058</v>
      </c>
      <c r="B41" s="1451"/>
      <c r="C41" s="1451"/>
      <c r="D41" s="1450"/>
      <c r="E41" s="1450"/>
      <c r="F41" s="1452"/>
      <c r="G41" s="1448">
        <f t="shared" si="7"/>
        <v>750000</v>
      </c>
      <c r="H41" s="1456">
        <v>150000</v>
      </c>
      <c r="I41" s="1456">
        <v>150000</v>
      </c>
      <c r="J41" s="1456">
        <v>150000</v>
      </c>
      <c r="K41" s="1456">
        <v>150000</v>
      </c>
      <c r="L41" s="1456">
        <v>150000</v>
      </c>
    </row>
    <row r="42" spans="1:12" ht="10.95" customHeight="1">
      <c r="A42" s="1450" t="s">
        <v>2055</v>
      </c>
      <c r="B42" s="1451"/>
      <c r="C42" s="1451"/>
      <c r="D42" s="1450"/>
      <c r="E42" s="1450"/>
      <c r="F42" s="1452"/>
      <c r="G42" s="1448"/>
      <c r="H42" s="1456">
        <f>21417+134255.06+222654.06+18585</f>
        <v>396911.12</v>
      </c>
      <c r="I42" s="1456"/>
      <c r="J42" s="1456"/>
      <c r="K42" s="1456"/>
      <c r="L42" s="1456"/>
    </row>
    <row r="43" spans="1:12" ht="10.95" customHeight="1">
      <c r="A43" s="1454" t="s">
        <v>1835</v>
      </c>
      <c r="B43" s="1454"/>
      <c r="C43" s="1454"/>
      <c r="D43" s="1454"/>
      <c r="E43" s="1454"/>
      <c r="F43" s="1455">
        <f t="shared" ref="F43:L43" si="8">SUM(F39:F41)</f>
        <v>182947.20000000001</v>
      </c>
      <c r="G43" s="1455">
        <f t="shared" si="8"/>
        <v>1332947.2</v>
      </c>
      <c r="H43" s="1455">
        <f t="shared" si="8"/>
        <v>332947.20000000001</v>
      </c>
      <c r="I43" s="1455">
        <f t="shared" si="8"/>
        <v>250000</v>
      </c>
      <c r="J43" s="1455">
        <f t="shared" si="8"/>
        <v>250000</v>
      </c>
      <c r="K43" s="1455">
        <f t="shared" si="8"/>
        <v>250000</v>
      </c>
      <c r="L43" s="1455">
        <f t="shared" si="8"/>
        <v>250000</v>
      </c>
    </row>
    <row r="44" spans="1:12" ht="13.35" customHeight="1"/>
    <row r="45" spans="1:12" s="1444" customFormat="1" ht="12.15" customHeight="1">
      <c r="A45" s="1445" t="s">
        <v>2022</v>
      </c>
      <c r="B45" s="1445"/>
      <c r="C45" s="1445"/>
      <c r="D45" s="1445"/>
      <c r="E45" s="1445"/>
      <c r="F45" s="1445"/>
      <c r="G45" s="1445"/>
      <c r="H45" s="1445"/>
      <c r="I45" s="1445"/>
      <c r="J45" s="1445"/>
      <c r="K45" s="1445"/>
      <c r="L45" s="1445"/>
    </row>
    <row r="46" spans="1:12" ht="10.95" customHeight="1">
      <c r="A46" s="1446" t="s">
        <v>2023</v>
      </c>
      <c r="B46" s="1447">
        <v>45951</v>
      </c>
      <c r="C46" s="1447">
        <v>45951</v>
      </c>
      <c r="D46" s="1446" t="s">
        <v>873</v>
      </c>
      <c r="E46" s="1446"/>
      <c r="F46" s="1448">
        <v>506964.3</v>
      </c>
      <c r="G46" s="1448">
        <f t="shared" ref="G46:G47" si="9">SUM(H46:L46)</f>
        <v>506964.3</v>
      </c>
      <c r="H46" s="1449">
        <v>506964.3</v>
      </c>
    </row>
    <row r="47" spans="1:12" ht="10.95" customHeight="1">
      <c r="A47" s="1450" t="s">
        <v>2023</v>
      </c>
      <c r="B47" s="1451">
        <v>45951</v>
      </c>
      <c r="C47" s="1451">
        <v>45951</v>
      </c>
      <c r="D47" s="1450" t="s">
        <v>1926</v>
      </c>
      <c r="E47" s="1450"/>
      <c r="F47" s="1452">
        <v>77333.539999999994</v>
      </c>
      <c r="G47" s="1448">
        <f t="shared" si="9"/>
        <v>77333.539999999994</v>
      </c>
      <c r="H47" s="1453">
        <v>77333.539999999994</v>
      </c>
      <c r="I47" s="1452"/>
      <c r="J47" s="1452"/>
      <c r="K47" s="1452"/>
      <c r="L47" s="1452"/>
    </row>
    <row r="48" spans="1:12" ht="10.95" customHeight="1">
      <c r="A48" s="1450"/>
      <c r="B48" s="1451"/>
      <c r="C48" s="1451"/>
      <c r="D48" s="1450"/>
      <c r="E48" s="1450"/>
      <c r="F48" s="1452"/>
      <c r="G48" s="1448"/>
      <c r="H48" s="1457">
        <v>506964.3</v>
      </c>
      <c r="I48" s="1457">
        <v>506964.3</v>
      </c>
      <c r="J48" s="1457">
        <v>506964.3</v>
      </c>
      <c r="K48" s="1457">
        <v>506964.3</v>
      </c>
      <c r="L48" s="1457">
        <v>506964.3</v>
      </c>
    </row>
    <row r="49" spans="1:12" ht="10.95" customHeight="1">
      <c r="A49" s="1454" t="s">
        <v>2024</v>
      </c>
      <c r="B49" s="1454"/>
      <c r="C49" s="1454"/>
      <c r="D49" s="1454"/>
      <c r="E49" s="1454"/>
      <c r="F49" s="1455">
        <f>SUM(F46:F48)</f>
        <v>584297.84</v>
      </c>
      <c r="G49" s="1455">
        <f t="shared" ref="G49:L49" si="10">SUM(G46:G48)</f>
        <v>584297.84</v>
      </c>
      <c r="H49" s="1455">
        <f t="shared" si="10"/>
        <v>1091262.1399999999</v>
      </c>
      <c r="I49" s="1455">
        <f t="shared" si="10"/>
        <v>506964.3</v>
      </c>
      <c r="J49" s="1455">
        <f t="shared" si="10"/>
        <v>506964.3</v>
      </c>
      <c r="K49" s="1455">
        <f t="shared" si="10"/>
        <v>506964.3</v>
      </c>
      <c r="L49" s="1455">
        <f t="shared" si="10"/>
        <v>506964.3</v>
      </c>
    </row>
    <row r="50" spans="1:12" ht="13.35" customHeight="1"/>
    <row r="51" spans="1:12" s="1444" customFormat="1" ht="12.15" customHeight="1">
      <c r="A51" s="1445" t="s">
        <v>1836</v>
      </c>
      <c r="B51" s="1445"/>
      <c r="C51" s="1445"/>
      <c r="D51" s="1445"/>
      <c r="E51" s="1445"/>
      <c r="F51" s="1445"/>
      <c r="G51" s="1445"/>
      <c r="H51" s="1445"/>
      <c r="I51" s="1445"/>
      <c r="J51" s="1445"/>
      <c r="K51" s="1445"/>
      <c r="L51" s="1445"/>
    </row>
    <row r="52" spans="1:12" ht="10.95" customHeight="1">
      <c r="A52" s="1446" t="s">
        <v>295</v>
      </c>
      <c r="B52" s="1447">
        <v>45937</v>
      </c>
      <c r="C52" s="1447">
        <v>45944</v>
      </c>
      <c r="D52" s="1446" t="s">
        <v>1935</v>
      </c>
      <c r="E52" s="1446"/>
      <c r="F52" s="1448">
        <v>1770000</v>
      </c>
      <c r="G52" s="1448">
        <f>SUM(H52:L52)</f>
        <v>1770000</v>
      </c>
      <c r="H52" s="1467">
        <v>1770000</v>
      </c>
    </row>
    <row r="53" spans="1:12" ht="10.95" customHeight="1">
      <c r="A53" s="1446"/>
      <c r="B53" s="1447"/>
      <c r="C53" s="1447"/>
      <c r="D53" s="1446"/>
      <c r="E53" s="1446"/>
      <c r="F53" s="1448"/>
      <c r="G53" s="1448"/>
      <c r="H53" s="1457">
        <v>1770000</v>
      </c>
      <c r="I53" s="1457">
        <v>1770000</v>
      </c>
      <c r="J53" s="1457">
        <v>1770000</v>
      </c>
      <c r="K53" s="1457">
        <v>1770000</v>
      </c>
      <c r="L53" s="1457">
        <v>1770000</v>
      </c>
    </row>
    <row r="54" spans="1:12" ht="10.95" customHeight="1">
      <c r="A54" s="1454" t="s">
        <v>1838</v>
      </c>
      <c r="B54" s="1454"/>
      <c r="C54" s="1454"/>
      <c r="D54" s="1454"/>
      <c r="E54" s="1454"/>
      <c r="F54" s="1455">
        <f>SUM(F52:F53)</f>
        <v>1770000</v>
      </c>
      <c r="G54" s="1455">
        <f t="shared" ref="G54:L54" si="11">SUM(G52:G53)</f>
        <v>1770000</v>
      </c>
      <c r="H54" s="1455">
        <f t="shared" si="11"/>
        <v>3540000</v>
      </c>
      <c r="I54" s="1455">
        <f t="shared" si="11"/>
        <v>1770000</v>
      </c>
      <c r="J54" s="1455">
        <f t="shared" si="11"/>
        <v>1770000</v>
      </c>
      <c r="K54" s="1455">
        <f t="shared" si="11"/>
        <v>1770000</v>
      </c>
      <c r="L54" s="1455">
        <f t="shared" si="11"/>
        <v>1770000</v>
      </c>
    </row>
    <row r="55" spans="1:12" ht="13.35" customHeight="1"/>
    <row r="56" spans="1:12" ht="13.35" customHeight="1">
      <c r="A56" s="1445" t="s">
        <v>1809</v>
      </c>
      <c r="B56" s="1445"/>
      <c r="C56" s="1445"/>
      <c r="D56" s="1445"/>
      <c r="E56" s="1445"/>
      <c r="F56" s="1445"/>
      <c r="G56" s="1445"/>
      <c r="H56" s="1445"/>
      <c r="I56" s="1445"/>
      <c r="J56" s="1445"/>
      <c r="K56" s="1445"/>
      <c r="L56" s="1445"/>
    </row>
    <row r="57" spans="1:12" ht="13.35" customHeight="1">
      <c r="A57" s="1446" t="s">
        <v>2059</v>
      </c>
      <c r="B57" s="1447">
        <v>45937</v>
      </c>
      <c r="C57" s="1447">
        <v>45944</v>
      </c>
      <c r="D57" s="1446"/>
      <c r="E57" s="1446"/>
      <c r="F57" s="1448"/>
      <c r="G57" s="1448">
        <f>SUM(H57:L57)</f>
        <v>1250000</v>
      </c>
      <c r="H57" s="1457">
        <v>250000</v>
      </c>
      <c r="I57" s="1457">
        <v>250000</v>
      </c>
      <c r="J57" s="1457">
        <v>250000</v>
      </c>
      <c r="K57" s="1457">
        <v>250000</v>
      </c>
      <c r="L57" s="1457">
        <v>250000</v>
      </c>
    </row>
    <row r="58" spans="1:12" ht="13.35" customHeight="1">
      <c r="A58" s="1454" t="s">
        <v>2060</v>
      </c>
      <c r="B58" s="1454"/>
      <c r="C58" s="1454"/>
      <c r="D58" s="1454"/>
      <c r="E58" s="1454"/>
      <c r="F58" s="1455">
        <f t="shared" ref="F58:L58" si="12">F57</f>
        <v>0</v>
      </c>
      <c r="G58" s="1455">
        <f t="shared" si="12"/>
        <v>1250000</v>
      </c>
      <c r="H58" s="1455">
        <f t="shared" si="12"/>
        <v>250000</v>
      </c>
      <c r="I58" s="1455">
        <f t="shared" si="12"/>
        <v>250000</v>
      </c>
      <c r="J58" s="1455">
        <f t="shared" si="12"/>
        <v>250000</v>
      </c>
      <c r="K58" s="1455">
        <f t="shared" si="12"/>
        <v>250000</v>
      </c>
      <c r="L58" s="1455">
        <f t="shared" si="12"/>
        <v>250000</v>
      </c>
    </row>
    <row r="59" spans="1:12" ht="13.35" customHeight="1"/>
    <row r="60" spans="1:12" s="1444" customFormat="1" ht="12.15" customHeight="1">
      <c r="A60" s="1445" t="s">
        <v>1475</v>
      </c>
      <c r="B60" s="1445"/>
      <c r="C60" s="1445"/>
      <c r="D60" s="1445"/>
      <c r="E60" s="1445"/>
      <c r="F60" s="1445"/>
      <c r="G60" s="1445"/>
      <c r="H60" s="1445"/>
      <c r="I60" s="1445"/>
      <c r="J60" s="1445"/>
      <c r="K60" s="1445"/>
      <c r="L60" s="1445"/>
    </row>
    <row r="61" spans="1:12" ht="10.95" customHeight="1">
      <c r="A61" s="1446" t="s">
        <v>1875</v>
      </c>
      <c r="B61" s="1447">
        <v>45900</v>
      </c>
      <c r="C61" s="1447"/>
      <c r="D61" s="1446" t="s">
        <v>1876</v>
      </c>
      <c r="E61" s="1446"/>
      <c r="F61" s="1448">
        <v>279018.3</v>
      </c>
      <c r="G61" s="1448">
        <f t="shared" ref="G61:G67" si="13">SUM(H61:L61)</f>
        <v>279018.3</v>
      </c>
      <c r="H61" s="1467">
        <v>279018.3</v>
      </c>
      <c r="I61" s="1448"/>
      <c r="J61" s="1448"/>
      <c r="K61" s="1448"/>
      <c r="L61" s="1448"/>
    </row>
    <row r="62" spans="1:12" ht="10.95" customHeight="1">
      <c r="A62" s="1446" t="s">
        <v>1875</v>
      </c>
      <c r="B62" s="1447">
        <v>45900</v>
      </c>
      <c r="C62" s="1447"/>
      <c r="D62" s="1446" t="s">
        <v>1876</v>
      </c>
      <c r="E62" s="1446"/>
      <c r="F62" s="1448">
        <v>14458.61</v>
      </c>
      <c r="G62" s="1448">
        <f t="shared" si="13"/>
        <v>14458.61</v>
      </c>
      <c r="H62" s="1467">
        <v>14458.61</v>
      </c>
      <c r="I62" s="1448"/>
      <c r="J62" s="1448"/>
      <c r="K62" s="1448"/>
      <c r="L62" s="1448"/>
    </row>
    <row r="63" spans="1:12" ht="10.95" customHeight="1">
      <c r="A63" s="1446" t="s">
        <v>914</v>
      </c>
      <c r="B63" s="1447">
        <v>45910</v>
      </c>
      <c r="C63" s="1447">
        <v>45925</v>
      </c>
      <c r="D63" s="1446" t="s">
        <v>1840</v>
      </c>
      <c r="E63" s="1446"/>
      <c r="F63" s="1448">
        <v>2032347.81</v>
      </c>
      <c r="G63" s="1448">
        <f t="shared" si="13"/>
        <v>2032347.81</v>
      </c>
      <c r="H63" s="1467">
        <v>2032347.81</v>
      </c>
      <c r="I63" s="1448"/>
      <c r="J63" s="1448"/>
      <c r="K63" s="1448"/>
      <c r="L63" s="1448"/>
    </row>
    <row r="64" spans="1:12" ht="10.95" customHeight="1">
      <c r="A64" s="1450" t="s">
        <v>1569</v>
      </c>
      <c r="B64" s="1451">
        <v>45933</v>
      </c>
      <c r="C64" s="1451">
        <v>45947</v>
      </c>
      <c r="D64" s="1450" t="s">
        <v>1938</v>
      </c>
      <c r="E64" s="1450"/>
      <c r="F64" s="1452">
        <v>6641071.5300000003</v>
      </c>
      <c r="G64" s="1448">
        <f t="shared" si="13"/>
        <v>6641071.5300000003</v>
      </c>
      <c r="H64" s="1468">
        <v>6641071.5300000003</v>
      </c>
      <c r="I64" s="1452"/>
      <c r="J64" s="1452"/>
      <c r="K64" s="1452"/>
      <c r="L64" s="1452"/>
    </row>
    <row r="65" spans="1:12" ht="10.95" customHeight="1">
      <c r="A65" s="1450" t="s">
        <v>389</v>
      </c>
      <c r="B65" s="1451">
        <v>45943</v>
      </c>
      <c r="C65" s="1451">
        <v>45956</v>
      </c>
      <c r="D65" s="1450" t="s">
        <v>1940</v>
      </c>
      <c r="E65" s="1450"/>
      <c r="F65" s="1452">
        <v>480332.16</v>
      </c>
      <c r="G65" s="1448">
        <f t="shared" si="13"/>
        <v>480332.16</v>
      </c>
      <c r="H65" s="1468">
        <v>480332.16</v>
      </c>
      <c r="I65" s="1452"/>
      <c r="J65" s="1452"/>
      <c r="K65" s="1452"/>
      <c r="L65" s="1452"/>
    </row>
    <row r="66" spans="1:12" ht="10.95" customHeight="1">
      <c r="A66" s="1450" t="s">
        <v>1569</v>
      </c>
      <c r="B66" s="1451">
        <v>45943</v>
      </c>
      <c r="C66" s="1451">
        <v>45957</v>
      </c>
      <c r="D66" s="1450" t="s">
        <v>1942</v>
      </c>
      <c r="E66" s="1450"/>
      <c r="F66" s="1452">
        <v>3552763.7</v>
      </c>
      <c r="G66" s="1448">
        <f t="shared" si="13"/>
        <v>3552763.7</v>
      </c>
      <c r="H66" s="1468">
        <v>3552763.7</v>
      </c>
      <c r="I66" s="1452"/>
      <c r="J66" s="1452"/>
      <c r="K66" s="1452"/>
      <c r="L66" s="1452"/>
    </row>
    <row r="67" spans="1:12" ht="10.95" customHeight="1">
      <c r="A67" s="1450" t="s">
        <v>2061</v>
      </c>
      <c r="B67" s="1451"/>
      <c r="C67" s="1451"/>
      <c r="D67" s="1450"/>
      <c r="E67" s="1450"/>
      <c r="F67" s="1452"/>
      <c r="G67" s="1448">
        <f t="shared" si="13"/>
        <v>61424178.770000003</v>
      </c>
      <c r="H67" s="1456">
        <v>12642578.77</v>
      </c>
      <c r="I67" s="1456">
        <v>12195400.000000002</v>
      </c>
      <c r="J67" s="1456">
        <v>12195400.000000002</v>
      </c>
      <c r="K67" s="1456">
        <v>12195400.000000002</v>
      </c>
      <c r="L67" s="1456">
        <v>12195400.000000002</v>
      </c>
    </row>
    <row r="68" spans="1:12" ht="10.95" customHeight="1">
      <c r="A68" s="1454" t="s">
        <v>1841</v>
      </c>
      <c r="B68" s="1454"/>
      <c r="C68" s="1454"/>
      <c r="D68" s="1454"/>
      <c r="E68" s="1454"/>
      <c r="F68" s="1455">
        <f t="shared" ref="F68:L68" si="14">SUM(F61:F67)</f>
        <v>12999992.109999999</v>
      </c>
      <c r="G68" s="1455">
        <f t="shared" si="14"/>
        <v>74424170.879999995</v>
      </c>
      <c r="H68" s="1455">
        <f t="shared" si="14"/>
        <v>25642570.879999999</v>
      </c>
      <c r="I68" s="1455">
        <f t="shared" si="14"/>
        <v>12195400.000000002</v>
      </c>
      <c r="J68" s="1455">
        <f t="shared" si="14"/>
        <v>12195400.000000002</v>
      </c>
      <c r="K68" s="1455">
        <f t="shared" si="14"/>
        <v>12195400.000000002</v>
      </c>
      <c r="L68" s="1455">
        <f t="shared" si="14"/>
        <v>12195400.000000002</v>
      </c>
    </row>
    <row r="69" spans="1:12" ht="13.35" customHeight="1"/>
    <row r="70" spans="1:12" s="1444" customFormat="1" ht="12.15" customHeight="1">
      <c r="A70" s="1445" t="s">
        <v>1842</v>
      </c>
      <c r="B70" s="1445"/>
      <c r="C70" s="1445"/>
      <c r="D70" s="1445"/>
      <c r="E70" s="1445"/>
      <c r="F70" s="1445"/>
      <c r="G70" s="1445"/>
      <c r="H70" s="1445"/>
      <c r="I70" s="1445"/>
      <c r="J70" s="1445"/>
      <c r="K70" s="1445"/>
      <c r="L70" s="1445"/>
    </row>
    <row r="71" spans="1:12" ht="10.95" customHeight="1">
      <c r="A71" s="1446" t="s">
        <v>389</v>
      </c>
      <c r="B71" s="1447">
        <v>45937</v>
      </c>
      <c r="C71" s="1447">
        <v>45944</v>
      </c>
      <c r="D71" s="1446" t="s">
        <v>1945</v>
      </c>
      <c r="E71" s="1446"/>
      <c r="F71" s="1448">
        <v>767000</v>
      </c>
      <c r="G71" s="1448">
        <f>SUM(H71:L71)</f>
        <v>767000</v>
      </c>
      <c r="H71" s="1467">
        <v>767000</v>
      </c>
    </row>
    <row r="72" spans="1:12" ht="10.95" customHeight="1">
      <c r="A72" s="1446"/>
      <c r="B72" s="1447"/>
      <c r="C72" s="1447"/>
      <c r="D72" s="1446"/>
      <c r="E72" s="1446"/>
      <c r="F72" s="1448"/>
      <c r="G72" s="1448"/>
      <c r="H72" s="1457">
        <v>767000</v>
      </c>
      <c r="I72" s="1457">
        <v>767000</v>
      </c>
      <c r="J72" s="1457">
        <v>767000</v>
      </c>
      <c r="K72" s="1457">
        <v>767000</v>
      </c>
      <c r="L72" s="1457">
        <v>767000</v>
      </c>
    </row>
    <row r="73" spans="1:12" ht="10.95" customHeight="1">
      <c r="A73" s="1454" t="s">
        <v>1844</v>
      </c>
      <c r="B73" s="1454"/>
      <c r="C73" s="1454"/>
      <c r="D73" s="1454"/>
      <c r="E73" s="1454"/>
      <c r="F73" s="1455">
        <f>SUM(F71:F72)</f>
        <v>767000</v>
      </c>
      <c r="G73" s="1455">
        <f t="shared" ref="G73:L73" si="15">SUM(G71:G72)</f>
        <v>767000</v>
      </c>
      <c r="H73" s="1455">
        <f t="shared" si="15"/>
        <v>1534000</v>
      </c>
      <c r="I73" s="1455">
        <f t="shared" si="15"/>
        <v>767000</v>
      </c>
      <c r="J73" s="1455">
        <f t="shared" si="15"/>
        <v>767000</v>
      </c>
      <c r="K73" s="1455">
        <f t="shared" si="15"/>
        <v>767000</v>
      </c>
      <c r="L73" s="1455">
        <f t="shared" si="15"/>
        <v>767000</v>
      </c>
    </row>
    <row r="74" spans="1:12" ht="13.35" customHeight="1"/>
    <row r="75" spans="1:12" s="1444" customFormat="1" ht="12.15" customHeight="1">
      <c r="A75" s="1445" t="s">
        <v>1314</v>
      </c>
      <c r="B75" s="1445"/>
      <c r="C75" s="1445"/>
      <c r="D75" s="1445"/>
      <c r="E75" s="1445"/>
      <c r="F75" s="1445"/>
      <c r="G75" s="1445"/>
      <c r="H75" s="1445"/>
      <c r="I75" s="1445"/>
      <c r="J75" s="1445"/>
      <c r="K75" s="1445"/>
      <c r="L75" s="1445"/>
    </row>
    <row r="76" spans="1:12" ht="10.95" customHeight="1">
      <c r="A76" s="1446" t="s">
        <v>778</v>
      </c>
      <c r="B76" s="1447">
        <v>45937</v>
      </c>
      <c r="C76" s="1447">
        <v>45944</v>
      </c>
      <c r="D76" s="1446" t="s">
        <v>1948</v>
      </c>
      <c r="E76" s="1446"/>
      <c r="F76" s="1448">
        <v>1132936.8999999999</v>
      </c>
      <c r="G76" s="1448">
        <f>SUM(H76:L76)</f>
        <v>1132936.8999999999</v>
      </c>
      <c r="H76" s="1467">
        <v>1132936.8999999999</v>
      </c>
    </row>
    <row r="77" spans="1:12" ht="10.95" customHeight="1">
      <c r="A77" s="1446"/>
      <c r="B77" s="1447"/>
      <c r="C77" s="1447"/>
      <c r="D77" s="1446"/>
      <c r="E77" s="1446"/>
      <c r="F77" s="1448"/>
      <c r="G77" s="1448"/>
      <c r="H77" s="1457">
        <v>1276808.69</v>
      </c>
      <c r="I77" s="1457">
        <v>1300000</v>
      </c>
      <c r="J77" s="1457">
        <v>1300000</v>
      </c>
      <c r="K77" s="1457">
        <v>1300000</v>
      </c>
      <c r="L77" s="1457">
        <v>1300000</v>
      </c>
    </row>
    <row r="78" spans="1:12" ht="10.95" customHeight="1">
      <c r="A78" s="1454" t="s">
        <v>1846</v>
      </c>
      <c r="B78" s="1454"/>
      <c r="C78" s="1454"/>
      <c r="D78" s="1454"/>
      <c r="E78" s="1454"/>
      <c r="F78" s="1455">
        <f>SUM(F76:F77)</f>
        <v>1132936.8999999999</v>
      </c>
      <c r="G78" s="1455">
        <f t="shared" ref="G78:L78" si="16">SUM(G76:G77)</f>
        <v>1132936.8999999999</v>
      </c>
      <c r="H78" s="1455">
        <f t="shared" si="16"/>
        <v>2409745.59</v>
      </c>
      <c r="I78" s="1455">
        <f t="shared" si="16"/>
        <v>1300000</v>
      </c>
      <c r="J78" s="1455">
        <f t="shared" si="16"/>
        <v>1300000</v>
      </c>
      <c r="K78" s="1455">
        <f t="shared" si="16"/>
        <v>1300000</v>
      </c>
      <c r="L78" s="1455">
        <f t="shared" si="16"/>
        <v>1300000</v>
      </c>
    </row>
    <row r="79" spans="1:12" ht="13.35" customHeight="1"/>
    <row r="80" spans="1:12" s="1444" customFormat="1" ht="12.15" customHeight="1">
      <c r="A80" s="1445" t="s">
        <v>1847</v>
      </c>
      <c r="B80" s="1445"/>
      <c r="C80" s="1445"/>
      <c r="D80" s="1445"/>
      <c r="E80" s="1445"/>
      <c r="F80" s="1445"/>
      <c r="G80" s="1445"/>
      <c r="H80" s="1445"/>
      <c r="I80" s="1445"/>
      <c r="J80" s="1445"/>
      <c r="K80" s="1445"/>
      <c r="L80" s="1445"/>
    </row>
    <row r="81" spans="1:12" ht="10.95" customHeight="1">
      <c r="A81" s="1446" t="s">
        <v>1043</v>
      </c>
      <c r="B81" s="1447">
        <v>45916</v>
      </c>
      <c r="C81" s="1447">
        <v>45930</v>
      </c>
      <c r="D81" s="1446" t="s">
        <v>1848</v>
      </c>
      <c r="E81" s="1446"/>
      <c r="F81" s="1448">
        <v>15244.27</v>
      </c>
      <c r="G81" s="1448">
        <f t="shared" ref="G81:G84" si="17">SUM(H81:L81)</f>
        <v>15244.27</v>
      </c>
      <c r="H81" s="1467">
        <v>15244.27</v>
      </c>
      <c r="I81" s="1448"/>
      <c r="J81" s="1448"/>
      <c r="K81" s="1448"/>
      <c r="L81" s="1448"/>
    </row>
    <row r="82" spans="1:12" ht="10.95" customHeight="1">
      <c r="A82" s="1450" t="s">
        <v>1045</v>
      </c>
      <c r="B82" s="1451">
        <v>45930</v>
      </c>
      <c r="C82" s="1451">
        <v>45960</v>
      </c>
      <c r="D82" s="1450" t="s">
        <v>1849</v>
      </c>
      <c r="E82" s="1450"/>
      <c r="F82" s="1452">
        <v>67968</v>
      </c>
      <c r="G82" s="1448">
        <f t="shared" si="17"/>
        <v>67968</v>
      </c>
      <c r="H82" s="1468">
        <v>67968</v>
      </c>
      <c r="I82" s="1452"/>
      <c r="J82" s="1452"/>
      <c r="K82" s="1452"/>
      <c r="L82" s="1452"/>
    </row>
    <row r="83" spans="1:12" ht="10.95" customHeight="1">
      <c r="A83" s="1450" t="s">
        <v>1043</v>
      </c>
      <c r="B83" s="1451">
        <v>45950</v>
      </c>
      <c r="C83" s="1451">
        <v>45961</v>
      </c>
      <c r="D83" s="1450" t="s">
        <v>2025</v>
      </c>
      <c r="E83" s="1450"/>
      <c r="F83" s="1452">
        <v>15603.33</v>
      </c>
      <c r="G83" s="1448">
        <f t="shared" si="17"/>
        <v>15603.33</v>
      </c>
      <c r="H83" s="1453">
        <v>15603.33</v>
      </c>
    </row>
    <row r="84" spans="1:12" ht="10.95" customHeight="1">
      <c r="A84" s="1450" t="s">
        <v>1045</v>
      </c>
      <c r="B84" s="1451">
        <v>45961</v>
      </c>
      <c r="C84" s="1451">
        <v>45991</v>
      </c>
      <c r="D84" s="1450" t="s">
        <v>2026</v>
      </c>
      <c r="E84" s="1450"/>
      <c r="F84" s="1452">
        <v>70233.600000000006</v>
      </c>
      <c r="G84" s="1448">
        <f t="shared" si="17"/>
        <v>70233.600000000006</v>
      </c>
      <c r="H84" s="1453">
        <v>70233.600000000006</v>
      </c>
    </row>
    <row r="85" spans="1:12" ht="10.95" customHeight="1">
      <c r="A85" s="1450"/>
      <c r="B85" s="1451"/>
      <c r="C85" s="1451"/>
      <c r="D85" s="1450"/>
      <c r="E85" s="1450"/>
      <c r="F85" s="1452"/>
      <c r="G85" s="1448"/>
      <c r="H85" s="1456">
        <v>20000</v>
      </c>
      <c r="I85" s="1456">
        <v>20000</v>
      </c>
      <c r="J85" s="1456">
        <v>20000</v>
      </c>
      <c r="K85" s="1456">
        <v>20000</v>
      </c>
      <c r="L85" s="1456">
        <v>20000</v>
      </c>
    </row>
    <row r="86" spans="1:12" ht="10.95" customHeight="1">
      <c r="A86" s="1450"/>
      <c r="B86" s="1451"/>
      <c r="C86" s="1451"/>
      <c r="D86" s="1450"/>
      <c r="E86" s="1450"/>
      <c r="F86" s="1452"/>
      <c r="G86" s="1448"/>
      <c r="H86" s="1456">
        <v>80000</v>
      </c>
      <c r="I86" s="1456">
        <v>80000</v>
      </c>
      <c r="J86" s="1456">
        <v>80000</v>
      </c>
      <c r="K86" s="1456">
        <v>80000</v>
      </c>
      <c r="L86" s="1456">
        <v>80000</v>
      </c>
    </row>
    <row r="87" spans="1:12" ht="10.95" customHeight="1">
      <c r="A87" s="1454" t="s">
        <v>1850</v>
      </c>
      <c r="B87" s="1454"/>
      <c r="C87" s="1454"/>
      <c r="D87" s="1454"/>
      <c r="E87" s="1454"/>
      <c r="F87" s="1455">
        <f>SUM(F81:F86)</f>
        <v>169049.2</v>
      </c>
      <c r="G87" s="1455">
        <f t="shared" ref="G87:L87" si="18">SUM(G81:G86)</f>
        <v>169049.2</v>
      </c>
      <c r="H87" s="1455">
        <f t="shared" si="18"/>
        <v>269049.2</v>
      </c>
      <c r="I87" s="1455">
        <f t="shared" si="18"/>
        <v>100000</v>
      </c>
      <c r="J87" s="1455">
        <f t="shared" si="18"/>
        <v>100000</v>
      </c>
      <c r="K87" s="1455">
        <f t="shared" si="18"/>
        <v>100000</v>
      </c>
      <c r="L87" s="1455">
        <f t="shared" si="18"/>
        <v>100000</v>
      </c>
    </row>
    <row r="88" spans="1:12" ht="13.35" customHeight="1"/>
    <row r="89" spans="1:12" s="1444" customFormat="1" ht="12.15" customHeight="1">
      <c r="A89" s="1445" t="s">
        <v>2027</v>
      </c>
      <c r="B89" s="1445"/>
      <c r="C89" s="1445"/>
      <c r="D89" s="1445"/>
      <c r="E89" s="1445"/>
      <c r="F89" s="1445"/>
      <c r="G89" s="1445"/>
      <c r="H89" s="1445"/>
      <c r="I89" s="1445"/>
      <c r="J89" s="1445"/>
      <c r="K89" s="1445"/>
      <c r="L89" s="1445"/>
    </row>
    <row r="90" spans="1:12" ht="10.95" customHeight="1">
      <c r="A90" s="1446" t="s">
        <v>1254</v>
      </c>
      <c r="B90" s="1447">
        <v>45841</v>
      </c>
      <c r="C90" s="1447">
        <v>45849</v>
      </c>
      <c r="D90" s="1446" t="s">
        <v>1477</v>
      </c>
      <c r="E90" s="1446"/>
      <c r="F90" s="1448">
        <v>11000</v>
      </c>
      <c r="G90" s="1448">
        <f t="shared" ref="G90:G91" si="19">SUM(H90:L90)</f>
        <v>11000</v>
      </c>
      <c r="H90" s="1449">
        <v>11000</v>
      </c>
      <c r="I90" s="1448"/>
      <c r="J90" s="1448"/>
      <c r="K90" s="1448"/>
      <c r="L90" s="1448"/>
    </row>
    <row r="91" spans="1:12" ht="10.95" customHeight="1">
      <c r="A91" s="1450" t="s">
        <v>1367</v>
      </c>
      <c r="B91" s="1451">
        <v>45875</v>
      </c>
      <c r="C91" s="1451">
        <v>45889</v>
      </c>
      <c r="D91" s="1450" t="s">
        <v>1654</v>
      </c>
      <c r="E91" s="1450"/>
      <c r="F91" s="1452">
        <v>470840</v>
      </c>
      <c r="G91" s="1448">
        <f t="shared" si="19"/>
        <v>470840</v>
      </c>
      <c r="H91" s="1468">
        <v>470840</v>
      </c>
      <c r="I91" s="1452"/>
      <c r="J91" s="1452"/>
      <c r="K91" s="1452"/>
      <c r="L91" s="1452"/>
    </row>
    <row r="92" spans="1:12" ht="10.95" customHeight="1">
      <c r="A92" s="1454" t="s">
        <v>2028</v>
      </c>
      <c r="B92" s="1454"/>
      <c r="C92" s="1454"/>
      <c r="D92" s="1454"/>
      <c r="E92" s="1454"/>
      <c r="F92" s="1455">
        <f t="shared" ref="F92:L92" si="20">SUM(F90:F91)</f>
        <v>481840</v>
      </c>
      <c r="G92" s="1455">
        <f t="shared" si="20"/>
        <v>481840</v>
      </c>
      <c r="H92" s="1455">
        <f t="shared" si="20"/>
        <v>481840</v>
      </c>
      <c r="I92" s="1455">
        <f t="shared" si="20"/>
        <v>0</v>
      </c>
      <c r="J92" s="1455">
        <f t="shared" si="20"/>
        <v>0</v>
      </c>
      <c r="K92" s="1455">
        <f t="shared" si="20"/>
        <v>0</v>
      </c>
      <c r="L92" s="1455">
        <f t="shared" si="20"/>
        <v>0</v>
      </c>
    </row>
    <row r="93" spans="1:12" ht="10.95" customHeight="1">
      <c r="A93" s="1458"/>
      <c r="B93" s="1458"/>
      <c r="C93" s="1458"/>
      <c r="D93" s="1458"/>
      <c r="E93" s="1458"/>
      <c r="F93" s="1459"/>
      <c r="G93" s="1459"/>
      <c r="H93" s="1459"/>
      <c r="I93" s="1459"/>
      <c r="J93" s="1459"/>
      <c r="K93" s="1459"/>
      <c r="L93" s="1459"/>
    </row>
    <row r="94" spans="1:12" ht="10.95" customHeight="1">
      <c r="A94" s="1445" t="s">
        <v>2062</v>
      </c>
      <c r="B94" s="1445"/>
      <c r="C94" s="1445"/>
      <c r="D94" s="1445"/>
      <c r="E94" s="1445"/>
      <c r="F94" s="1445"/>
      <c r="G94" s="1445"/>
      <c r="H94" s="1445"/>
      <c r="I94" s="1445"/>
      <c r="J94" s="1445"/>
      <c r="K94" s="1445"/>
      <c r="L94" s="1445"/>
    </row>
    <row r="95" spans="1:12" ht="10.95" customHeight="1">
      <c r="A95" s="1446" t="s">
        <v>1507</v>
      </c>
      <c r="B95" s="1447">
        <v>45925</v>
      </c>
      <c r="C95" s="1447">
        <v>45963</v>
      </c>
      <c r="D95" s="1446" t="s">
        <v>1879</v>
      </c>
      <c r="E95" s="1446"/>
      <c r="F95" s="1448">
        <v>89555.5</v>
      </c>
      <c r="G95" s="1448">
        <f t="shared" ref="G95:G96" si="21">SUM(H95:L95)</f>
        <v>89555.5</v>
      </c>
      <c r="H95" s="1467">
        <v>89555.5</v>
      </c>
      <c r="I95" s="1448"/>
      <c r="J95" s="1448"/>
      <c r="K95" s="1448"/>
      <c r="L95" s="1448"/>
    </row>
    <row r="96" spans="1:12" ht="10.95" customHeight="1">
      <c r="A96" s="1450" t="s">
        <v>1507</v>
      </c>
      <c r="B96" s="1451">
        <v>45931</v>
      </c>
      <c r="C96" s="1451">
        <v>45960</v>
      </c>
      <c r="D96" s="1450" t="s">
        <v>2051</v>
      </c>
      <c r="E96" s="1450"/>
      <c r="F96" s="1452">
        <v>143615.85999999999</v>
      </c>
      <c r="G96" s="1448">
        <f t="shared" si="21"/>
        <v>143615.85999999999</v>
      </c>
      <c r="H96" s="1453">
        <v>143615.85999999999</v>
      </c>
    </row>
    <row r="97" spans="1:12" ht="10.95" customHeight="1">
      <c r="A97" s="1450"/>
      <c r="B97" s="1451"/>
      <c r="C97" s="1451"/>
      <c r="D97" s="1450"/>
      <c r="E97" s="1450"/>
      <c r="F97" s="1452"/>
      <c r="G97" s="1448"/>
      <c r="H97" s="1456">
        <v>250000</v>
      </c>
      <c r="I97" s="1456">
        <v>250000</v>
      </c>
      <c r="J97" s="1456">
        <v>250000</v>
      </c>
      <c r="K97" s="1456">
        <v>250000</v>
      </c>
      <c r="L97" s="1456">
        <v>250000</v>
      </c>
    </row>
    <row r="98" spans="1:12" ht="10.95" customHeight="1">
      <c r="A98" s="1454" t="s">
        <v>2063</v>
      </c>
      <c r="B98" s="1454"/>
      <c r="C98" s="1454"/>
      <c r="D98" s="1454"/>
      <c r="E98" s="1454"/>
      <c r="F98" s="1455">
        <f>SUM(F95:F97)</f>
        <v>233171.36</v>
      </c>
      <c r="G98" s="1455">
        <f t="shared" ref="G98:L98" si="22">SUM(G95:G97)</f>
        <v>233171.36</v>
      </c>
      <c r="H98" s="1455">
        <f t="shared" si="22"/>
        <v>483171.36</v>
      </c>
      <c r="I98" s="1455">
        <f t="shared" si="22"/>
        <v>250000</v>
      </c>
      <c r="J98" s="1455">
        <f t="shared" si="22"/>
        <v>250000</v>
      </c>
      <c r="K98" s="1455">
        <f t="shared" si="22"/>
        <v>250000</v>
      </c>
      <c r="L98" s="1455">
        <f t="shared" si="22"/>
        <v>250000</v>
      </c>
    </row>
    <row r="99" spans="1:12" ht="13.35" customHeight="1"/>
    <row r="100" spans="1:12" s="1444" customFormat="1" ht="12.15" customHeight="1">
      <c r="A100" s="1445" t="s">
        <v>2029</v>
      </c>
      <c r="B100" s="1445"/>
      <c r="C100" s="1445"/>
      <c r="D100" s="1445"/>
      <c r="E100" s="1445"/>
      <c r="F100" s="1445"/>
      <c r="G100" s="1445"/>
      <c r="H100" s="1445"/>
      <c r="I100" s="1445"/>
      <c r="J100" s="1445"/>
      <c r="K100" s="1445"/>
      <c r="L100" s="1445"/>
    </row>
    <row r="101" spans="1:12" ht="10.95" customHeight="1">
      <c r="A101" s="1446" t="s">
        <v>1855</v>
      </c>
      <c r="B101" s="1447">
        <v>45932</v>
      </c>
      <c r="C101" s="1447">
        <v>45963</v>
      </c>
      <c r="D101" s="1446" t="s">
        <v>1953</v>
      </c>
      <c r="E101" s="1446"/>
      <c r="F101" s="1448">
        <v>94400</v>
      </c>
      <c r="G101" s="1448">
        <f t="shared" ref="G101:G102" si="23">SUM(H101:L101)</f>
        <v>94400</v>
      </c>
      <c r="H101" s="1467">
        <v>94400</v>
      </c>
    </row>
    <row r="102" spans="1:12" ht="10.95" customHeight="1">
      <c r="A102" s="1450" t="s">
        <v>1631</v>
      </c>
      <c r="B102" s="1451">
        <v>45945</v>
      </c>
      <c r="C102" s="1451">
        <v>45960</v>
      </c>
      <c r="D102" s="1450" t="s">
        <v>1955</v>
      </c>
      <c r="E102" s="1450"/>
      <c r="F102" s="1452">
        <v>73986</v>
      </c>
      <c r="G102" s="1448">
        <f t="shared" si="23"/>
        <v>73986</v>
      </c>
      <c r="H102" s="1468">
        <v>73986</v>
      </c>
    </row>
    <row r="103" spans="1:12" ht="10.95" customHeight="1">
      <c r="A103" s="1450"/>
      <c r="B103" s="1451"/>
      <c r="C103" s="1451"/>
      <c r="D103" s="1450"/>
      <c r="E103" s="1450"/>
      <c r="F103" s="1452"/>
      <c r="G103" s="1448"/>
      <c r="H103" s="1457">
        <v>94400</v>
      </c>
      <c r="I103" s="1457">
        <v>94400</v>
      </c>
      <c r="J103" s="1457">
        <v>94400</v>
      </c>
      <c r="K103" s="1457">
        <v>94400</v>
      </c>
      <c r="L103" s="1457">
        <v>94400</v>
      </c>
    </row>
    <row r="104" spans="1:12" ht="10.95" customHeight="1">
      <c r="A104" s="1450"/>
      <c r="B104" s="1451"/>
      <c r="C104" s="1451"/>
      <c r="D104" s="1450"/>
      <c r="E104" s="1450"/>
      <c r="F104" s="1452"/>
      <c r="G104" s="1448"/>
      <c r="H104" s="1456">
        <v>74000</v>
      </c>
      <c r="I104" s="1456">
        <v>74000</v>
      </c>
      <c r="J104" s="1456">
        <v>74000</v>
      </c>
      <c r="K104" s="1456">
        <v>74000</v>
      </c>
      <c r="L104" s="1456">
        <v>74000</v>
      </c>
    </row>
    <row r="105" spans="1:12" ht="10.95" customHeight="1">
      <c r="A105" s="1454" t="s">
        <v>2030</v>
      </c>
      <c r="B105" s="1454"/>
      <c r="C105" s="1454"/>
      <c r="D105" s="1454"/>
      <c r="E105" s="1454"/>
      <c r="F105" s="1455">
        <f>SUM(F101:F104)</f>
        <v>168386</v>
      </c>
      <c r="G105" s="1455">
        <f t="shared" ref="G105:L105" si="24">SUM(G101:G104)</f>
        <v>168386</v>
      </c>
      <c r="H105" s="1455">
        <f t="shared" si="24"/>
        <v>336786</v>
      </c>
      <c r="I105" s="1455">
        <f t="shared" si="24"/>
        <v>168400</v>
      </c>
      <c r="J105" s="1455">
        <f t="shared" si="24"/>
        <v>168400</v>
      </c>
      <c r="K105" s="1455">
        <f t="shared" si="24"/>
        <v>168400</v>
      </c>
      <c r="L105" s="1455">
        <f t="shared" si="24"/>
        <v>168400</v>
      </c>
    </row>
    <row r="106" spans="1:12" ht="13.35" customHeight="1"/>
    <row r="107" spans="1:12" s="1444" customFormat="1" ht="12.15" customHeight="1">
      <c r="A107" s="1445" t="s">
        <v>2031</v>
      </c>
      <c r="B107" s="1445"/>
      <c r="C107" s="1445"/>
      <c r="D107" s="1445"/>
      <c r="E107" s="1445"/>
      <c r="F107" s="1445"/>
      <c r="G107" s="1445"/>
      <c r="H107" s="1445"/>
      <c r="I107" s="1445"/>
      <c r="J107" s="1445"/>
      <c r="K107" s="1445"/>
      <c r="L107" s="1445"/>
    </row>
    <row r="108" spans="1:12" ht="10.95" customHeight="1">
      <c r="A108" s="1446" t="s">
        <v>756</v>
      </c>
      <c r="B108" s="1447">
        <v>45925</v>
      </c>
      <c r="C108" s="1447">
        <v>45955</v>
      </c>
      <c r="D108" s="1446" t="s">
        <v>1859</v>
      </c>
      <c r="E108" s="1446"/>
      <c r="F108" s="1448">
        <v>88264</v>
      </c>
      <c r="G108" s="1448">
        <f>SUM(H108:L108)</f>
        <v>88264</v>
      </c>
      <c r="H108" s="1467">
        <v>88264</v>
      </c>
    </row>
    <row r="109" spans="1:12" ht="10.95" customHeight="1">
      <c r="A109" s="1446"/>
      <c r="B109" s="1447"/>
      <c r="C109" s="1447"/>
      <c r="D109" s="1446"/>
      <c r="E109" s="1446"/>
      <c r="F109" s="1448"/>
      <c r="G109" s="1448"/>
      <c r="H109" s="1457">
        <v>120000</v>
      </c>
      <c r="I109" s="1457">
        <v>120000</v>
      </c>
      <c r="J109" s="1457">
        <v>120000</v>
      </c>
      <c r="K109" s="1457">
        <v>120000</v>
      </c>
      <c r="L109" s="1457">
        <v>120000</v>
      </c>
    </row>
    <row r="110" spans="1:12" ht="10.95" customHeight="1">
      <c r="A110" s="1454" t="s">
        <v>2032</v>
      </c>
      <c r="B110" s="1454"/>
      <c r="C110" s="1454"/>
      <c r="D110" s="1454"/>
      <c r="E110" s="1454"/>
      <c r="F110" s="1455">
        <f>SUM(F108:F109)</f>
        <v>88264</v>
      </c>
      <c r="G110" s="1455">
        <f t="shared" ref="G110:L110" si="25">SUM(G108:G109)</f>
        <v>88264</v>
      </c>
      <c r="H110" s="1455">
        <f t="shared" si="25"/>
        <v>208264</v>
      </c>
      <c r="I110" s="1455">
        <f t="shared" si="25"/>
        <v>120000</v>
      </c>
      <c r="J110" s="1455">
        <f t="shared" si="25"/>
        <v>120000</v>
      </c>
      <c r="K110" s="1455">
        <f t="shared" si="25"/>
        <v>120000</v>
      </c>
      <c r="L110" s="1455">
        <f t="shared" si="25"/>
        <v>120000</v>
      </c>
    </row>
    <row r="111" spans="1:12" ht="13.35" customHeight="1"/>
    <row r="112" spans="1:12" s="1444" customFormat="1" ht="12.15" customHeight="1">
      <c r="A112" s="1445" t="s">
        <v>2033</v>
      </c>
      <c r="B112" s="1445"/>
      <c r="C112" s="1445"/>
      <c r="D112" s="1445"/>
      <c r="E112" s="1445"/>
      <c r="F112" s="1445"/>
      <c r="G112" s="1445"/>
      <c r="H112" s="1445"/>
      <c r="I112" s="1445"/>
      <c r="J112" s="1445"/>
      <c r="K112" s="1445"/>
      <c r="L112" s="1445"/>
    </row>
    <row r="113" spans="1:12" ht="10.95" customHeight="1">
      <c r="A113" s="1446" t="s">
        <v>1207</v>
      </c>
      <c r="B113" s="1447">
        <v>45869</v>
      </c>
      <c r="C113" s="1447">
        <v>45898</v>
      </c>
      <c r="D113" s="1446" t="s">
        <v>1482</v>
      </c>
      <c r="E113" s="1446"/>
      <c r="F113" s="1448">
        <v>44132</v>
      </c>
      <c r="G113" s="1448">
        <f t="shared" ref="G113:G119" si="26">SUM(H113:L113)</f>
        <v>44132</v>
      </c>
      <c r="H113" s="1467">
        <v>44132</v>
      </c>
      <c r="I113" s="1448"/>
      <c r="J113" s="1448"/>
      <c r="K113" s="1448"/>
      <c r="L113" s="1448"/>
    </row>
    <row r="114" spans="1:12" ht="10.95" customHeight="1">
      <c r="A114" s="1450" t="s">
        <v>389</v>
      </c>
      <c r="B114" s="1451">
        <v>45937</v>
      </c>
      <c r="C114" s="1451">
        <v>45944</v>
      </c>
      <c r="D114" s="1450" t="s">
        <v>2034</v>
      </c>
      <c r="E114" s="1450"/>
      <c r="F114" s="1452">
        <v>130695.02</v>
      </c>
      <c r="G114" s="1448">
        <f t="shared" si="26"/>
        <v>130695.02</v>
      </c>
      <c r="H114" s="1468">
        <v>130695.02</v>
      </c>
      <c r="I114" s="1452"/>
      <c r="J114" s="1452"/>
      <c r="K114" s="1452"/>
      <c r="L114" s="1452"/>
    </row>
    <row r="115" spans="1:12" ht="10.95" customHeight="1">
      <c r="A115" s="1450" t="s">
        <v>2035</v>
      </c>
      <c r="B115" s="1451">
        <v>45959</v>
      </c>
      <c r="C115" s="1451">
        <v>45960</v>
      </c>
      <c r="D115" s="1450" t="s">
        <v>2036</v>
      </c>
      <c r="E115" s="1450"/>
      <c r="F115" s="1452">
        <v>32957.4</v>
      </c>
      <c r="G115" s="1448">
        <f t="shared" si="26"/>
        <v>32957.4</v>
      </c>
      <c r="H115" s="1453">
        <v>32957.4</v>
      </c>
      <c r="I115" s="1452"/>
      <c r="J115" s="1452"/>
      <c r="K115" s="1452"/>
      <c r="L115" s="1452"/>
    </row>
    <row r="116" spans="1:12" ht="10.95" customHeight="1">
      <c r="A116" s="414" t="s">
        <v>2044</v>
      </c>
      <c r="B116" s="430">
        <v>45731</v>
      </c>
      <c r="C116" s="1451"/>
      <c r="D116" s="414" t="s">
        <v>1318</v>
      </c>
      <c r="E116" s="1450"/>
      <c r="F116" s="415">
        <v>826</v>
      </c>
      <c r="G116" s="1448">
        <f t="shared" si="26"/>
        <v>826</v>
      </c>
      <c r="H116" s="1460">
        <v>826</v>
      </c>
      <c r="I116" s="415"/>
      <c r="J116" s="415"/>
      <c r="K116" s="415"/>
      <c r="L116" s="415"/>
    </row>
    <row r="117" spans="1:12" ht="10.95" customHeight="1">
      <c r="A117" s="414" t="s">
        <v>2045</v>
      </c>
      <c r="B117" s="429">
        <v>45947</v>
      </c>
      <c r="C117" s="1451"/>
      <c r="D117" s="414" t="s">
        <v>2046</v>
      </c>
      <c r="E117" s="1450"/>
      <c r="F117" s="415">
        <v>23010</v>
      </c>
      <c r="G117" s="1448">
        <f t="shared" si="26"/>
        <v>23010</v>
      </c>
      <c r="H117" s="1085">
        <v>23010</v>
      </c>
      <c r="I117" s="415"/>
      <c r="J117" s="415"/>
      <c r="K117" s="415"/>
      <c r="L117" s="415"/>
    </row>
    <row r="118" spans="1:12" ht="10.95" customHeight="1">
      <c r="A118" s="414" t="s">
        <v>2047</v>
      </c>
      <c r="B118" s="429">
        <v>45947</v>
      </c>
      <c r="C118" s="1451"/>
      <c r="D118" s="414" t="s">
        <v>2048</v>
      </c>
      <c r="E118" s="1450"/>
      <c r="F118" s="415">
        <v>29500</v>
      </c>
      <c r="G118" s="1448">
        <f t="shared" si="26"/>
        <v>29500</v>
      </c>
      <c r="H118" s="1085">
        <v>29500</v>
      </c>
      <c r="I118" s="415"/>
      <c r="J118" s="415"/>
      <c r="K118" s="415"/>
      <c r="L118" s="415"/>
    </row>
    <row r="119" spans="1:12" ht="10.95" customHeight="1">
      <c r="A119" s="414" t="s">
        <v>2064</v>
      </c>
      <c r="B119" s="429"/>
      <c r="C119" s="1451"/>
      <c r="D119" s="414"/>
      <c r="E119" s="1450"/>
      <c r="F119" s="415"/>
      <c r="G119" s="1448">
        <f t="shared" si="26"/>
        <v>750000</v>
      </c>
      <c r="H119" s="1457">
        <v>150000</v>
      </c>
      <c r="I119" s="1457">
        <v>150000</v>
      </c>
      <c r="J119" s="1457">
        <v>150000</v>
      </c>
      <c r="K119" s="1457">
        <v>150000</v>
      </c>
      <c r="L119" s="1457">
        <v>150000</v>
      </c>
    </row>
    <row r="120" spans="1:12" ht="10.95" customHeight="1">
      <c r="A120" s="1454" t="s">
        <v>2037</v>
      </c>
      <c r="B120" s="1454"/>
      <c r="C120" s="1454"/>
      <c r="D120" s="1454"/>
      <c r="E120" s="1454"/>
      <c r="F120" s="1455">
        <f t="shared" ref="F120:L120" si="27">SUM(F113:F119)</f>
        <v>261120.42</v>
      </c>
      <c r="G120" s="1455">
        <f t="shared" si="27"/>
        <v>1011120.42</v>
      </c>
      <c r="H120" s="1455">
        <f t="shared" si="27"/>
        <v>411120.42000000004</v>
      </c>
      <c r="I120" s="1455">
        <f t="shared" si="27"/>
        <v>150000</v>
      </c>
      <c r="J120" s="1455">
        <f t="shared" si="27"/>
        <v>150000</v>
      </c>
      <c r="K120" s="1455">
        <f t="shared" si="27"/>
        <v>150000</v>
      </c>
      <c r="L120" s="1455">
        <f t="shared" si="27"/>
        <v>150000</v>
      </c>
    </row>
    <row r="121" spans="1:12" ht="13.35" customHeight="1"/>
    <row r="122" spans="1:12" s="1444" customFormat="1" ht="12.15" customHeight="1">
      <c r="A122" s="1445" t="s">
        <v>2038</v>
      </c>
      <c r="B122" s="1445"/>
      <c r="C122" s="1445"/>
      <c r="D122" s="1445"/>
      <c r="E122" s="1445"/>
      <c r="F122" s="1445"/>
      <c r="G122" s="1445"/>
      <c r="H122" s="1445"/>
      <c r="I122" s="1445"/>
      <c r="J122" s="1445"/>
      <c r="K122" s="1445"/>
      <c r="L122" s="1445"/>
    </row>
    <row r="123" spans="1:12" ht="10.95" customHeight="1">
      <c r="A123" s="1446" t="s">
        <v>389</v>
      </c>
      <c r="B123" s="1447">
        <v>45937</v>
      </c>
      <c r="C123" s="1447">
        <v>45944</v>
      </c>
      <c r="D123" s="1446" t="s">
        <v>1973</v>
      </c>
      <c r="E123" s="1446"/>
      <c r="F123" s="1448">
        <v>148184.4</v>
      </c>
      <c r="G123" s="1448">
        <f>SUM(H123:L123)</f>
        <v>148184.4</v>
      </c>
      <c r="H123" s="1467">
        <v>148184.4</v>
      </c>
    </row>
    <row r="124" spans="1:12" ht="10.95" customHeight="1">
      <c r="A124" s="1446"/>
      <c r="B124" s="1447"/>
      <c r="C124" s="1447"/>
      <c r="D124" s="1446"/>
      <c r="E124" s="1446"/>
      <c r="F124" s="1448"/>
      <c r="G124" s="1448"/>
      <c r="H124" s="1457">
        <v>148500</v>
      </c>
      <c r="I124" s="1457">
        <v>148500</v>
      </c>
      <c r="J124" s="1457">
        <v>148500</v>
      </c>
      <c r="K124" s="1457">
        <v>148500</v>
      </c>
      <c r="L124" s="1457">
        <v>148500</v>
      </c>
    </row>
    <row r="125" spans="1:12" ht="10.95" customHeight="1">
      <c r="A125" s="1454" t="s">
        <v>2039</v>
      </c>
      <c r="B125" s="1454"/>
      <c r="C125" s="1454"/>
      <c r="D125" s="1454"/>
      <c r="E125" s="1454"/>
      <c r="F125" s="1455">
        <f>SUM(F123:F124)</f>
        <v>148184.4</v>
      </c>
      <c r="G125" s="1455">
        <f t="shared" ref="G125:L125" si="28">SUM(G123:G124)</f>
        <v>148184.4</v>
      </c>
      <c r="H125" s="1455">
        <f t="shared" si="28"/>
        <v>296684.40000000002</v>
      </c>
      <c r="I125" s="1455">
        <f t="shared" si="28"/>
        <v>148500</v>
      </c>
      <c r="J125" s="1455">
        <f t="shared" si="28"/>
        <v>148500</v>
      </c>
      <c r="K125" s="1455">
        <f t="shared" si="28"/>
        <v>148500</v>
      </c>
      <c r="L125" s="1455">
        <f t="shared" si="28"/>
        <v>148500</v>
      </c>
    </row>
    <row r="126" spans="1:12" ht="13.35" customHeight="1"/>
    <row r="127" spans="1:12" ht="13.35" customHeight="1">
      <c r="A127" s="1445" t="s">
        <v>860</v>
      </c>
      <c r="B127" s="1445"/>
      <c r="C127" s="1445"/>
      <c r="D127" s="1445"/>
      <c r="E127" s="1445"/>
      <c r="F127" s="1445"/>
      <c r="G127" s="1445"/>
      <c r="H127" s="1445"/>
      <c r="I127" s="1445"/>
      <c r="J127" s="1445"/>
      <c r="K127" s="1445"/>
      <c r="L127" s="1445"/>
    </row>
    <row r="128" spans="1:12" ht="13.35" customHeight="1">
      <c r="A128" s="1446" t="s">
        <v>1884</v>
      </c>
      <c r="B128" s="1447">
        <v>45747</v>
      </c>
      <c r="C128" s="1447">
        <v>45944</v>
      </c>
      <c r="D128" s="1446" t="s">
        <v>1885</v>
      </c>
      <c r="E128" s="1446"/>
      <c r="F128" s="1448">
        <v>5000</v>
      </c>
      <c r="G128" s="1448">
        <f t="shared" ref="G128:G136" si="29">SUM(H128:L128)</f>
        <v>5000</v>
      </c>
      <c r="H128" s="1467">
        <v>5000</v>
      </c>
      <c r="I128" s="1448"/>
      <c r="J128" s="1448"/>
      <c r="K128" s="1448"/>
      <c r="L128" s="1448"/>
    </row>
    <row r="129" spans="1:12" ht="13.35" customHeight="1">
      <c r="A129" s="1446" t="s">
        <v>1884</v>
      </c>
      <c r="B129" s="1447">
        <v>45747</v>
      </c>
      <c r="C129" s="1447"/>
      <c r="D129" s="1446" t="s">
        <v>1886</v>
      </c>
      <c r="E129" s="1446"/>
      <c r="F129" s="1448">
        <v>5000</v>
      </c>
      <c r="G129" s="1448">
        <f t="shared" si="29"/>
        <v>5000</v>
      </c>
      <c r="H129" s="1467">
        <v>5000</v>
      </c>
      <c r="I129" s="1448"/>
      <c r="J129" s="1448"/>
      <c r="K129" s="1448"/>
      <c r="L129" s="1448"/>
    </row>
    <row r="130" spans="1:12" ht="13.35" customHeight="1">
      <c r="A130" s="1446" t="s">
        <v>1520</v>
      </c>
      <c r="B130" s="1447">
        <v>45887</v>
      </c>
      <c r="C130" s="1447"/>
      <c r="D130" s="1446" t="s">
        <v>1671</v>
      </c>
      <c r="E130" s="1446"/>
      <c r="F130" s="1448">
        <v>42225</v>
      </c>
      <c r="G130" s="1448">
        <f t="shared" si="29"/>
        <v>42225</v>
      </c>
      <c r="H130" s="1467">
        <v>42225</v>
      </c>
      <c r="I130" s="1448"/>
      <c r="J130" s="1448"/>
      <c r="K130" s="1448"/>
      <c r="L130" s="1448"/>
    </row>
    <row r="131" spans="1:12" ht="13.35" customHeight="1">
      <c r="A131" s="1446" t="s">
        <v>1520</v>
      </c>
      <c r="B131" s="1447">
        <v>45887</v>
      </c>
      <c r="C131" s="1447"/>
      <c r="D131" s="1446" t="s">
        <v>1671</v>
      </c>
      <c r="E131" s="1446"/>
      <c r="F131" s="1448">
        <v>59818.75</v>
      </c>
      <c r="G131" s="1448">
        <f t="shared" si="29"/>
        <v>59818.75</v>
      </c>
      <c r="H131" s="1467">
        <v>59818.75</v>
      </c>
      <c r="I131" s="1448"/>
      <c r="J131" s="1448"/>
      <c r="K131" s="1448"/>
      <c r="L131" s="1448"/>
    </row>
    <row r="132" spans="1:12" ht="13.35" customHeight="1">
      <c r="A132" s="1446" t="s">
        <v>1672</v>
      </c>
      <c r="B132" s="1447">
        <v>45887</v>
      </c>
      <c r="C132" s="1447"/>
      <c r="D132" s="1446" t="s">
        <v>1673</v>
      </c>
      <c r="E132" s="1446"/>
      <c r="F132" s="1448">
        <v>284315</v>
      </c>
      <c r="G132" s="1448">
        <f t="shared" si="29"/>
        <v>284315</v>
      </c>
      <c r="H132" s="1467">
        <v>284315</v>
      </c>
      <c r="I132" s="1448"/>
      <c r="J132" s="1448"/>
      <c r="K132" s="1448"/>
      <c r="L132" s="1448"/>
    </row>
    <row r="133" spans="1:12" ht="13.35" customHeight="1">
      <c r="A133" s="1446" t="s">
        <v>1669</v>
      </c>
      <c r="B133" s="1447">
        <v>45916</v>
      </c>
      <c r="C133" s="1447"/>
      <c r="D133" s="1446" t="s">
        <v>1887</v>
      </c>
      <c r="E133" s="1446"/>
      <c r="F133" s="1448">
        <v>21611.01</v>
      </c>
      <c r="G133" s="1448">
        <f t="shared" si="29"/>
        <v>21611.01</v>
      </c>
      <c r="H133" s="1467">
        <v>21611.01</v>
      </c>
      <c r="I133" s="1448"/>
      <c r="J133" s="1448"/>
      <c r="K133" s="1448"/>
      <c r="L133" s="1448"/>
    </row>
    <row r="134" spans="1:12" ht="13.35" customHeight="1">
      <c r="A134" s="1446" t="s">
        <v>1888</v>
      </c>
      <c r="B134" s="1447">
        <v>45923</v>
      </c>
      <c r="C134" s="1447"/>
      <c r="D134" s="1446" t="s">
        <v>1889</v>
      </c>
      <c r="E134" s="1446"/>
      <c r="F134" s="1448">
        <v>10000</v>
      </c>
      <c r="G134" s="1448">
        <f t="shared" si="29"/>
        <v>10000</v>
      </c>
      <c r="H134" s="1467">
        <v>10000</v>
      </c>
      <c r="I134" s="1448"/>
      <c r="J134" s="1448"/>
      <c r="K134" s="1448"/>
      <c r="L134" s="1448"/>
    </row>
    <row r="135" spans="1:12" ht="13.35" customHeight="1">
      <c r="A135" s="1465" t="s">
        <v>1150</v>
      </c>
      <c r="B135" s="1447"/>
      <c r="C135" s="1447"/>
      <c r="D135" s="1446" t="s">
        <v>2065</v>
      </c>
      <c r="E135" s="1446"/>
      <c r="F135" s="1448"/>
      <c r="G135" s="1448">
        <f t="shared" si="29"/>
        <v>2091958.99</v>
      </c>
      <c r="H135" s="1448"/>
      <c r="I135" s="1457">
        <v>2091958.99</v>
      </c>
      <c r="J135" s="1448"/>
      <c r="K135" s="1448"/>
      <c r="L135" s="1448"/>
    </row>
    <row r="136" spans="1:12" ht="13.35" customHeight="1">
      <c r="A136" s="1446" t="s">
        <v>2066</v>
      </c>
      <c r="B136" s="1447"/>
      <c r="C136" s="1447"/>
      <c r="D136" s="1446" t="s">
        <v>2067</v>
      </c>
      <c r="E136" s="1446"/>
      <c r="F136" s="1448"/>
      <c r="G136" s="1448">
        <f t="shared" si="29"/>
        <v>1431340</v>
      </c>
      <c r="H136" s="1457">
        <v>357835</v>
      </c>
      <c r="I136" s="1457"/>
      <c r="J136" s="1457">
        <v>357835</v>
      </c>
      <c r="K136" s="1457">
        <v>715670</v>
      </c>
      <c r="L136" s="1448"/>
    </row>
    <row r="137" spans="1:12" ht="10.95" customHeight="1">
      <c r="A137" s="1450" t="s">
        <v>2055</v>
      </c>
      <c r="B137" s="1451"/>
      <c r="C137" s="1451"/>
      <c r="D137" s="1450"/>
      <c r="E137" s="1450"/>
      <c r="F137" s="1452"/>
      <c r="G137" s="1448"/>
      <c r="H137" s="1456">
        <v>53100</v>
      </c>
      <c r="I137" s="1456"/>
      <c r="J137" s="1456"/>
      <c r="K137" s="1456"/>
      <c r="L137" s="1456"/>
    </row>
    <row r="138" spans="1:12" ht="13.35" customHeight="1">
      <c r="A138" s="1454" t="s">
        <v>1864</v>
      </c>
      <c r="B138" s="1454"/>
      <c r="C138" s="1454"/>
      <c r="D138" s="1454"/>
      <c r="E138" s="1454"/>
      <c r="F138" s="1455">
        <f>SUM(F128:F137)</f>
        <v>427969.76</v>
      </c>
      <c r="G138" s="1455">
        <f t="shared" ref="G138:L138" si="30">SUM(G128:G137)</f>
        <v>3951268.75</v>
      </c>
      <c r="H138" s="1455">
        <f t="shared" si="30"/>
        <v>838904.76</v>
      </c>
      <c r="I138" s="1455">
        <f t="shared" si="30"/>
        <v>2091958.99</v>
      </c>
      <c r="J138" s="1455">
        <f t="shared" si="30"/>
        <v>357835</v>
      </c>
      <c r="K138" s="1455">
        <f t="shared" si="30"/>
        <v>715670</v>
      </c>
      <c r="L138" s="1455">
        <f t="shared" si="30"/>
        <v>0</v>
      </c>
    </row>
    <row r="139" spans="1:12" ht="13.35" customHeight="1"/>
    <row r="140" spans="1:12" ht="10.95" customHeight="1">
      <c r="A140" s="1461" t="s">
        <v>164</v>
      </c>
      <c r="B140" s="1461"/>
      <c r="C140" s="1461"/>
      <c r="D140" s="1461"/>
      <c r="E140" s="1461"/>
      <c r="F140" s="1462">
        <f>+F14+F25+F30+F36+F43+F49+F54+F58+F68+F73+F78+F87+F92+F98+F105+F110+F120+F125+F138</f>
        <v>25140597.739999998</v>
      </c>
      <c r="G140" s="1462">
        <f t="shared" ref="G140:L140" si="31">+G14+G25+G30+G36+G43+G49+G54+G58+G68+G73+G78+G87+G92+G98+G105+G110+G120+G125+G138</f>
        <v>126138075.50000001</v>
      </c>
      <c r="H140" s="1462">
        <f t="shared" si="31"/>
        <v>45573607.530000001</v>
      </c>
      <c r="I140" s="1462">
        <f t="shared" si="31"/>
        <v>30100070.860000003</v>
      </c>
      <c r="J140" s="1462">
        <f t="shared" si="31"/>
        <v>29494099.300000004</v>
      </c>
      <c r="K140" s="1462">
        <f t="shared" si="31"/>
        <v>27501934.300000004</v>
      </c>
      <c r="L140" s="1462">
        <f t="shared" si="31"/>
        <v>21286264.300000001</v>
      </c>
    </row>
    <row r="141" spans="1:12" ht="13.35" customHeight="1">
      <c r="H141" s="400">
        <f>SUM(H140:L140)</f>
        <v>153955976.29000002</v>
      </c>
    </row>
    <row r="142" spans="1:12">
      <c r="H142" s="400">
        <f>+F140-H141</f>
        <v>-128815378.55000003</v>
      </c>
    </row>
    <row r="146" spans="1:1">
      <c r="A146" s="1466" t="s">
        <v>2068</v>
      </c>
    </row>
    <row r="147" spans="1:1">
      <c r="A147" s="1463" t="s">
        <v>2069</v>
      </c>
    </row>
    <row r="148" spans="1:1">
      <c r="A148" s="1464" t="s">
        <v>2070</v>
      </c>
    </row>
  </sheetData>
  <autoFilter ref="A1:L152" xr:uid="{1DDBEE5A-D952-4DDB-8AA7-E5A00A54BDEC}"/>
  <pageMargins left="0.7" right="0.7" top="0.75" bottom="0.75" header="0.3" footer="0.3"/>
  <pageSetup paperSize="9" fitToWidth="0" fitToHeight="0" orientation="portrait" horizontalDpi="0" verticalDpi="0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45053-F1C6-4266-8F20-3FD38BF97DEF}">
  <dimension ref="A1:P56"/>
  <sheetViews>
    <sheetView showGridLines="0" zoomScale="90" zoomScaleNormal="90" workbookViewId="0">
      <pane xSplit="1" ySplit="1" topLeftCell="E2" activePane="bottomRight" state="frozen"/>
      <selection pane="topRight" activeCell="D22" sqref="D22"/>
      <selection pane="bottomLeft" activeCell="D22" sqref="D22"/>
      <selection pane="bottomRight" activeCell="L8" sqref="L8"/>
    </sheetView>
  </sheetViews>
  <sheetFormatPr baseColWidth="10" defaultColWidth="11.5546875" defaultRowHeight="14.4"/>
  <cols>
    <col min="1" max="1" width="49.33203125" style="412" bestFit="1" customWidth="1"/>
    <col min="2" max="2" width="16.6640625" style="1241" customWidth="1"/>
    <col min="3" max="4" width="14.44140625" style="1241" customWidth="1"/>
    <col min="5" max="5" width="14.44140625" style="1236" customWidth="1"/>
    <col min="6" max="6" width="14.44140625" style="1241" customWidth="1"/>
    <col min="7" max="7" width="14.44140625" style="1236" customWidth="1"/>
    <col min="8" max="9" width="15.5546875" style="1236" customWidth="1"/>
    <col min="10" max="10" width="16.6640625" style="1236" customWidth="1"/>
    <col min="11" max="13" width="15.5546875" style="1236" customWidth="1"/>
    <col min="14" max="14" width="16.6640625" style="1236" bestFit="1" customWidth="1"/>
    <col min="15" max="15" width="12.44140625" style="1227" bestFit="1" customWidth="1"/>
    <col min="16" max="16" width="7.6640625" style="1227" customWidth="1"/>
    <col min="17" max="35" width="7.6640625" style="408" customWidth="1"/>
    <col min="36" max="16384" width="11.5546875" style="408"/>
  </cols>
  <sheetData>
    <row r="1" spans="1:14" s="1228" customFormat="1" ht="13.8">
      <c r="A1" s="1228" t="s">
        <v>1791</v>
      </c>
      <c r="B1" s="1237">
        <v>45627</v>
      </c>
      <c r="C1" s="1237">
        <v>45658</v>
      </c>
      <c r="D1" s="1237">
        <v>45689</v>
      </c>
      <c r="E1" s="1232">
        <v>45717</v>
      </c>
      <c r="F1" s="1237">
        <v>45748</v>
      </c>
      <c r="G1" s="1232">
        <v>45778</v>
      </c>
      <c r="H1" s="1232">
        <v>45809</v>
      </c>
      <c r="I1" s="1232">
        <v>45839</v>
      </c>
      <c r="J1" s="1232">
        <v>45870</v>
      </c>
      <c r="K1" s="1232">
        <v>45901</v>
      </c>
      <c r="L1" s="1232">
        <v>45931</v>
      </c>
      <c r="M1" s="1232">
        <v>45962</v>
      </c>
      <c r="N1" s="1232" t="s">
        <v>168</v>
      </c>
    </row>
    <row r="2" spans="1:14" s="1229" customFormat="1" ht="10.199999999999999">
      <c r="A2" s="1229" t="s">
        <v>1487</v>
      </c>
      <c r="B2" s="1238">
        <f>SUM(B3)</f>
        <v>94172341.829999998</v>
      </c>
      <c r="C2" s="1238">
        <f t="shared" ref="C2:M2" si="0">SUM(C3)</f>
        <v>0</v>
      </c>
      <c r="D2" s="1238">
        <f t="shared" si="0"/>
        <v>0</v>
      </c>
      <c r="E2" s="1233">
        <f t="shared" si="0"/>
        <v>0</v>
      </c>
      <c r="F2" s="1238">
        <f t="shared" si="0"/>
        <v>0</v>
      </c>
      <c r="G2" s="1233">
        <f t="shared" si="0"/>
        <v>18880</v>
      </c>
      <c r="H2" s="1233">
        <f t="shared" si="0"/>
        <v>0</v>
      </c>
      <c r="I2" s="1233">
        <f t="shared" si="0"/>
        <v>0</v>
      </c>
      <c r="J2" s="1233">
        <f t="shared" si="0"/>
        <v>170252678.32999998</v>
      </c>
      <c r="K2" s="1233">
        <f t="shared" si="0"/>
        <v>1180</v>
      </c>
      <c r="L2" s="1233">
        <f t="shared" si="0"/>
        <v>0</v>
      </c>
      <c r="M2" s="1233">
        <f t="shared" si="0"/>
        <v>0</v>
      </c>
      <c r="N2" s="1233">
        <f>SUBTOTAL(9,B2:L2)</f>
        <v>264445080.15999997</v>
      </c>
    </row>
    <row r="3" spans="1:14" s="1231" customFormat="1" ht="10.199999999999999">
      <c r="A3" s="1231" t="s">
        <v>1388</v>
      </c>
      <c r="B3" s="1239">
        <v>94172341.829999998</v>
      </c>
      <c r="C3" s="1239"/>
      <c r="D3" s="1239"/>
      <c r="E3" s="1234"/>
      <c r="F3" s="1239"/>
      <c r="G3" s="1234">
        <v>18880</v>
      </c>
      <c r="H3" s="1234"/>
      <c r="I3" s="1234"/>
      <c r="J3" s="1234">
        <v>170252678.32999998</v>
      </c>
      <c r="K3" s="1234">
        <v>1180</v>
      </c>
      <c r="L3" s="1234"/>
      <c r="M3" s="1234"/>
      <c r="N3" s="1234">
        <f t="shared" ref="N3:N52" si="1">SUBTOTAL(9,B3:L3)</f>
        <v>264445080.15999997</v>
      </c>
    </row>
    <row r="4" spans="1:14" s="1229" customFormat="1" ht="10.199999999999999">
      <c r="A4" s="1229" t="s">
        <v>1490</v>
      </c>
      <c r="B4" s="1238">
        <f>SUM(B5)</f>
        <v>21168315.640000001</v>
      </c>
      <c r="C4" s="1238">
        <f t="shared" ref="C4:M4" si="2">SUM(C5)</f>
        <v>239349.75</v>
      </c>
      <c r="D4" s="1238">
        <f t="shared" si="2"/>
        <v>0</v>
      </c>
      <c r="E4" s="1233">
        <f t="shared" si="2"/>
        <v>146320</v>
      </c>
      <c r="F4" s="1238">
        <f t="shared" si="2"/>
        <v>108350.26</v>
      </c>
      <c r="G4" s="1233">
        <f t="shared" si="2"/>
        <v>53100</v>
      </c>
      <c r="H4" s="1233">
        <f t="shared" si="2"/>
        <v>0</v>
      </c>
      <c r="I4" s="1233">
        <f t="shared" si="2"/>
        <v>0</v>
      </c>
      <c r="J4" s="1233">
        <f t="shared" si="2"/>
        <v>1595686.82</v>
      </c>
      <c r="K4" s="1233">
        <f t="shared" si="2"/>
        <v>87792</v>
      </c>
      <c r="L4" s="1233">
        <f t="shared" si="2"/>
        <v>310669.15000000002</v>
      </c>
      <c r="M4" s="1233">
        <f t="shared" si="2"/>
        <v>0</v>
      </c>
      <c r="N4" s="1233">
        <f t="shared" si="1"/>
        <v>23709583.620000001</v>
      </c>
    </row>
    <row r="5" spans="1:14" s="1231" customFormat="1" ht="10.199999999999999">
      <c r="A5" s="1231" t="s">
        <v>1389</v>
      </c>
      <c r="B5" s="1239">
        <v>21168315.640000001</v>
      </c>
      <c r="C5" s="1242">
        <v>239349.75</v>
      </c>
      <c r="D5" s="1239"/>
      <c r="E5" s="1234">
        <v>146320</v>
      </c>
      <c r="F5" s="1239">
        <v>108350.26</v>
      </c>
      <c r="G5" s="1234">
        <v>53100</v>
      </c>
      <c r="H5" s="1234"/>
      <c r="I5" s="1234"/>
      <c r="J5" s="1234">
        <v>1595686.82</v>
      </c>
      <c r="K5" s="1234">
        <v>87792</v>
      </c>
      <c r="L5" s="1234">
        <v>310669.15000000002</v>
      </c>
      <c r="M5" s="1234"/>
      <c r="N5" s="1234">
        <f t="shared" si="1"/>
        <v>23709583.620000001</v>
      </c>
    </row>
    <row r="6" spans="1:14" s="1229" customFormat="1" ht="10.199999999999999">
      <c r="A6" s="1229" t="s">
        <v>1792</v>
      </c>
      <c r="B6" s="1238">
        <f>SUM(B7)</f>
        <v>9219083.5899999999</v>
      </c>
      <c r="C6" s="1238">
        <f t="shared" ref="C6:M6" si="3">SUM(C7)</f>
        <v>0</v>
      </c>
      <c r="D6" s="1238">
        <f t="shared" si="3"/>
        <v>0</v>
      </c>
      <c r="E6" s="1233">
        <f t="shared" si="3"/>
        <v>0</v>
      </c>
      <c r="F6" s="1238">
        <f t="shared" si="3"/>
        <v>353433.2</v>
      </c>
      <c r="G6" s="1233">
        <f t="shared" si="3"/>
        <v>93563.38</v>
      </c>
      <c r="H6" s="1233">
        <f t="shared" si="3"/>
        <v>806839.56</v>
      </c>
      <c r="I6" s="1233">
        <f t="shared" si="3"/>
        <v>3069742.21</v>
      </c>
      <c r="J6" s="1233">
        <f t="shared" si="3"/>
        <v>2900560.48</v>
      </c>
      <c r="K6" s="1233">
        <f t="shared" si="3"/>
        <v>342033.18</v>
      </c>
      <c r="L6" s="1233">
        <f t="shared" si="3"/>
        <v>201871.48</v>
      </c>
      <c r="M6" s="1233">
        <f t="shared" si="3"/>
        <v>0</v>
      </c>
      <c r="N6" s="1233">
        <f t="shared" si="1"/>
        <v>16987127.080000002</v>
      </c>
    </row>
    <row r="7" spans="1:14" s="1231" customFormat="1" ht="10.199999999999999">
      <c r="A7" s="1231" t="s">
        <v>1793</v>
      </c>
      <c r="B7" s="1239">
        <v>9219083.5899999999</v>
      </c>
      <c r="C7" s="1239"/>
      <c r="D7" s="1239"/>
      <c r="E7" s="1234"/>
      <c r="F7" s="1239">
        <v>353433.2</v>
      </c>
      <c r="G7" s="1234">
        <v>93563.38</v>
      </c>
      <c r="H7" s="1234">
        <v>806839.56</v>
      </c>
      <c r="I7" s="1234">
        <v>3069742.21</v>
      </c>
      <c r="J7" s="1234">
        <v>2900560.48</v>
      </c>
      <c r="K7" s="1234">
        <v>342033.18</v>
      </c>
      <c r="L7" s="1234">
        <v>201871.48</v>
      </c>
      <c r="M7" s="1234"/>
      <c r="N7" s="1234">
        <f t="shared" si="1"/>
        <v>16987127.080000002</v>
      </c>
    </row>
    <row r="8" spans="1:14" s="1229" customFormat="1" ht="10.199999999999999">
      <c r="A8" s="1229" t="s">
        <v>1794</v>
      </c>
      <c r="B8" s="1238">
        <f>SUM(B9)</f>
        <v>0</v>
      </c>
      <c r="C8" s="1238">
        <f t="shared" ref="C8:M8" si="4">SUM(C9)</f>
        <v>0</v>
      </c>
      <c r="D8" s="1238">
        <f t="shared" si="4"/>
        <v>0</v>
      </c>
      <c r="E8" s="1233">
        <f t="shared" si="4"/>
        <v>0</v>
      </c>
      <c r="F8" s="1238">
        <f t="shared" si="4"/>
        <v>0</v>
      </c>
      <c r="G8" s="1233">
        <f t="shared" si="4"/>
        <v>0</v>
      </c>
      <c r="H8" s="1233">
        <f t="shared" si="4"/>
        <v>0</v>
      </c>
      <c r="I8" s="1233">
        <f t="shared" si="4"/>
        <v>0</v>
      </c>
      <c r="J8" s="1233">
        <f t="shared" si="4"/>
        <v>0</v>
      </c>
      <c r="K8" s="1233">
        <f t="shared" si="4"/>
        <v>0</v>
      </c>
      <c r="L8" s="1233">
        <f t="shared" si="4"/>
        <v>0</v>
      </c>
      <c r="M8" s="1233">
        <f t="shared" si="4"/>
        <v>0</v>
      </c>
      <c r="N8" s="1233">
        <f t="shared" si="1"/>
        <v>0</v>
      </c>
    </row>
    <row r="9" spans="1:14" s="1231" customFormat="1" ht="10.199999999999999">
      <c r="A9" s="1231" t="s">
        <v>1795</v>
      </c>
      <c r="B9" s="1239"/>
      <c r="C9" s="1239"/>
      <c r="D9" s="1239"/>
      <c r="E9" s="1234"/>
      <c r="F9" s="1239"/>
      <c r="G9" s="1234"/>
      <c r="H9" s="1234"/>
      <c r="I9" s="1234"/>
      <c r="J9" s="1234"/>
      <c r="K9" s="1234"/>
      <c r="L9" s="1234"/>
      <c r="M9" s="1234"/>
      <c r="N9" s="1234">
        <f t="shared" si="1"/>
        <v>0</v>
      </c>
    </row>
    <row r="10" spans="1:14" s="1229" customFormat="1" ht="10.199999999999999">
      <c r="A10" s="1229" t="s">
        <v>952</v>
      </c>
      <c r="B10" s="1238">
        <f>SUM(B11)</f>
        <v>1644662.03</v>
      </c>
      <c r="C10" s="1238">
        <f t="shared" ref="C10:M10" si="5">SUM(C11)</f>
        <v>1770000</v>
      </c>
      <c r="D10" s="1238">
        <f t="shared" si="5"/>
        <v>0</v>
      </c>
      <c r="E10" s="1233">
        <f t="shared" si="5"/>
        <v>885000</v>
      </c>
      <c r="F10" s="1238">
        <f t="shared" si="5"/>
        <v>2455806.54</v>
      </c>
      <c r="G10" s="1233">
        <f t="shared" si="5"/>
        <v>2360000</v>
      </c>
      <c r="H10" s="1233">
        <f t="shared" si="5"/>
        <v>2417857.34</v>
      </c>
      <c r="I10" s="1233">
        <f t="shared" si="5"/>
        <v>2664755.19</v>
      </c>
      <c r="J10" s="1233">
        <f t="shared" si="5"/>
        <v>2360000</v>
      </c>
      <c r="K10" s="1233">
        <f t="shared" si="5"/>
        <v>2360000</v>
      </c>
      <c r="L10" s="1233">
        <f t="shared" si="5"/>
        <v>2360000</v>
      </c>
      <c r="M10" s="1233">
        <f t="shared" si="5"/>
        <v>0</v>
      </c>
      <c r="N10" s="1233">
        <f t="shared" si="1"/>
        <v>21278081.100000001</v>
      </c>
    </row>
    <row r="11" spans="1:14" s="1231" customFormat="1" ht="10.199999999999999">
      <c r="A11" s="1231" t="s">
        <v>1796</v>
      </c>
      <c r="B11" s="1239">
        <v>1644662.03</v>
      </c>
      <c r="C11" s="1243">
        <v>1770000</v>
      </c>
      <c r="D11" s="1239"/>
      <c r="E11" s="1234">
        <v>885000</v>
      </c>
      <c r="F11" s="1239">
        <v>2455806.54</v>
      </c>
      <c r="G11" s="1234">
        <v>2360000</v>
      </c>
      <c r="H11" s="1234">
        <v>2417857.34</v>
      </c>
      <c r="I11" s="1234">
        <v>2664755.19</v>
      </c>
      <c r="J11" s="1234">
        <v>2360000</v>
      </c>
      <c r="K11" s="1234">
        <v>2360000</v>
      </c>
      <c r="L11" s="1234">
        <v>2360000</v>
      </c>
      <c r="M11" s="1234"/>
      <c r="N11" s="1234">
        <f t="shared" si="1"/>
        <v>21278081.100000001</v>
      </c>
    </row>
    <row r="12" spans="1:14" s="1229" customFormat="1" ht="10.199999999999999">
      <c r="A12" s="1229" t="s">
        <v>1797</v>
      </c>
      <c r="B12" s="1238">
        <f>SUM(B13:B19)</f>
        <v>0</v>
      </c>
      <c r="C12" s="1238">
        <f t="shared" ref="C12:K12" si="6">SUM(C13:C19)</f>
        <v>0</v>
      </c>
      <c r="D12" s="1238">
        <f t="shared" si="6"/>
        <v>0</v>
      </c>
      <c r="E12" s="1233">
        <f t="shared" si="6"/>
        <v>0</v>
      </c>
      <c r="F12" s="1238">
        <f t="shared" si="6"/>
        <v>0</v>
      </c>
      <c r="G12" s="1233">
        <f t="shared" si="6"/>
        <v>0</v>
      </c>
      <c r="H12" s="1233">
        <f t="shared" si="6"/>
        <v>147108.53999999998</v>
      </c>
      <c r="I12" s="1233">
        <f t="shared" si="6"/>
        <v>92700.800000000003</v>
      </c>
      <c r="J12" s="1233">
        <f t="shared" si="6"/>
        <v>96854.399999999994</v>
      </c>
      <c r="K12" s="1233">
        <f t="shared" si="6"/>
        <v>90246.399999999994</v>
      </c>
      <c r="L12" s="1233">
        <f t="shared" ref="L12:M12" si="7">SUM(L13:L19)</f>
        <v>92700.800000000003</v>
      </c>
      <c r="M12" s="1233">
        <f t="shared" si="7"/>
        <v>0</v>
      </c>
      <c r="N12" s="1233">
        <f t="shared" si="1"/>
        <v>519610.94</v>
      </c>
    </row>
    <row r="13" spans="1:14" s="1231" customFormat="1" ht="10.199999999999999">
      <c r="A13" s="1231" t="s">
        <v>1798</v>
      </c>
      <c r="B13" s="1240"/>
      <c r="C13" s="1240"/>
      <c r="D13" s="1240"/>
      <c r="E13" s="1235"/>
      <c r="F13" s="1240"/>
      <c r="G13" s="1235"/>
      <c r="H13" s="1235"/>
      <c r="I13" s="1235"/>
      <c r="J13" s="1235"/>
      <c r="K13" s="1235"/>
      <c r="L13" s="1235"/>
      <c r="M13" s="1235"/>
      <c r="N13" s="1235">
        <f t="shared" si="1"/>
        <v>0</v>
      </c>
    </row>
    <row r="14" spans="1:14" s="1231" customFormat="1" ht="10.199999999999999">
      <c r="A14" s="1231" t="s">
        <v>1799</v>
      </c>
      <c r="B14" s="1240"/>
      <c r="C14" s="1240"/>
      <c r="D14" s="1240"/>
      <c r="E14" s="1235"/>
      <c r="F14" s="1240"/>
      <c r="G14" s="1235"/>
      <c r="H14" s="1235"/>
      <c r="I14" s="1235"/>
      <c r="J14" s="1235"/>
      <c r="K14" s="1235"/>
      <c r="L14" s="1235"/>
      <c r="M14" s="1235"/>
      <c r="N14" s="1235">
        <f t="shared" si="1"/>
        <v>0</v>
      </c>
    </row>
    <row r="15" spans="1:14" s="1231" customFormat="1" ht="10.199999999999999">
      <c r="A15" s="1231" t="s">
        <v>1800</v>
      </c>
      <c r="B15" s="1240"/>
      <c r="C15" s="1240"/>
      <c r="D15" s="1240"/>
      <c r="E15" s="1235"/>
      <c r="F15" s="1240"/>
      <c r="G15" s="1235"/>
      <c r="H15" s="1235"/>
      <c r="I15" s="1235"/>
      <c r="J15" s="1235"/>
      <c r="K15" s="1235"/>
      <c r="L15" s="1235"/>
      <c r="M15" s="1235"/>
      <c r="N15" s="1235">
        <f t="shared" si="1"/>
        <v>0</v>
      </c>
    </row>
    <row r="16" spans="1:14" s="1231" customFormat="1" ht="10.199999999999999">
      <c r="A16" s="1231" t="s">
        <v>1390</v>
      </c>
      <c r="B16" s="1240"/>
      <c r="C16" s="1240"/>
      <c r="D16" s="1240"/>
      <c r="E16" s="1235"/>
      <c r="F16" s="1240"/>
      <c r="G16" s="1235"/>
      <c r="H16" s="1235">
        <v>92323.199999999997</v>
      </c>
      <c r="I16" s="1235">
        <v>92700.800000000003</v>
      </c>
      <c r="J16" s="1235">
        <v>96854.399999999994</v>
      </c>
      <c r="K16" s="1235">
        <v>90246.399999999994</v>
      </c>
      <c r="L16" s="1235">
        <v>92700.800000000003</v>
      </c>
      <c r="M16" s="1235"/>
      <c r="N16" s="1235">
        <f t="shared" si="1"/>
        <v>464825.60000000003</v>
      </c>
    </row>
    <row r="17" spans="1:14" s="1231" customFormat="1" ht="10.199999999999999">
      <c r="A17" s="1231" t="s">
        <v>1801</v>
      </c>
      <c r="B17" s="1240"/>
      <c r="C17" s="1240"/>
      <c r="D17" s="1240"/>
      <c r="E17" s="1235"/>
      <c r="F17" s="1240"/>
      <c r="G17" s="1235"/>
      <c r="H17" s="1235"/>
      <c r="I17" s="1235"/>
      <c r="J17" s="1235"/>
      <c r="K17" s="1235"/>
      <c r="L17" s="1235"/>
      <c r="M17" s="1235"/>
      <c r="N17" s="1235">
        <f t="shared" si="1"/>
        <v>0</v>
      </c>
    </row>
    <row r="18" spans="1:14" s="1231" customFormat="1" ht="10.199999999999999">
      <c r="A18" s="1231" t="s">
        <v>1391</v>
      </c>
      <c r="B18" s="1240"/>
      <c r="C18" s="1240"/>
      <c r="D18" s="1240"/>
      <c r="E18" s="1235"/>
      <c r="F18" s="1240"/>
      <c r="G18" s="1235"/>
      <c r="H18" s="1235">
        <v>54785.34</v>
      </c>
      <c r="I18" s="1235"/>
      <c r="J18" s="1235"/>
      <c r="K18" s="1235"/>
      <c r="L18" s="1235"/>
      <c r="M18" s="1235"/>
      <c r="N18" s="1235">
        <f t="shared" si="1"/>
        <v>54785.34</v>
      </c>
    </row>
    <row r="19" spans="1:14" s="1231" customFormat="1" ht="10.199999999999999">
      <c r="A19" s="1231" t="s">
        <v>1802</v>
      </c>
      <c r="B19" s="1240"/>
      <c r="C19" s="1240"/>
      <c r="D19" s="1240"/>
      <c r="E19" s="1235"/>
      <c r="F19" s="1240"/>
      <c r="G19" s="1235"/>
      <c r="H19" s="1235"/>
      <c r="I19" s="1235"/>
      <c r="J19" s="1235"/>
      <c r="K19" s="1235"/>
      <c r="L19" s="1235"/>
      <c r="M19" s="1235"/>
      <c r="N19" s="1235">
        <f t="shared" si="1"/>
        <v>0</v>
      </c>
    </row>
    <row r="20" spans="1:14" s="1229" customFormat="1" ht="10.199999999999999">
      <c r="A20" s="1229" t="s">
        <v>1803</v>
      </c>
      <c r="B20" s="1238">
        <f>SUM(B21)</f>
        <v>0</v>
      </c>
      <c r="C20" s="1238">
        <f t="shared" ref="C20:M20" si="8">SUM(C21)</f>
        <v>0</v>
      </c>
      <c r="D20" s="1238">
        <f t="shared" si="8"/>
        <v>0</v>
      </c>
      <c r="E20" s="1233">
        <f t="shared" si="8"/>
        <v>0</v>
      </c>
      <c r="F20" s="1238">
        <f t="shared" si="8"/>
        <v>0</v>
      </c>
      <c r="G20" s="1233">
        <f t="shared" si="8"/>
        <v>0</v>
      </c>
      <c r="H20" s="1233">
        <f t="shared" si="8"/>
        <v>0</v>
      </c>
      <c r="I20" s="1233">
        <f t="shared" si="8"/>
        <v>0</v>
      </c>
      <c r="J20" s="1233">
        <f t="shared" si="8"/>
        <v>0</v>
      </c>
      <c r="K20" s="1233">
        <f t="shared" si="8"/>
        <v>0</v>
      </c>
      <c r="L20" s="1233">
        <f t="shared" si="8"/>
        <v>0</v>
      </c>
      <c r="M20" s="1233">
        <f t="shared" si="8"/>
        <v>0</v>
      </c>
      <c r="N20" s="1233">
        <f t="shared" si="1"/>
        <v>0</v>
      </c>
    </row>
    <row r="21" spans="1:14" s="1231" customFormat="1" ht="10.199999999999999">
      <c r="A21" s="1231" t="s">
        <v>1804</v>
      </c>
      <c r="B21" s="1239"/>
      <c r="C21" s="1239"/>
      <c r="D21" s="1239"/>
      <c r="E21" s="1234"/>
      <c r="F21" s="1239"/>
      <c r="G21" s="1234"/>
      <c r="H21" s="1234"/>
      <c r="I21" s="1234"/>
      <c r="J21" s="1234"/>
      <c r="K21" s="1234"/>
      <c r="L21" s="1234"/>
      <c r="M21" s="1234"/>
      <c r="N21" s="1234">
        <f t="shared" si="1"/>
        <v>0</v>
      </c>
    </row>
    <row r="22" spans="1:14" s="1229" customFormat="1" ht="10.199999999999999">
      <c r="A22" s="1229" t="s">
        <v>1805</v>
      </c>
      <c r="B22" s="1238">
        <f>SUM(B23)</f>
        <v>0</v>
      </c>
      <c r="C22" s="1238">
        <f t="shared" ref="C22:M22" si="9">SUM(C23)</f>
        <v>0</v>
      </c>
      <c r="D22" s="1238">
        <f t="shared" si="9"/>
        <v>0</v>
      </c>
      <c r="E22" s="1233">
        <f t="shared" si="9"/>
        <v>0</v>
      </c>
      <c r="F22" s="1238">
        <f t="shared" si="9"/>
        <v>0</v>
      </c>
      <c r="G22" s="1233">
        <f t="shared" si="9"/>
        <v>0</v>
      </c>
      <c r="H22" s="1233">
        <f t="shared" si="9"/>
        <v>0</v>
      </c>
      <c r="I22" s="1233">
        <f t="shared" si="9"/>
        <v>0</v>
      </c>
      <c r="J22" s="1233">
        <f t="shared" si="9"/>
        <v>0</v>
      </c>
      <c r="K22" s="1233">
        <f t="shared" si="9"/>
        <v>0</v>
      </c>
      <c r="L22" s="1233">
        <f t="shared" si="9"/>
        <v>1013928.6</v>
      </c>
      <c r="M22" s="1233">
        <f t="shared" si="9"/>
        <v>0</v>
      </c>
      <c r="N22" s="1233">
        <f t="shared" si="1"/>
        <v>1013928.6</v>
      </c>
    </row>
    <row r="23" spans="1:14" s="1231" customFormat="1" ht="10.199999999999999">
      <c r="A23" s="1231" t="s">
        <v>1806</v>
      </c>
      <c r="B23" s="1239"/>
      <c r="C23" s="1239"/>
      <c r="D23" s="1239"/>
      <c r="E23" s="1234"/>
      <c r="F23" s="1239"/>
      <c r="G23" s="1234"/>
      <c r="H23" s="1234"/>
      <c r="I23" s="1234"/>
      <c r="J23" s="1234"/>
      <c r="K23" s="1234"/>
      <c r="L23" s="1234">
        <v>1013928.6</v>
      </c>
      <c r="M23" s="1234"/>
      <c r="N23" s="1234">
        <f t="shared" si="1"/>
        <v>1013928.6</v>
      </c>
    </row>
    <row r="24" spans="1:14" s="1229" customFormat="1" ht="10.199999999999999">
      <c r="A24" s="1229" t="s">
        <v>1807</v>
      </c>
      <c r="B24" s="1238">
        <f>SUM(B25)</f>
        <v>161175.97</v>
      </c>
      <c r="C24" s="1238">
        <f t="shared" ref="C24:M24" si="10">SUM(C25)</f>
        <v>0</v>
      </c>
      <c r="D24" s="1238">
        <f t="shared" si="10"/>
        <v>0</v>
      </c>
      <c r="E24" s="1233">
        <f t="shared" si="10"/>
        <v>0</v>
      </c>
      <c r="F24" s="1238">
        <f t="shared" si="10"/>
        <v>1770000</v>
      </c>
      <c r="G24" s="1233">
        <f t="shared" si="10"/>
        <v>1770000</v>
      </c>
      <c r="H24" s="1233">
        <f t="shared" si="10"/>
        <v>1770000</v>
      </c>
      <c r="I24" s="1233">
        <f t="shared" si="10"/>
        <v>1770000</v>
      </c>
      <c r="J24" s="1233">
        <f t="shared" si="10"/>
        <v>1770000</v>
      </c>
      <c r="K24" s="1233">
        <f t="shared" si="10"/>
        <v>1770000</v>
      </c>
      <c r="L24" s="1233">
        <f t="shared" si="10"/>
        <v>1770000</v>
      </c>
      <c r="M24" s="1233">
        <f t="shared" si="10"/>
        <v>0</v>
      </c>
      <c r="N24" s="1233">
        <f t="shared" si="1"/>
        <v>12551175.969999999</v>
      </c>
    </row>
    <row r="25" spans="1:14" s="1231" customFormat="1" ht="10.199999999999999">
      <c r="A25" s="1231" t="s">
        <v>954</v>
      </c>
      <c r="B25" s="1239">
        <v>161175.97</v>
      </c>
      <c r="C25" s="1239"/>
      <c r="D25" s="1239"/>
      <c r="E25" s="1234"/>
      <c r="F25" s="1239">
        <v>1770000</v>
      </c>
      <c r="G25" s="1234">
        <v>1770000</v>
      </c>
      <c r="H25" s="1234">
        <v>1770000</v>
      </c>
      <c r="I25" s="1234">
        <v>1770000</v>
      </c>
      <c r="J25" s="1234">
        <v>1770000</v>
      </c>
      <c r="K25" s="1234">
        <v>1770000</v>
      </c>
      <c r="L25" s="1234">
        <v>1770000</v>
      </c>
      <c r="M25" s="1234"/>
      <c r="N25" s="1234">
        <f t="shared" si="1"/>
        <v>12551175.969999999</v>
      </c>
    </row>
    <row r="26" spans="1:14" s="1229" customFormat="1" ht="10.199999999999999">
      <c r="A26" s="1229" t="s">
        <v>1808</v>
      </c>
      <c r="B26" s="1238">
        <f>SUM(B27:B30)</f>
        <v>559355.54</v>
      </c>
      <c r="C26" s="1238">
        <f t="shared" ref="C26:L26" si="11">SUM(C27:C30)</f>
        <v>0</v>
      </c>
      <c r="D26" s="1238">
        <f t="shared" si="11"/>
        <v>645765.21</v>
      </c>
      <c r="E26" s="1233">
        <f t="shared" si="11"/>
        <v>595001.35</v>
      </c>
      <c r="F26" s="1238">
        <f t="shared" si="11"/>
        <v>1549872.47</v>
      </c>
      <c r="G26" s="1233">
        <f t="shared" si="11"/>
        <v>1423527.61</v>
      </c>
      <c r="H26" s="1233">
        <f t="shared" si="11"/>
        <v>1733909.84</v>
      </c>
      <c r="I26" s="1233">
        <f t="shared" si="11"/>
        <v>7890097.2200000007</v>
      </c>
      <c r="J26" s="1233">
        <f t="shared" si="11"/>
        <v>16166710.020000001</v>
      </c>
      <c r="K26" s="1233">
        <f t="shared" si="11"/>
        <v>11886550.289999999</v>
      </c>
      <c r="L26" s="1233">
        <f t="shared" si="11"/>
        <v>12659941.220000001</v>
      </c>
      <c r="M26" s="1233">
        <f t="shared" ref="M26" si="12">SUM(M27:M30)</f>
        <v>0</v>
      </c>
      <c r="N26" s="1233">
        <f t="shared" si="1"/>
        <v>55110730.770000003</v>
      </c>
    </row>
    <row r="27" spans="1:14" s="1231" customFormat="1" ht="10.199999999999999">
      <c r="A27" s="1231" t="s">
        <v>1610</v>
      </c>
      <c r="B27" s="1240"/>
      <c r="C27" s="1240"/>
      <c r="D27" s="1240"/>
      <c r="E27" s="1235"/>
      <c r="F27" s="1240"/>
      <c r="G27" s="1235"/>
      <c r="H27" s="1235"/>
      <c r="I27" s="1235">
        <v>6290641.6900000004</v>
      </c>
      <c r="J27" s="1235">
        <v>14391880.130000001</v>
      </c>
      <c r="K27" s="1235">
        <v>9799035.4900000002</v>
      </c>
      <c r="L27" s="1235">
        <v>10674167.390000001</v>
      </c>
      <c r="M27" s="1235"/>
      <c r="N27" s="1235">
        <f t="shared" si="1"/>
        <v>41155724.700000003</v>
      </c>
    </row>
    <row r="28" spans="1:14" s="1231" customFormat="1" ht="10.199999999999999">
      <c r="A28" s="1231" t="s">
        <v>1279</v>
      </c>
      <c r="B28" s="1240"/>
      <c r="C28" s="1240"/>
      <c r="D28" s="1240"/>
      <c r="E28" s="1235"/>
      <c r="F28" s="1240">
        <v>767000</v>
      </c>
      <c r="G28" s="1235">
        <v>767000</v>
      </c>
      <c r="H28" s="1235">
        <v>767000</v>
      </c>
      <c r="I28" s="1235">
        <v>767000</v>
      </c>
      <c r="J28" s="1235">
        <v>767000</v>
      </c>
      <c r="K28" s="1235">
        <v>767000</v>
      </c>
      <c r="L28" s="1235">
        <v>767000</v>
      </c>
      <c r="M28" s="1235"/>
      <c r="N28" s="1235">
        <f t="shared" si="1"/>
        <v>5369000</v>
      </c>
    </row>
    <row r="29" spans="1:14" s="1231" customFormat="1" ht="10.199999999999999">
      <c r="A29" s="1231" t="s">
        <v>1280</v>
      </c>
      <c r="B29" s="1240">
        <v>559355.54</v>
      </c>
      <c r="C29" s="1240"/>
      <c r="D29" s="1240">
        <v>645765.21</v>
      </c>
      <c r="E29" s="1235">
        <v>595001.35</v>
      </c>
      <c r="F29" s="1240">
        <v>677173.63</v>
      </c>
      <c r="G29" s="1235">
        <v>620535.91</v>
      </c>
      <c r="H29" s="1235">
        <v>825710.8</v>
      </c>
      <c r="I29" s="1235">
        <v>832455.53</v>
      </c>
      <c r="J29" s="1235">
        <v>941719.5</v>
      </c>
      <c r="K29" s="1235">
        <v>1237302.53</v>
      </c>
      <c r="L29" s="1235">
        <v>1132936.8999999999</v>
      </c>
      <c r="M29" s="1235"/>
      <c r="N29" s="1235">
        <f t="shared" si="1"/>
        <v>8067956.9000000004</v>
      </c>
    </row>
    <row r="30" spans="1:14" s="1231" customFormat="1" ht="10.199999999999999">
      <c r="A30" s="1231" t="s">
        <v>1757</v>
      </c>
      <c r="B30" s="1240"/>
      <c r="C30" s="1240"/>
      <c r="D30" s="1240"/>
      <c r="E30" s="1235"/>
      <c r="F30" s="1240">
        <v>105698.84</v>
      </c>
      <c r="G30" s="1235">
        <v>35991.699999999997</v>
      </c>
      <c r="H30" s="1235">
        <v>141199.04000000001</v>
      </c>
      <c r="I30" s="1235"/>
      <c r="J30" s="1235">
        <v>66110.39</v>
      </c>
      <c r="K30" s="1235">
        <v>83212.27</v>
      </c>
      <c r="L30" s="1235">
        <v>85836.93</v>
      </c>
      <c r="M30" s="1235"/>
      <c r="N30" s="1235">
        <f t="shared" si="1"/>
        <v>518049.17</v>
      </c>
    </row>
    <row r="31" spans="1:14" s="1229" customFormat="1" ht="10.199999999999999">
      <c r="A31" s="1229" t="s">
        <v>1809</v>
      </c>
      <c r="B31" s="1238">
        <f>SUM(B32:B33)</f>
        <v>373034.61</v>
      </c>
      <c r="C31" s="1238">
        <f t="shared" ref="C31:L31" si="13">SUM(C32:C33)</f>
        <v>43563.47</v>
      </c>
      <c r="D31" s="1238">
        <f t="shared" si="13"/>
        <v>36723.129999999997</v>
      </c>
      <c r="E31" s="1233">
        <f t="shared" si="13"/>
        <v>37034.89</v>
      </c>
      <c r="F31" s="1238">
        <f t="shared" si="13"/>
        <v>51335.37</v>
      </c>
      <c r="G31" s="1233">
        <f t="shared" si="13"/>
        <v>125971.53</v>
      </c>
      <c r="H31" s="1233">
        <f t="shared" si="13"/>
        <v>205035.01</v>
      </c>
      <c r="I31" s="1233">
        <f t="shared" si="13"/>
        <v>193826.15000000002</v>
      </c>
      <c r="J31" s="1233">
        <f t="shared" si="13"/>
        <v>228402.97999999998</v>
      </c>
      <c r="K31" s="1233">
        <f t="shared" si="13"/>
        <v>824240.61999999988</v>
      </c>
      <c r="L31" s="1233">
        <f t="shared" si="13"/>
        <v>143558.04999999999</v>
      </c>
      <c r="M31" s="1233">
        <f t="shared" ref="M31" si="14">SUM(M32:M33)</f>
        <v>0</v>
      </c>
      <c r="N31" s="1233">
        <f t="shared" si="1"/>
        <v>2262725.8099999996</v>
      </c>
    </row>
    <row r="32" spans="1:14" s="1231" customFormat="1" ht="10.199999999999999">
      <c r="A32" s="1231" t="s">
        <v>1281</v>
      </c>
      <c r="B32" s="1240">
        <v>344499.26</v>
      </c>
      <c r="C32" s="1243">
        <v>36279.57</v>
      </c>
      <c r="D32" s="1240">
        <v>36723.129999999997</v>
      </c>
      <c r="E32" s="1235">
        <v>37034.89</v>
      </c>
      <c r="F32" s="1240">
        <v>37423.760000000002</v>
      </c>
      <c r="G32" s="1235">
        <v>34807.29</v>
      </c>
      <c r="H32" s="1235">
        <v>35695</v>
      </c>
      <c r="I32" s="1235">
        <v>35546.730000000003</v>
      </c>
      <c r="J32" s="1235">
        <v>36234.199999999997</v>
      </c>
      <c r="K32" s="1235">
        <v>627694.68999999994</v>
      </c>
      <c r="L32" s="1235">
        <v>37152.89</v>
      </c>
      <c r="M32" s="1235"/>
      <c r="N32" s="1235">
        <f t="shared" si="1"/>
        <v>1299091.4099999999</v>
      </c>
    </row>
    <row r="33" spans="1:14" s="1231" customFormat="1" ht="10.199999999999999">
      <c r="A33" s="1231" t="s">
        <v>1282</v>
      </c>
      <c r="B33" s="1240">
        <v>28535.35</v>
      </c>
      <c r="C33" s="1243">
        <v>7283.9</v>
      </c>
      <c r="D33" s="1240"/>
      <c r="E33" s="1235"/>
      <c r="F33" s="1240">
        <v>13911.61</v>
      </c>
      <c r="G33" s="1235">
        <v>91164.24</v>
      </c>
      <c r="H33" s="1235">
        <v>169340.01</v>
      </c>
      <c r="I33" s="1235">
        <v>158279.42000000001</v>
      </c>
      <c r="J33" s="1235">
        <v>192168.78</v>
      </c>
      <c r="K33" s="1235">
        <v>196545.93</v>
      </c>
      <c r="L33" s="1235">
        <v>106405.16</v>
      </c>
      <c r="M33" s="1235"/>
      <c r="N33" s="1235">
        <f t="shared" si="1"/>
        <v>963634.4</v>
      </c>
    </row>
    <row r="34" spans="1:14" s="1229" customFormat="1" ht="10.199999999999999">
      <c r="A34" s="1229" t="s">
        <v>854</v>
      </c>
      <c r="B34" s="1238">
        <f>SUM(B35:B43)</f>
        <v>9529685.3000000007</v>
      </c>
      <c r="C34" s="1238">
        <f t="shared" ref="C34:L34" si="15">SUM(C35:C43)</f>
        <v>915790.08000000007</v>
      </c>
      <c r="D34" s="1238">
        <f t="shared" si="15"/>
        <v>1931201.9</v>
      </c>
      <c r="E34" s="1238">
        <f t="shared" si="15"/>
        <v>1084802.17</v>
      </c>
      <c r="F34" s="1238">
        <f t="shared" si="15"/>
        <v>826552.34</v>
      </c>
      <c r="G34" s="1238">
        <f t="shared" si="15"/>
        <v>740040.2</v>
      </c>
      <c r="H34" s="1238">
        <f t="shared" si="15"/>
        <v>1412884.71</v>
      </c>
      <c r="I34" s="1238">
        <f t="shared" si="15"/>
        <v>3494146.35</v>
      </c>
      <c r="J34" s="1238">
        <f t="shared" si="15"/>
        <v>1721745.17</v>
      </c>
      <c r="K34" s="1238">
        <f t="shared" si="15"/>
        <v>551935.67999999993</v>
      </c>
      <c r="L34" s="1238">
        <f t="shared" si="15"/>
        <v>1245788.3799999999</v>
      </c>
      <c r="M34" s="1238">
        <f t="shared" ref="M34" si="16">SUM(M35:M43)</f>
        <v>0</v>
      </c>
      <c r="N34" s="1238">
        <f t="shared" si="1"/>
        <v>23454572.279999997</v>
      </c>
    </row>
    <row r="35" spans="1:14" s="1231" customFormat="1" ht="10.199999999999999">
      <c r="A35" s="1231" t="s">
        <v>1283</v>
      </c>
      <c r="B35" s="1240">
        <v>4456434.6400000006</v>
      </c>
      <c r="C35" s="1243">
        <v>292040.78000000003</v>
      </c>
      <c r="D35" s="1240"/>
      <c r="E35" s="1235">
        <v>149662.62</v>
      </c>
      <c r="F35" s="1240">
        <v>167745.43</v>
      </c>
      <c r="G35" s="1235"/>
      <c r="H35" s="1235">
        <v>258175.66</v>
      </c>
      <c r="I35" s="1235"/>
      <c r="J35" s="1235"/>
      <c r="K35" s="1235"/>
      <c r="L35" s="1235"/>
      <c r="M35" s="1235"/>
      <c r="N35" s="1235">
        <f t="shared" si="1"/>
        <v>5324059.1300000008</v>
      </c>
    </row>
    <row r="36" spans="1:14" s="1231" customFormat="1" ht="10.199999999999999">
      <c r="A36" s="1231" t="s">
        <v>2071</v>
      </c>
      <c r="B36" s="1240">
        <v>4481135.66</v>
      </c>
      <c r="C36" s="1240">
        <v>57400.509999999995</v>
      </c>
      <c r="D36" s="1240">
        <v>1795826.4</v>
      </c>
      <c r="E36" s="1235">
        <v>187959.76</v>
      </c>
      <c r="F36" s="1240">
        <v>188099.53</v>
      </c>
      <c r="G36" s="1235">
        <v>192037.45</v>
      </c>
      <c r="H36" s="1235">
        <v>179220.88999999998</v>
      </c>
      <c r="I36" s="1235">
        <v>2902845.21</v>
      </c>
      <c r="J36" s="1235">
        <v>1207725.21</v>
      </c>
      <c r="K36" s="1235">
        <v>52946.6</v>
      </c>
      <c r="L36" s="1235"/>
      <c r="M36" s="1235"/>
      <c r="N36" s="1235">
        <f t="shared" si="1"/>
        <v>11245197.220000001</v>
      </c>
    </row>
    <row r="37" spans="1:14" s="1231" customFormat="1" ht="10.199999999999999">
      <c r="A37" s="1231" t="s">
        <v>2062</v>
      </c>
      <c r="B37" s="1240"/>
      <c r="C37" s="1243"/>
      <c r="D37" s="1240"/>
      <c r="E37" s="1235">
        <v>74992.789999999994</v>
      </c>
      <c r="F37" s="1240">
        <v>52091.040000000001</v>
      </c>
      <c r="G37" s="1235">
        <v>129162.79</v>
      </c>
      <c r="H37" s="1235">
        <v>186272.04</v>
      </c>
      <c r="I37" s="1235">
        <v>234473.14</v>
      </c>
      <c r="J37" s="1235">
        <v>259817.28</v>
      </c>
      <c r="K37" s="1235">
        <v>122677.4</v>
      </c>
      <c r="L37" s="1235">
        <v>196734.06</v>
      </c>
      <c r="M37" s="1235"/>
      <c r="N37" s="1235">
        <f t="shared" si="1"/>
        <v>1256220.54</v>
      </c>
    </row>
    <row r="38" spans="1:14" s="1231" customFormat="1" ht="10.199999999999999">
      <c r="A38" s="1231" t="s">
        <v>2072</v>
      </c>
      <c r="B38" s="1240"/>
      <c r="C38" s="1243"/>
      <c r="D38" s="1240"/>
      <c r="E38" s="1235"/>
      <c r="F38" s="1240"/>
      <c r="G38" s="1235"/>
      <c r="H38" s="1235"/>
      <c r="I38" s="1235"/>
      <c r="J38" s="1235"/>
      <c r="K38" s="1235">
        <v>94400</v>
      </c>
      <c r="L38" s="1235">
        <v>168386</v>
      </c>
      <c r="M38" s="1235"/>
      <c r="N38" s="1235">
        <f t="shared" si="1"/>
        <v>262786</v>
      </c>
    </row>
    <row r="39" spans="1:14" s="1231" customFormat="1" ht="10.199999999999999">
      <c r="A39" s="1231" t="s">
        <v>2073</v>
      </c>
      <c r="B39" s="1240">
        <v>559615</v>
      </c>
      <c r="C39" s="1240">
        <v>130744</v>
      </c>
      <c r="D39" s="1240">
        <v>130744</v>
      </c>
      <c r="E39" s="1235">
        <v>130744</v>
      </c>
      <c r="F39" s="1240">
        <v>130744</v>
      </c>
      <c r="G39" s="1235">
        <v>109504</v>
      </c>
      <c r="H39" s="1235">
        <v>109504</v>
      </c>
      <c r="I39" s="1235">
        <v>88264</v>
      </c>
      <c r="J39" s="1235">
        <v>109504</v>
      </c>
      <c r="K39" s="1235">
        <v>130744</v>
      </c>
      <c r="L39" s="1235">
        <v>70800</v>
      </c>
      <c r="M39" s="1235"/>
      <c r="N39" s="1235">
        <f t="shared" si="1"/>
        <v>1700911</v>
      </c>
    </row>
    <row r="40" spans="1:14" s="1231" customFormat="1" ht="10.199999999999999">
      <c r="A40" s="1231" t="s">
        <v>2043</v>
      </c>
      <c r="B40" s="1240">
        <v>32500</v>
      </c>
      <c r="C40" s="1240"/>
      <c r="D40" s="1240">
        <v>4631.5</v>
      </c>
      <c r="E40" s="1235">
        <v>826</v>
      </c>
      <c r="F40" s="1240">
        <v>138130.34</v>
      </c>
      <c r="G40" s="1235">
        <v>167145.96000000002</v>
      </c>
      <c r="H40" s="1235">
        <v>537522.12</v>
      </c>
      <c r="I40" s="1235">
        <v>124132</v>
      </c>
      <c r="J40" s="1235"/>
      <c r="K40" s="1235"/>
      <c r="L40" s="1235">
        <v>216162.42</v>
      </c>
      <c r="M40" s="1235"/>
      <c r="N40" s="1235">
        <f t="shared" si="1"/>
        <v>1221050.3400000001</v>
      </c>
    </row>
    <row r="41" spans="1:14" s="1231" customFormat="1" ht="10.199999999999999">
      <c r="A41" s="1231" t="s">
        <v>2074</v>
      </c>
      <c r="B41" s="1240"/>
      <c r="C41" s="1240"/>
      <c r="D41" s="1240"/>
      <c r="E41" s="1235">
        <v>392645</v>
      </c>
      <c r="F41" s="1240"/>
      <c r="G41" s="1235"/>
      <c r="H41" s="1235"/>
      <c r="I41" s="1235"/>
      <c r="J41" s="1235"/>
      <c r="K41" s="1235"/>
      <c r="L41" s="1235">
        <v>445521.5</v>
      </c>
      <c r="M41" s="1235"/>
      <c r="N41" s="1235">
        <f t="shared" si="1"/>
        <v>838166.5</v>
      </c>
    </row>
    <row r="42" spans="1:14" s="1231" customFormat="1" ht="10.199999999999999">
      <c r="A42" s="1231" t="s">
        <v>2075</v>
      </c>
      <c r="B42" s="1240"/>
      <c r="C42" s="1240"/>
      <c r="D42" s="1240"/>
      <c r="E42" s="1235"/>
      <c r="F42" s="1240"/>
      <c r="G42" s="1235"/>
      <c r="H42" s="1235"/>
      <c r="I42" s="1235"/>
      <c r="J42" s="1235"/>
      <c r="K42" s="1235"/>
      <c r="L42" s="1235"/>
      <c r="M42" s="1235"/>
      <c r="N42" s="1235">
        <f t="shared" si="1"/>
        <v>0</v>
      </c>
    </row>
    <row r="43" spans="1:14" s="1231" customFormat="1" ht="10.199999999999999">
      <c r="A43" s="1231" t="s">
        <v>2076</v>
      </c>
      <c r="B43" s="1240"/>
      <c r="C43" s="1240">
        <v>435604.79000000004</v>
      </c>
      <c r="D43" s="1240"/>
      <c r="E43" s="1235">
        <v>147972</v>
      </c>
      <c r="F43" s="1240">
        <v>149742</v>
      </c>
      <c r="G43" s="1235">
        <v>142190</v>
      </c>
      <c r="H43" s="1235">
        <v>142190</v>
      </c>
      <c r="I43" s="1235">
        <v>144432</v>
      </c>
      <c r="J43" s="1235">
        <v>144698.68</v>
      </c>
      <c r="K43" s="1235">
        <v>151167.67999999999</v>
      </c>
      <c r="L43" s="1235">
        <v>148184.4</v>
      </c>
      <c r="M43" s="1235"/>
      <c r="N43" s="1235">
        <f t="shared" si="1"/>
        <v>1606181.5499999998</v>
      </c>
    </row>
    <row r="44" spans="1:14" s="1229" customFormat="1" ht="10.199999999999999">
      <c r="A44" s="1229" t="s">
        <v>1811</v>
      </c>
      <c r="B44" s="1238">
        <f>SUM(B45:B46)</f>
        <v>0</v>
      </c>
      <c r="C44" s="1238">
        <f t="shared" ref="C44:K44" si="17">SUM(C45:C46)</f>
        <v>0</v>
      </c>
      <c r="D44" s="1238">
        <f t="shared" si="17"/>
        <v>0</v>
      </c>
      <c r="E44" s="1233">
        <f t="shared" si="17"/>
        <v>0</v>
      </c>
      <c r="F44" s="1238">
        <f t="shared" si="17"/>
        <v>0</v>
      </c>
      <c r="G44" s="1233">
        <f t="shared" si="17"/>
        <v>0</v>
      </c>
      <c r="H44" s="1233">
        <f t="shared" si="17"/>
        <v>0</v>
      </c>
      <c r="I44" s="1233">
        <f t="shared" si="17"/>
        <v>0</v>
      </c>
      <c r="J44" s="1233">
        <f t="shared" si="17"/>
        <v>0</v>
      </c>
      <c r="K44" s="1233">
        <f t="shared" si="17"/>
        <v>0</v>
      </c>
      <c r="L44" s="1233">
        <f t="shared" ref="L44:M44" si="18">SUM(L45:L46)</f>
        <v>0</v>
      </c>
      <c r="M44" s="1233">
        <f t="shared" si="18"/>
        <v>0</v>
      </c>
      <c r="N44" s="1233">
        <f t="shared" si="1"/>
        <v>0</v>
      </c>
    </row>
    <row r="45" spans="1:14" s="1231" customFormat="1" ht="10.199999999999999">
      <c r="A45" s="1231" t="s">
        <v>1812</v>
      </c>
      <c r="B45" s="1240"/>
      <c r="C45" s="1240"/>
      <c r="D45" s="1240"/>
      <c r="E45" s="1235"/>
      <c r="F45" s="1240"/>
      <c r="G45" s="1235"/>
      <c r="H45" s="1235"/>
      <c r="I45" s="1235"/>
      <c r="J45" s="1235"/>
      <c r="K45" s="1235"/>
      <c r="L45" s="1235"/>
      <c r="M45" s="1235"/>
      <c r="N45" s="1235">
        <f t="shared" si="1"/>
        <v>0</v>
      </c>
    </row>
    <row r="46" spans="1:14" s="1231" customFormat="1" ht="10.199999999999999">
      <c r="A46" s="1231" t="s">
        <v>1813</v>
      </c>
      <c r="B46" s="1240"/>
      <c r="C46" s="1240"/>
      <c r="D46" s="1240"/>
      <c r="E46" s="1235"/>
      <c r="F46" s="1240"/>
      <c r="G46" s="1235"/>
      <c r="H46" s="1235"/>
      <c r="I46" s="1235"/>
      <c r="J46" s="1235"/>
      <c r="K46" s="1235"/>
      <c r="L46" s="1235"/>
      <c r="M46" s="1235"/>
      <c r="N46" s="1235">
        <f t="shared" si="1"/>
        <v>0</v>
      </c>
    </row>
    <row r="47" spans="1:14" s="1229" customFormat="1" ht="10.199999999999999">
      <c r="A47" s="1229" t="s">
        <v>859</v>
      </c>
      <c r="B47" s="1238">
        <f>SUM(B48)</f>
        <v>12715384.379999999</v>
      </c>
      <c r="C47" s="1238">
        <f t="shared" ref="C47:M47" si="19">SUM(C48)</f>
        <v>0</v>
      </c>
      <c r="D47" s="1238">
        <f t="shared" si="19"/>
        <v>0</v>
      </c>
      <c r="E47" s="1233">
        <f t="shared" si="19"/>
        <v>128745.38</v>
      </c>
      <c r="F47" s="1238">
        <f t="shared" si="19"/>
        <v>552632.57999999996</v>
      </c>
      <c r="G47" s="1233">
        <f t="shared" si="19"/>
        <v>120006</v>
      </c>
      <c r="H47" s="1233">
        <f t="shared" si="19"/>
        <v>1543136</v>
      </c>
      <c r="I47" s="1233">
        <f t="shared" si="19"/>
        <v>300</v>
      </c>
      <c r="J47" s="1233">
        <f t="shared" si="19"/>
        <v>223322.53</v>
      </c>
      <c r="K47" s="1233">
        <f t="shared" si="19"/>
        <v>1594150.23</v>
      </c>
      <c r="L47" s="1233">
        <f t="shared" si="19"/>
        <v>842419.7</v>
      </c>
      <c r="M47" s="1233">
        <f t="shared" si="19"/>
        <v>0</v>
      </c>
      <c r="N47" s="1233">
        <f t="shared" si="1"/>
        <v>17720096.799999997</v>
      </c>
    </row>
    <row r="48" spans="1:14" s="1231" customFormat="1" ht="10.199999999999999">
      <c r="A48" s="1231" t="s">
        <v>860</v>
      </c>
      <c r="B48" s="1239">
        <v>12715384.379999999</v>
      </c>
      <c r="C48" s="1239"/>
      <c r="D48" s="1239"/>
      <c r="E48" s="1234">
        <v>128745.38</v>
      </c>
      <c r="F48" s="1239">
        <v>552632.57999999996</v>
      </c>
      <c r="G48" s="1234">
        <v>120006</v>
      </c>
      <c r="H48" s="1234">
        <v>1543136</v>
      </c>
      <c r="I48" s="1234">
        <v>300</v>
      </c>
      <c r="J48" s="1234">
        <v>223322.53</v>
      </c>
      <c r="K48" s="1234">
        <f>1099066.83+495083.4</f>
        <v>1594150.23</v>
      </c>
      <c r="L48" s="1234">
        <v>842419.7</v>
      </c>
      <c r="M48" s="1234"/>
      <c r="N48" s="1234">
        <f t="shared" si="1"/>
        <v>17720096.799999997</v>
      </c>
    </row>
    <row r="49" spans="1:14" s="1229" customFormat="1" ht="10.199999999999999">
      <c r="A49" s="1229" t="s">
        <v>1814</v>
      </c>
      <c r="B49" s="1238">
        <f>SUM(B50)</f>
        <v>0</v>
      </c>
      <c r="C49" s="1238">
        <f t="shared" ref="C49:M49" si="20">SUM(C50)</f>
        <v>0</v>
      </c>
      <c r="D49" s="1238">
        <f t="shared" si="20"/>
        <v>0</v>
      </c>
      <c r="E49" s="1233">
        <f t="shared" si="20"/>
        <v>0</v>
      </c>
      <c r="F49" s="1238">
        <f t="shared" si="20"/>
        <v>0</v>
      </c>
      <c r="G49" s="1233">
        <f t="shared" si="20"/>
        <v>0</v>
      </c>
      <c r="H49" s="1233">
        <f t="shared" si="20"/>
        <v>0</v>
      </c>
      <c r="I49" s="1233">
        <f t="shared" si="20"/>
        <v>0</v>
      </c>
      <c r="J49" s="1233">
        <f t="shared" si="20"/>
        <v>0</v>
      </c>
      <c r="K49" s="1233">
        <f t="shared" si="20"/>
        <v>0</v>
      </c>
      <c r="L49" s="1233">
        <f t="shared" si="20"/>
        <v>0</v>
      </c>
      <c r="M49" s="1233">
        <f t="shared" si="20"/>
        <v>0</v>
      </c>
      <c r="N49" s="1233">
        <f t="shared" si="1"/>
        <v>0</v>
      </c>
    </row>
    <row r="50" spans="1:14" s="1231" customFormat="1" ht="10.199999999999999">
      <c r="A50" s="1231" t="s">
        <v>1815</v>
      </c>
      <c r="B50" s="1239"/>
      <c r="C50" s="1239"/>
      <c r="D50" s="1239"/>
      <c r="E50" s="1234"/>
      <c r="F50" s="1239"/>
      <c r="G50" s="1234"/>
      <c r="H50" s="1234"/>
      <c r="I50" s="1234"/>
      <c r="J50" s="1234"/>
      <c r="K50" s="1234"/>
      <c r="L50" s="1234"/>
      <c r="M50" s="1234"/>
      <c r="N50" s="1234">
        <f t="shared" si="1"/>
        <v>0</v>
      </c>
    </row>
    <row r="51" spans="1:14" s="1229" customFormat="1" ht="10.199999999999999">
      <c r="A51" s="1229" t="s">
        <v>1816</v>
      </c>
      <c r="B51" s="1238">
        <f>SUM(B52)</f>
        <v>0</v>
      </c>
      <c r="C51" s="1238">
        <f t="shared" ref="C51:M51" si="21">SUM(C52)</f>
        <v>0</v>
      </c>
      <c r="D51" s="1238">
        <f t="shared" si="21"/>
        <v>0</v>
      </c>
      <c r="E51" s="1233">
        <f t="shared" si="21"/>
        <v>0</v>
      </c>
      <c r="F51" s="1238">
        <f t="shared" si="21"/>
        <v>0</v>
      </c>
      <c r="G51" s="1233">
        <f t="shared" si="21"/>
        <v>0</v>
      </c>
      <c r="H51" s="1233">
        <f t="shared" si="21"/>
        <v>0</v>
      </c>
      <c r="I51" s="1233">
        <f t="shared" si="21"/>
        <v>0</v>
      </c>
      <c r="J51" s="1233">
        <f t="shared" si="21"/>
        <v>0</v>
      </c>
      <c r="K51" s="1233">
        <f t="shared" si="21"/>
        <v>0</v>
      </c>
      <c r="L51" s="1233">
        <f t="shared" si="21"/>
        <v>5900</v>
      </c>
      <c r="M51" s="1233">
        <f t="shared" si="21"/>
        <v>0</v>
      </c>
      <c r="N51" s="1233">
        <f t="shared" si="1"/>
        <v>5900</v>
      </c>
    </row>
    <row r="52" spans="1:14" s="1231" customFormat="1" ht="10.199999999999999">
      <c r="A52" s="1231" t="s">
        <v>1817</v>
      </c>
      <c r="B52" s="1239"/>
      <c r="C52" s="1239"/>
      <c r="D52" s="1239"/>
      <c r="E52" s="1234"/>
      <c r="F52" s="1239"/>
      <c r="G52" s="1234"/>
      <c r="H52" s="1234"/>
      <c r="I52" s="1234"/>
      <c r="J52" s="1234"/>
      <c r="K52" s="1234"/>
      <c r="L52" s="1234">
        <v>5900</v>
      </c>
      <c r="M52" s="1234"/>
      <c r="N52" s="1234">
        <f t="shared" si="1"/>
        <v>5900</v>
      </c>
    </row>
    <row r="53" spans="1:14" s="1245" customFormat="1" ht="13.8">
      <c r="A53" s="1245" t="s">
        <v>1818</v>
      </c>
      <c r="B53" s="1246">
        <f t="shared" ref="B53:N53" si="22">+B2+B4+B6+B8+B10+B12+B20+B22+B24+B26+B31+B34+B44+B47+B49+B51</f>
        <v>149543038.89000002</v>
      </c>
      <c r="C53" s="1246">
        <f t="shared" si="22"/>
        <v>2968703.3</v>
      </c>
      <c r="D53" s="1246">
        <f t="shared" si="22"/>
        <v>2613690.2399999998</v>
      </c>
      <c r="E53" s="1247">
        <f t="shared" si="22"/>
        <v>2876903.79</v>
      </c>
      <c r="F53" s="1246">
        <f t="shared" si="22"/>
        <v>7667982.7599999998</v>
      </c>
      <c r="G53" s="1247">
        <f t="shared" si="22"/>
        <v>6705088.7200000007</v>
      </c>
      <c r="H53" s="1247">
        <f t="shared" si="22"/>
        <v>10036771</v>
      </c>
      <c r="I53" s="1247">
        <f t="shared" si="22"/>
        <v>19175567.920000002</v>
      </c>
      <c r="J53" s="1247">
        <f t="shared" si="22"/>
        <v>197315960.72999996</v>
      </c>
      <c r="K53" s="1247">
        <f t="shared" si="22"/>
        <v>19508128.399999999</v>
      </c>
      <c r="L53" s="1247">
        <f t="shared" si="22"/>
        <v>20646777.379999999</v>
      </c>
      <c r="M53" s="1247">
        <f t="shared" ref="M53" si="23">+M2+M4+M6+M8+M10+M12+M20+M22+M24+M26+M31+M34+M44+M47+M49+M51</f>
        <v>0</v>
      </c>
      <c r="N53" s="1247">
        <f t="shared" si="22"/>
        <v>439058613.13</v>
      </c>
    </row>
    <row r="56" spans="1:14">
      <c r="J56" s="1236">
        <f>+J54-J55</f>
        <v>0</v>
      </c>
    </row>
  </sheetData>
  <autoFilter ref="A1:N53" xr:uid="{E2A45053-F1C6-4266-8F20-3FD38BF97DEF}"/>
  <pageMargins left="0.7" right="0.7" top="0.75" bottom="0.75" header="0.3" footer="0.3"/>
  <pageSetup paperSize="9"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00F26-05A6-4FE2-BFAA-60450F5D583C}">
  <sheetPr>
    <pageSetUpPr autoPageBreaks="0" fitToPage="1"/>
  </sheetPr>
  <dimension ref="B1:X35"/>
  <sheetViews>
    <sheetView showGridLines="0" zoomScale="120" zoomScaleNormal="120" zoomScalePageLayoutView="125" workbookViewId="0">
      <selection activeCell="D22" sqref="D22"/>
    </sheetView>
  </sheetViews>
  <sheetFormatPr baseColWidth="10" defaultColWidth="2.6640625" defaultRowHeight="13.8"/>
  <cols>
    <col min="1" max="1" width="1.33203125" style="1173" customWidth="1"/>
    <col min="2" max="2" width="26.6640625" style="1173" customWidth="1"/>
    <col min="3" max="3" width="15" style="1177" bestFit="1" customWidth="1"/>
    <col min="4" max="5" width="15.5546875" style="1173" customWidth="1"/>
    <col min="6" max="7" width="13.6640625" style="1173" customWidth="1"/>
    <col min="8" max="8" width="12.6640625" style="1173" customWidth="1"/>
    <col min="9" max="9" width="12.5546875" style="1173" customWidth="1"/>
    <col min="10" max="10" width="10.5546875" style="1173" customWidth="1"/>
    <col min="11" max="11" width="11.33203125" style="1173" customWidth="1"/>
    <col min="12" max="12" width="10.5546875" style="1173" customWidth="1"/>
    <col min="13" max="14" width="11.44140625" style="1173" customWidth="1"/>
    <col min="15" max="16" width="12.44140625" style="1173" customWidth="1"/>
    <col min="17" max="17" width="12.5546875" style="1173" customWidth="1"/>
    <col min="18" max="23" width="12.44140625" style="1173" customWidth="1"/>
    <col min="24" max="24" width="13.88671875" style="1173" bestFit="1" customWidth="1"/>
    <col min="25" max="16384" width="2.6640625" style="1173"/>
  </cols>
  <sheetData>
    <row r="1" spans="2:24" ht="23.4">
      <c r="B1" s="1175" t="s">
        <v>1891</v>
      </c>
      <c r="C1" s="1176"/>
      <c r="F1" s="1257" t="s">
        <v>1892</v>
      </c>
    </row>
    <row r="2" spans="2:24" ht="9.6" customHeight="1">
      <c r="B2" s="1179"/>
      <c r="C2" s="1180"/>
      <c r="F2" s="1181"/>
      <c r="G2" s="1181"/>
    </row>
    <row r="3" spans="2:24" ht="28.8">
      <c r="B3" s="2153" t="s">
        <v>1893</v>
      </c>
      <c r="C3" s="2153"/>
      <c r="D3" s="1970" t="s">
        <v>2077</v>
      </c>
      <c r="E3" s="1971"/>
    </row>
    <row r="4" spans="2:24" s="1183" customFormat="1" ht="12">
      <c r="B4" s="1184" t="s">
        <v>29</v>
      </c>
      <c r="C4" s="1184" t="s">
        <v>1895</v>
      </c>
      <c r="D4" s="1184" t="s">
        <v>1896</v>
      </c>
      <c r="E4" s="1401"/>
      <c r="F4" s="1401"/>
      <c r="G4" s="1184"/>
      <c r="H4" s="1185"/>
      <c r="I4" s="1185"/>
      <c r="J4" s="1185" t="s">
        <v>1897</v>
      </c>
      <c r="K4" s="1185">
        <v>45658</v>
      </c>
      <c r="L4" s="1185">
        <v>45689</v>
      </c>
      <c r="M4" s="1185">
        <v>45717</v>
      </c>
      <c r="N4" s="1185">
        <v>45748</v>
      </c>
      <c r="O4" s="1185">
        <v>45778</v>
      </c>
      <c r="P4" s="1185">
        <v>45809</v>
      </c>
      <c r="Q4" s="1185">
        <v>45839</v>
      </c>
      <c r="R4" s="1185">
        <v>45870</v>
      </c>
      <c r="S4" s="1185">
        <v>45901</v>
      </c>
      <c r="T4" s="1185">
        <v>45931</v>
      </c>
      <c r="U4" s="1185">
        <v>45962</v>
      </c>
      <c r="V4" s="1185">
        <v>45992</v>
      </c>
      <c r="W4" s="1185">
        <v>46023</v>
      </c>
      <c r="X4" s="1184" t="s">
        <v>1898</v>
      </c>
    </row>
    <row r="5" spans="2:24" s="1183" customFormat="1" ht="12.6" thickBot="1">
      <c r="B5" s="1261" t="s">
        <v>1899</v>
      </c>
      <c r="C5" s="1258">
        <v>462</v>
      </c>
      <c r="D5" s="1402">
        <f>SUM(J5:S5)</f>
        <v>76</v>
      </c>
      <c r="E5" s="1264"/>
      <c r="F5" s="1259"/>
      <c r="G5" s="1259"/>
      <c r="P5" s="1183">
        <v>3</v>
      </c>
      <c r="Q5" s="1183">
        <v>29</v>
      </c>
      <c r="R5" s="1183">
        <v>20</v>
      </c>
      <c r="S5" s="1260">
        <v>24</v>
      </c>
      <c r="T5" s="1260"/>
      <c r="U5" s="1260"/>
      <c r="V5" s="1260"/>
      <c r="W5" s="1260"/>
      <c r="X5" s="1384">
        <f>+C5-D5</f>
        <v>386</v>
      </c>
    </row>
    <row r="6" spans="2:24" s="1183" customFormat="1" ht="12.6" thickBot="1">
      <c r="B6" s="1266" t="s">
        <v>1900</v>
      </c>
      <c r="C6" s="1373">
        <f>+'ADI 09-25'!D50</f>
        <v>68068862.399999991</v>
      </c>
      <c r="D6" s="1403">
        <f>SUM(J6:S6)</f>
        <v>13885050</v>
      </c>
      <c r="E6" s="1373"/>
      <c r="F6" s="1186"/>
      <c r="G6" s="1186"/>
      <c r="H6" s="1187"/>
      <c r="I6" s="1362"/>
      <c r="J6" s="1405"/>
      <c r="K6" s="1405">
        <v>138050</v>
      </c>
      <c r="L6" s="1405"/>
      <c r="M6" s="1405"/>
      <c r="N6" s="1405">
        <v>403450</v>
      </c>
      <c r="O6" s="1405">
        <v>3464300</v>
      </c>
      <c r="P6" s="1405">
        <v>1453610</v>
      </c>
      <c r="Q6" s="1405">
        <v>3115440</v>
      </c>
      <c r="R6" s="1405">
        <v>2848600</v>
      </c>
      <c r="S6" s="1406">
        <v>2461600</v>
      </c>
      <c r="T6" s="1364"/>
      <c r="U6" s="1364"/>
      <c r="V6" s="1364"/>
      <c r="W6" s="1364"/>
      <c r="X6" s="1364">
        <f>+C6-D6</f>
        <v>54183812.399999991</v>
      </c>
    </row>
    <row r="7" spans="2:24" s="1183" customFormat="1" ht="12.6" thickBot="1">
      <c r="B7" s="1407" t="s">
        <v>1901</v>
      </c>
      <c r="C7" s="1373"/>
      <c r="D7" s="1403"/>
      <c r="E7" s="1373"/>
      <c r="F7" s="1186"/>
      <c r="G7" s="1186"/>
      <c r="H7" s="1187"/>
      <c r="I7" s="1362"/>
      <c r="J7" s="1405"/>
      <c r="K7" s="1405"/>
      <c r="L7" s="1405"/>
      <c r="M7" s="1405"/>
      <c r="N7" s="1405"/>
      <c r="O7" s="1405"/>
      <c r="P7" s="1405"/>
      <c r="Q7" s="1405"/>
      <c r="R7" s="1405"/>
      <c r="S7" s="1406"/>
      <c r="T7" s="1364"/>
      <c r="U7" s="1364"/>
      <c r="V7" s="1364"/>
      <c r="W7" s="1364"/>
      <c r="X7" s="1364"/>
    </row>
    <row r="8" spans="2:24" s="1183" customFormat="1" ht="12.6" thickBot="1">
      <c r="B8" s="1262" t="s">
        <v>1902</v>
      </c>
      <c r="C8" s="1365">
        <f>+'ADI 09-25'!C50</f>
        <v>4152200606.3999996</v>
      </c>
      <c r="D8" s="1404">
        <f>SUM(J8:S8)</f>
        <v>76880590.930000007</v>
      </c>
      <c r="E8" s="1365"/>
      <c r="F8" s="1263">
        <f>+D8</f>
        <v>76880590.930000007</v>
      </c>
      <c r="G8" s="1263"/>
      <c r="H8" s="1265"/>
      <c r="I8" s="1363"/>
      <c r="J8" s="1374">
        <v>597566.75</v>
      </c>
      <c r="K8" s="1374">
        <v>123420.98</v>
      </c>
      <c r="L8" s="1374">
        <v>-123572.38</v>
      </c>
      <c r="M8" s="1374">
        <v>61261.19</v>
      </c>
      <c r="N8" s="1374">
        <v>3006924.23</v>
      </c>
      <c r="O8" s="1374">
        <v>6287923.8600000003</v>
      </c>
      <c r="P8" s="1374">
        <v>12848147.640000001</v>
      </c>
      <c r="Q8" s="1374">
        <v>18376055.530000001</v>
      </c>
      <c r="R8" s="1374">
        <v>16465115.92</v>
      </c>
      <c r="S8" s="1375">
        <v>19237747.210000001</v>
      </c>
      <c r="T8" s="1366"/>
      <c r="U8" s="1366"/>
      <c r="V8" s="1366"/>
      <c r="W8" s="1366"/>
      <c r="X8" s="1366">
        <f>+C8-D8</f>
        <v>4075320015.4699998</v>
      </c>
    </row>
    <row r="9" spans="2:24" s="1183" customFormat="1" ht="15" customHeight="1" thickBot="1">
      <c r="B9" s="1262" t="s">
        <v>1903</v>
      </c>
      <c r="C9" s="1225"/>
      <c r="D9" s="1226"/>
      <c r="E9" s="1226"/>
      <c r="F9" s="1226"/>
      <c r="G9" s="1226"/>
      <c r="J9" s="1189"/>
      <c r="K9" s="1189"/>
      <c r="L9" s="1189"/>
      <c r="M9" s="1189"/>
      <c r="N9" s="1189"/>
      <c r="O9" s="1189"/>
      <c r="P9" s="1189"/>
      <c r="Q9" s="1189"/>
      <c r="R9" s="1189"/>
      <c r="S9" s="1189"/>
      <c r="T9" s="1189"/>
      <c r="U9" s="1189"/>
      <c r="V9" s="1189"/>
      <c r="W9" s="1189"/>
      <c r="X9" s="1189"/>
    </row>
    <row r="10" spans="2:24" s="1183" customFormat="1" ht="12" customHeight="1">
      <c r="C10" s="1188"/>
      <c r="D10" s="2155" t="s">
        <v>2078</v>
      </c>
      <c r="E10" s="2156"/>
      <c r="F10" s="2156"/>
      <c r="G10" s="2156"/>
      <c r="H10" s="2156"/>
      <c r="I10" s="2157"/>
      <c r="J10" s="1189"/>
      <c r="K10" s="1189"/>
      <c r="L10" s="1189"/>
      <c r="M10" s="1189"/>
      <c r="N10" s="1189"/>
      <c r="O10" s="1189"/>
      <c r="P10" s="1189"/>
      <c r="Q10" s="1189"/>
      <c r="R10" s="1189"/>
      <c r="S10" s="1189"/>
      <c r="T10" s="1189"/>
      <c r="U10" s="1189"/>
      <c r="V10" s="1189"/>
      <c r="W10" s="1189"/>
      <c r="X10" s="1189"/>
    </row>
    <row r="11" spans="2:24" s="1183" customFormat="1" ht="24">
      <c r="B11" s="2154" t="s">
        <v>1905</v>
      </c>
      <c r="C11" s="2154"/>
      <c r="D11" s="1222" t="s">
        <v>2079</v>
      </c>
      <c r="E11" s="1222" t="s">
        <v>1907</v>
      </c>
      <c r="F11" s="1222" t="s">
        <v>1908</v>
      </c>
      <c r="G11" s="1223" t="s">
        <v>1909</v>
      </c>
      <c r="H11" s="1223" t="s">
        <v>1910</v>
      </c>
      <c r="I11" s="1223" t="s">
        <v>1911</v>
      </c>
      <c r="J11" s="1190"/>
      <c r="O11" s="1191"/>
    </row>
    <row r="12" spans="2:24" s="1183" customFormat="1" ht="15.6">
      <c r="B12" s="1182"/>
      <c r="C12" s="1182"/>
      <c r="D12" s="1224" t="s">
        <v>1912</v>
      </c>
      <c r="E12" s="1224" t="s">
        <v>1913</v>
      </c>
      <c r="F12" s="1224" t="s">
        <v>1914</v>
      </c>
      <c r="G12" s="1224" t="s">
        <v>1915</v>
      </c>
      <c r="H12" s="1224" t="s">
        <v>1916</v>
      </c>
      <c r="I12" s="1224" t="s">
        <v>1917</v>
      </c>
      <c r="J12" s="1190" t="s">
        <v>1918</v>
      </c>
      <c r="O12" s="1191"/>
      <c r="T12" s="1183" t="s">
        <v>1919</v>
      </c>
    </row>
    <row r="13" spans="2:24" s="1192" customFormat="1" ht="12">
      <c r="B13" s="1193" t="s">
        <v>29</v>
      </c>
      <c r="C13" s="1193" t="s">
        <v>1895</v>
      </c>
      <c r="D13" s="1193"/>
      <c r="E13" s="1193"/>
      <c r="F13" s="1193"/>
      <c r="G13" s="1193"/>
      <c r="H13" s="1193"/>
      <c r="I13" s="1194"/>
      <c r="J13" s="1194" t="s">
        <v>1897</v>
      </c>
      <c r="K13" s="1194">
        <v>45658</v>
      </c>
      <c r="L13" s="1194">
        <v>45689</v>
      </c>
      <c r="M13" s="1194">
        <v>45717</v>
      </c>
      <c r="N13" s="1194">
        <v>45748</v>
      </c>
      <c r="O13" s="1194">
        <v>45778</v>
      </c>
      <c r="P13" s="1194">
        <v>45809</v>
      </c>
      <c r="Q13" s="1194">
        <v>45839</v>
      </c>
      <c r="R13" s="1194">
        <v>45870</v>
      </c>
      <c r="S13" s="1194">
        <v>45901</v>
      </c>
      <c r="T13" s="1194">
        <v>45931</v>
      </c>
      <c r="U13" s="1194">
        <v>45962</v>
      </c>
      <c r="V13" s="1194">
        <v>45992</v>
      </c>
      <c r="W13" s="1194">
        <v>46023</v>
      </c>
      <c r="X13" s="1193" t="s">
        <v>1898</v>
      </c>
    </row>
    <row r="14" spans="2:24" s="1183" customFormat="1" ht="12">
      <c r="B14" s="1195" t="s">
        <v>1428</v>
      </c>
      <c r="C14" s="1196">
        <f>+'ADI 09-25'!C18</f>
        <v>106933000</v>
      </c>
      <c r="D14" s="1196">
        <f t="shared" ref="D14:D20" si="0">SUM(G14:H14)</f>
        <v>264445080.15999997</v>
      </c>
      <c r="E14" s="1196">
        <f t="shared" ref="E14:E20" si="1">+C14-D14</f>
        <v>-157512080.15999997</v>
      </c>
      <c r="F14" s="1196">
        <f t="shared" ref="F14:F20" si="2">SUM(G14:I14)</f>
        <v>264445080.15999997</v>
      </c>
      <c r="G14" s="1196">
        <f>SUM(J14:T14)</f>
        <v>264445080.15999997</v>
      </c>
      <c r="H14" s="1196"/>
      <c r="I14" s="1196"/>
      <c r="J14" s="1376">
        <f>+'Costos a Sept-25'!B2</f>
        <v>94172341.829999998</v>
      </c>
      <c r="K14" s="1376">
        <f>+'Costos a Sept-25'!C2</f>
        <v>0</v>
      </c>
      <c r="L14" s="1376">
        <f>+'Costos a Sept-25'!D2</f>
        <v>0</v>
      </c>
      <c r="M14" s="1376">
        <f>+'Costos a Sept-25'!E2</f>
        <v>0</v>
      </c>
      <c r="N14" s="1376">
        <f>+'Costos a Sept-25'!F2</f>
        <v>0</v>
      </c>
      <c r="O14" s="1376">
        <f>+'Costos a Sept-25'!G2</f>
        <v>18880</v>
      </c>
      <c r="P14" s="1376">
        <f>+'Costos a Sept-25'!H2</f>
        <v>0</v>
      </c>
      <c r="Q14" s="1376">
        <f>+'Costos a Sept-25'!I2</f>
        <v>0</v>
      </c>
      <c r="R14" s="1376">
        <f>+'Costos a Sept-25'!J2</f>
        <v>170252678.32999998</v>
      </c>
      <c r="S14" s="1377">
        <f>+'Costos a Sept-25'!K2</f>
        <v>1180</v>
      </c>
      <c r="T14" s="1377">
        <f>+'Costos a Oct-25'!L2</f>
        <v>0</v>
      </c>
      <c r="U14" s="1208">
        <f>+'Costos a Sept-25'!M2</f>
        <v>0</v>
      </c>
      <c r="V14" s="1208">
        <f>+'Costos a Sept-25'!N2</f>
        <v>0</v>
      </c>
      <c r="W14" s="1208">
        <f>+'Costos a Sept-25'!O2</f>
        <v>0</v>
      </c>
      <c r="X14" s="1208">
        <f>SUM(T14:W14)</f>
        <v>0</v>
      </c>
    </row>
    <row r="15" spans="2:24" s="1183" customFormat="1" ht="12">
      <c r="B15" s="1197" t="s">
        <v>35</v>
      </c>
      <c r="C15" s="1198">
        <f>+'ADI 09-25'!C19</f>
        <v>469173666.60000002</v>
      </c>
      <c r="D15" s="1198">
        <f t="shared" si="0"/>
        <v>30626033.5</v>
      </c>
      <c r="E15" s="1198">
        <f t="shared" si="1"/>
        <v>438547633.10000002</v>
      </c>
      <c r="F15" s="1198">
        <f t="shared" si="2"/>
        <v>29538942.52</v>
      </c>
      <c r="G15" s="1198">
        <f>SUM(J15:T15)</f>
        <v>16987127.080000002</v>
      </c>
      <c r="H15" s="1198">
        <f>+'Anticipos 10-25'!D10</f>
        <v>13638906.42</v>
      </c>
      <c r="I15" s="1198">
        <f>-'CXP 10-25'!F18</f>
        <v>-1087090.98</v>
      </c>
      <c r="J15" s="1378">
        <f>+'Costos a Sept-25'!B6</f>
        <v>9219083.5899999999</v>
      </c>
      <c r="K15" s="1378">
        <f>+'Costos a Sept-25'!C6</f>
        <v>0</v>
      </c>
      <c r="L15" s="1378">
        <f>+'Costos a Sept-25'!D6</f>
        <v>0</v>
      </c>
      <c r="M15" s="1378">
        <f>+'Costos a Sept-25'!E6</f>
        <v>0</v>
      </c>
      <c r="N15" s="1378">
        <f>+'Costos a Sept-25'!F6</f>
        <v>353433.2</v>
      </c>
      <c r="O15" s="1378">
        <f>+'Costos a Sept-25'!G6</f>
        <v>93563.38</v>
      </c>
      <c r="P15" s="1378">
        <f>+'Costos a Sept-25'!H6</f>
        <v>806839.56</v>
      </c>
      <c r="Q15" s="1378">
        <f>+'Costos a Sept-25'!I6</f>
        <v>3069742.21</v>
      </c>
      <c r="R15" s="1378">
        <f>+'Costos a Sept-25'!J6</f>
        <v>2900560.48</v>
      </c>
      <c r="S15" s="1379">
        <f>+'Costos a Sept-25'!K6</f>
        <v>342033.18</v>
      </c>
      <c r="T15" s="1379">
        <f>+'Costos a Oct-25'!L6</f>
        <v>201871.48</v>
      </c>
      <c r="U15" s="1209">
        <f>+'Compromisos 09-25'!G19</f>
        <v>4000000</v>
      </c>
      <c r="V15" s="1209">
        <f>+'Compromisos 09-25'!H19</f>
        <v>5500000</v>
      </c>
      <c r="W15" s="1209">
        <f>+'Compromisos 09-25'!I19</f>
        <v>6683734</v>
      </c>
      <c r="X15" s="1209">
        <f t="shared" ref="X15:X31" si="3">SUM(T15:W15)</f>
        <v>16385605.48</v>
      </c>
    </row>
    <row r="16" spans="2:24" s="1183" customFormat="1" ht="12">
      <c r="B16" s="1197" t="s">
        <v>38</v>
      </c>
      <c r="C16" s="1198">
        <f>+'ADI 09-25'!C20</f>
        <v>1517166651</v>
      </c>
      <c r="D16" s="1198">
        <f t="shared" si="0"/>
        <v>0</v>
      </c>
      <c r="E16" s="1198">
        <f t="shared" si="1"/>
        <v>1517166651</v>
      </c>
      <c r="F16" s="1198">
        <f t="shared" si="2"/>
        <v>0</v>
      </c>
      <c r="G16" s="1198">
        <f t="shared" ref="G16:G20" si="4">SUM(J16:T16)</f>
        <v>0</v>
      </c>
      <c r="H16" s="1198"/>
      <c r="I16" s="1198"/>
      <c r="J16" s="1378">
        <f>+'Costos a Sept-25'!B8</f>
        <v>0</v>
      </c>
      <c r="K16" s="1378">
        <f>+'Costos a Sept-25'!C8</f>
        <v>0</v>
      </c>
      <c r="L16" s="1378">
        <f>+'Costos a Sept-25'!D8</f>
        <v>0</v>
      </c>
      <c r="M16" s="1378">
        <f>+'Costos a Sept-25'!E8</f>
        <v>0</v>
      </c>
      <c r="N16" s="1378">
        <f>+'Costos a Sept-25'!F8</f>
        <v>0</v>
      </c>
      <c r="O16" s="1378">
        <f>+'Costos a Sept-25'!G8</f>
        <v>0</v>
      </c>
      <c r="P16" s="1378">
        <f>+'Costos a Sept-25'!H8</f>
        <v>0</v>
      </c>
      <c r="Q16" s="1378">
        <f>+'Costos a Sept-25'!I8</f>
        <v>0</v>
      </c>
      <c r="R16" s="1378">
        <f>+'Costos a Sept-25'!J8</f>
        <v>0</v>
      </c>
      <c r="S16" s="1379">
        <f>+'Costos a Sept-25'!K8</f>
        <v>0</v>
      </c>
      <c r="T16" s="1379">
        <f>+'Costos a Oct-25'!L8</f>
        <v>0</v>
      </c>
      <c r="U16" s="1209">
        <f>+'Costos a Sept-25'!M8</f>
        <v>0</v>
      </c>
      <c r="V16" s="1209">
        <f>+'Costos a Sept-25'!N8</f>
        <v>0</v>
      </c>
      <c r="W16" s="1209">
        <f>+'Costos a Sept-25'!O8</f>
        <v>0</v>
      </c>
      <c r="X16" s="1209">
        <f t="shared" si="3"/>
        <v>0</v>
      </c>
    </row>
    <row r="17" spans="2:24" s="1183" customFormat="1" ht="12">
      <c r="B17" s="1197" t="s">
        <v>1920</v>
      </c>
      <c r="C17" s="1198">
        <f>+'ADI 09-25'!C21</f>
        <v>234388157.47679996</v>
      </c>
      <c r="D17" s="1198">
        <f t="shared" si="0"/>
        <v>21278081.100000001</v>
      </c>
      <c r="E17" s="1198">
        <f t="shared" si="1"/>
        <v>213110076.37679997</v>
      </c>
      <c r="F17" s="1198">
        <f t="shared" si="2"/>
        <v>18418081.100000001</v>
      </c>
      <c r="G17" s="1198">
        <f t="shared" si="4"/>
        <v>21278081.100000001</v>
      </c>
      <c r="H17" s="1198"/>
      <c r="I17" s="1198">
        <f>-'CXP 10-25'!F23</f>
        <v>-2860000</v>
      </c>
      <c r="J17" s="1378">
        <f>+'Costos a Sept-25'!B10</f>
        <v>1644662.03</v>
      </c>
      <c r="K17" s="1378">
        <f>+'Costos a Sept-25'!C10</f>
        <v>1770000</v>
      </c>
      <c r="L17" s="1378">
        <f>+'Costos a Sept-25'!D10</f>
        <v>0</v>
      </c>
      <c r="M17" s="1378">
        <f>+'Costos a Sept-25'!E10</f>
        <v>885000</v>
      </c>
      <c r="N17" s="1378">
        <f>+'Costos a Sept-25'!F10</f>
        <v>2455806.54</v>
      </c>
      <c r="O17" s="1378">
        <f>+'Costos a Sept-25'!G10</f>
        <v>2360000</v>
      </c>
      <c r="P17" s="1378">
        <f>+'Costos a Sept-25'!H10</f>
        <v>2417857.34</v>
      </c>
      <c r="Q17" s="1378">
        <f>+'Costos a Sept-25'!I10</f>
        <v>2664755.19</v>
      </c>
      <c r="R17" s="1378">
        <f>+'Costos a Sept-25'!J10</f>
        <v>2360000</v>
      </c>
      <c r="S17" s="1379">
        <f>+'Costos a Sept-25'!K10</f>
        <v>2360000</v>
      </c>
      <c r="T17" s="1379">
        <f>+'Costos a Oct-25'!L10</f>
        <v>2360000</v>
      </c>
      <c r="U17" s="1209">
        <f>+'Compromisos 09-25'!G26</f>
        <v>2360000</v>
      </c>
      <c r="V17" s="1209">
        <f>+'Compromisos 09-25'!H26</f>
        <v>2360000</v>
      </c>
      <c r="W17" s="1209">
        <f>+'Compromisos 09-25'!I26</f>
        <v>2360000</v>
      </c>
      <c r="X17" s="1209">
        <f t="shared" si="3"/>
        <v>9440000</v>
      </c>
    </row>
    <row r="18" spans="2:24" s="1183" customFormat="1" ht="12">
      <c r="B18" s="1197" t="s">
        <v>1921</v>
      </c>
      <c r="C18" s="1198">
        <f>+'ADI 09-25'!C22</f>
        <v>19264643</v>
      </c>
      <c r="D18" s="1198">
        <f t="shared" si="0"/>
        <v>1013928.6</v>
      </c>
      <c r="E18" s="1198">
        <f t="shared" si="1"/>
        <v>18250714.399999999</v>
      </c>
      <c r="F18" s="1198">
        <f t="shared" si="2"/>
        <v>429630.76</v>
      </c>
      <c r="G18" s="1198">
        <f t="shared" si="4"/>
        <v>1013928.6</v>
      </c>
      <c r="H18" s="1198"/>
      <c r="I18" s="1198">
        <f>-'CXP 10-25'!F33</f>
        <v>-584297.84</v>
      </c>
      <c r="J18" s="1378">
        <f>+'Costos a Sept-25'!B22</f>
        <v>0</v>
      </c>
      <c r="K18" s="1378">
        <f>+'Costos a Sept-25'!C22</f>
        <v>0</v>
      </c>
      <c r="L18" s="1378">
        <f>+'Costos a Sept-25'!D22</f>
        <v>0</v>
      </c>
      <c r="M18" s="1378">
        <f>+'Costos a Sept-25'!E22</f>
        <v>0</v>
      </c>
      <c r="N18" s="1378">
        <f>+'Costos a Sept-25'!F22</f>
        <v>0</v>
      </c>
      <c r="O18" s="1378">
        <f>+'Costos a Sept-25'!G22</f>
        <v>0</v>
      </c>
      <c r="P18" s="1378">
        <f>+'Costos a Sept-25'!H22</f>
        <v>0</v>
      </c>
      <c r="Q18" s="1378">
        <f>+'Costos a Sept-25'!I22</f>
        <v>0</v>
      </c>
      <c r="R18" s="1378">
        <f>+'Costos a Sept-25'!J22</f>
        <v>0</v>
      </c>
      <c r="S18" s="1379">
        <f>+'Costos a Sept-25'!K22</f>
        <v>0</v>
      </c>
      <c r="T18" s="1379">
        <f>+'Costos a Oct-25'!L22</f>
        <v>1013928.6</v>
      </c>
      <c r="U18" s="1372">
        <f>+'Compromisos 09-25'!G30</f>
        <v>506964.3</v>
      </c>
      <c r="V18" s="1372">
        <f>+'Compromisos 09-25'!H30</f>
        <v>506964.3</v>
      </c>
      <c r="W18" s="1372">
        <f>+'Compromisos 09-25'!I30</f>
        <v>506964.3</v>
      </c>
      <c r="X18" s="1372">
        <f t="shared" si="3"/>
        <v>2534821.5</v>
      </c>
    </row>
    <row r="19" spans="2:24" s="1183" customFormat="1" ht="12">
      <c r="B19" s="1197" t="s">
        <v>40</v>
      </c>
      <c r="C19" s="1198">
        <f>+'ADI 09-25'!C23</f>
        <v>47672167.622400001</v>
      </c>
      <c r="D19" s="1198">
        <f t="shared" si="0"/>
        <v>519610.94</v>
      </c>
      <c r="E19" s="1198">
        <f t="shared" si="1"/>
        <v>47152556.682400003</v>
      </c>
      <c r="F19" s="1198">
        <f t="shared" si="2"/>
        <v>336663.74</v>
      </c>
      <c r="G19" s="1198">
        <f t="shared" si="4"/>
        <v>519610.94</v>
      </c>
      <c r="H19" s="1198"/>
      <c r="I19" s="1198">
        <f>-'CXP 10-25'!F28</f>
        <v>-182947.20000000001</v>
      </c>
      <c r="J19" s="1378">
        <f>+'Costos a Sept-25'!B12</f>
        <v>0</v>
      </c>
      <c r="K19" s="1378">
        <f>+'Costos a Sept-25'!C12</f>
        <v>0</v>
      </c>
      <c r="L19" s="1378">
        <f>+'Costos a Sept-25'!D12</f>
        <v>0</v>
      </c>
      <c r="M19" s="1378">
        <f>+'Costos a Sept-25'!E12</f>
        <v>0</v>
      </c>
      <c r="N19" s="1378">
        <f>+'Costos a Sept-25'!F12</f>
        <v>0</v>
      </c>
      <c r="O19" s="1378">
        <f>+'Costos a Sept-25'!G12</f>
        <v>0</v>
      </c>
      <c r="P19" s="1378">
        <f>+'Costos a Sept-25'!H12</f>
        <v>147108.53999999998</v>
      </c>
      <c r="Q19" s="1378">
        <f>+'Costos a Sept-25'!I12</f>
        <v>92700.800000000003</v>
      </c>
      <c r="R19" s="1378">
        <f>+'Costos a Sept-25'!J12</f>
        <v>96854.399999999994</v>
      </c>
      <c r="S19" s="1379">
        <f>+'Costos a Sept-25'!K12</f>
        <v>90246.399999999994</v>
      </c>
      <c r="T19" s="1379">
        <f>+'Costos a Oct-25'!L12</f>
        <v>92700.800000000003</v>
      </c>
      <c r="U19" s="1209">
        <f>+'Compromisos 09-25'!G34</f>
        <v>250000</v>
      </c>
      <c r="V19" s="1209">
        <f>+'Compromisos 09-25'!H34</f>
        <v>250000</v>
      </c>
      <c r="W19" s="1209">
        <f>+'Compromisos 09-25'!I34</f>
        <v>250000</v>
      </c>
      <c r="X19" s="1209">
        <f t="shared" si="3"/>
        <v>842700.80000000005</v>
      </c>
    </row>
    <row r="20" spans="2:24" s="1183" customFormat="1" ht="12">
      <c r="B20" s="1197" t="s">
        <v>764</v>
      </c>
      <c r="C20" s="1198">
        <f>+'ADI 09-25'!C24</f>
        <v>39726806.351999998</v>
      </c>
      <c r="D20" s="1198">
        <f t="shared" si="0"/>
        <v>0</v>
      </c>
      <c r="E20" s="1198">
        <f t="shared" si="1"/>
        <v>39726806.351999998</v>
      </c>
      <c r="F20" s="1198">
        <f t="shared" si="2"/>
        <v>0</v>
      </c>
      <c r="G20" s="1198">
        <f t="shared" si="4"/>
        <v>0</v>
      </c>
      <c r="H20" s="1198"/>
      <c r="I20" s="1198"/>
      <c r="J20" s="1378">
        <f>+'Costos a Sept-25'!B20</f>
        <v>0</v>
      </c>
      <c r="K20" s="1378">
        <f>+'Costos a Sept-25'!C20</f>
        <v>0</v>
      </c>
      <c r="L20" s="1378">
        <f>+'Costos a Sept-25'!D20</f>
        <v>0</v>
      </c>
      <c r="M20" s="1378">
        <f>+'Costos a Sept-25'!E20</f>
        <v>0</v>
      </c>
      <c r="N20" s="1378">
        <f>+'Costos a Sept-25'!F20</f>
        <v>0</v>
      </c>
      <c r="O20" s="1378">
        <f>+'Costos a Sept-25'!G20</f>
        <v>0</v>
      </c>
      <c r="P20" s="1378">
        <f>+'Costos a Sept-25'!H20</f>
        <v>0</v>
      </c>
      <c r="Q20" s="1378">
        <f>+'Costos a Sept-25'!I20</f>
        <v>0</v>
      </c>
      <c r="R20" s="1378">
        <f>+'Costos a Sept-25'!J20</f>
        <v>0</v>
      </c>
      <c r="S20" s="1379">
        <f>+'Costos a Sept-25'!K20</f>
        <v>0</v>
      </c>
      <c r="T20" s="1379">
        <f>+'Costos a Oct-25'!L20</f>
        <v>0</v>
      </c>
      <c r="U20" s="1209">
        <f>+'Costos a Sept-25'!M20</f>
        <v>0</v>
      </c>
      <c r="V20" s="1209">
        <f>+'Costos a Sept-25'!N20</f>
        <v>0</v>
      </c>
      <c r="W20" s="1209">
        <f>+'Costos a Sept-25'!O20</f>
        <v>0</v>
      </c>
      <c r="X20" s="1209">
        <f t="shared" si="3"/>
        <v>0</v>
      </c>
    </row>
    <row r="21" spans="2:24" s="1183" customFormat="1" ht="12">
      <c r="B21" s="1199" t="s">
        <v>41</v>
      </c>
      <c r="C21" s="1200">
        <f t="shared" ref="C21:X21" si="5">SUM(C15:C20)</f>
        <v>2327392092.0511999</v>
      </c>
      <c r="D21" s="1200">
        <f t="shared" si="5"/>
        <v>53437654.140000001</v>
      </c>
      <c r="E21" s="1200">
        <f t="shared" si="5"/>
        <v>2273954437.9112005</v>
      </c>
      <c r="F21" s="1200">
        <f t="shared" si="5"/>
        <v>48723318.120000005</v>
      </c>
      <c r="G21" s="1200">
        <f t="shared" si="5"/>
        <v>39798747.720000006</v>
      </c>
      <c r="H21" s="1200">
        <f t="shared" si="5"/>
        <v>13638906.42</v>
      </c>
      <c r="I21" s="1200">
        <f t="shared" si="5"/>
        <v>-4714336.0200000005</v>
      </c>
      <c r="J21" s="1380">
        <f t="shared" si="5"/>
        <v>10863745.619999999</v>
      </c>
      <c r="K21" s="1380">
        <f t="shared" si="5"/>
        <v>1770000</v>
      </c>
      <c r="L21" s="1380">
        <f t="shared" si="5"/>
        <v>0</v>
      </c>
      <c r="M21" s="1380">
        <f t="shared" si="5"/>
        <v>885000</v>
      </c>
      <c r="N21" s="1380">
        <f t="shared" si="5"/>
        <v>2809239.74</v>
      </c>
      <c r="O21" s="1380">
        <f t="shared" si="5"/>
        <v>2453563.38</v>
      </c>
      <c r="P21" s="1380">
        <f t="shared" si="5"/>
        <v>3371805.44</v>
      </c>
      <c r="Q21" s="1380">
        <f t="shared" si="5"/>
        <v>5827198.2000000002</v>
      </c>
      <c r="R21" s="1380">
        <f t="shared" si="5"/>
        <v>5357414.8800000008</v>
      </c>
      <c r="S21" s="1381">
        <f t="shared" si="5"/>
        <v>2792279.58</v>
      </c>
      <c r="T21" s="1381">
        <f t="shared" si="5"/>
        <v>3668500.88</v>
      </c>
      <c r="U21" s="1210">
        <f t="shared" si="5"/>
        <v>7116964.2999999998</v>
      </c>
      <c r="V21" s="1210">
        <f t="shared" si="5"/>
        <v>8616964.3000000007</v>
      </c>
      <c r="W21" s="1210">
        <f t="shared" si="5"/>
        <v>9800698.3000000007</v>
      </c>
      <c r="X21" s="1210">
        <f t="shared" si="5"/>
        <v>29203127.780000001</v>
      </c>
    </row>
    <row r="22" spans="2:24" s="1183" customFormat="1" ht="12">
      <c r="B22" s="1201" t="s">
        <v>42</v>
      </c>
      <c r="C22" s="1198">
        <f>+'ADI 09-25'!C26</f>
        <v>187510525.98143998</v>
      </c>
      <c r="D22" s="1198">
        <f>SUM(G22:H22)</f>
        <v>12551175.969999999</v>
      </c>
      <c r="E22" s="1198">
        <f>+C22-D22</f>
        <v>174959350.01143998</v>
      </c>
      <c r="F22" s="1198">
        <f>SUM(G22:I22)</f>
        <v>10781175.969999999</v>
      </c>
      <c r="G22" s="1198">
        <f>SUM(J22:T22)</f>
        <v>12551175.969999999</v>
      </c>
      <c r="H22" s="1198"/>
      <c r="I22" s="1198">
        <f>-'CXP 10-25'!F37</f>
        <v>-1770000</v>
      </c>
      <c r="J22" s="1378">
        <f>+'Costos a Sept-25'!B24</f>
        <v>161175.97</v>
      </c>
      <c r="K22" s="1378">
        <f>+'Costos a Sept-25'!C24</f>
        <v>0</v>
      </c>
      <c r="L22" s="1378">
        <f>+'Costos a Sept-25'!D24</f>
        <v>0</v>
      </c>
      <c r="M22" s="1378">
        <f>+'Costos a Sept-25'!E24</f>
        <v>0</v>
      </c>
      <c r="N22" s="1378">
        <f>+'Costos a Sept-25'!F24</f>
        <v>1770000</v>
      </c>
      <c r="O22" s="1378">
        <f>+'Costos a Sept-25'!G24</f>
        <v>1770000</v>
      </c>
      <c r="P22" s="1378">
        <f>+'Costos a Sept-25'!H24</f>
        <v>1770000</v>
      </c>
      <c r="Q22" s="1378">
        <f>+'Costos a Sept-25'!I24</f>
        <v>1770000</v>
      </c>
      <c r="R22" s="1378">
        <f>+'Costos a Sept-25'!J24</f>
        <v>1770000</v>
      </c>
      <c r="S22" s="1379">
        <f>+'Costos a Sept-25'!K24</f>
        <v>1770000</v>
      </c>
      <c r="T22" s="1379">
        <f>+'Costos a Oct-25'!L24</f>
        <v>1770000</v>
      </c>
      <c r="U22" s="1209">
        <f>+'Compromisos 09-25'!G38</f>
        <v>1770000</v>
      </c>
      <c r="V22" s="1209">
        <f>+'Compromisos 09-25'!H38</f>
        <v>1770000</v>
      </c>
      <c r="W22" s="1209">
        <f>+'Compromisos 09-25'!I38</f>
        <v>1770000</v>
      </c>
      <c r="X22" s="1209">
        <f t="shared" si="3"/>
        <v>7080000</v>
      </c>
    </row>
    <row r="23" spans="2:24" s="1183" customFormat="1" ht="12">
      <c r="B23" s="1197" t="s">
        <v>43</v>
      </c>
      <c r="C23" s="1198">
        <f>+'ADI 09-25'!C27</f>
        <v>327746152.40399998</v>
      </c>
      <c r="D23" s="1198">
        <f>SUM(G23:H23)</f>
        <v>55110730.770000003</v>
      </c>
      <c r="E23" s="1198">
        <f>+C23-D23</f>
        <v>272635421.634</v>
      </c>
      <c r="F23" s="1198">
        <f>SUM(G23:I23)</f>
        <v>40041752.560000002</v>
      </c>
      <c r="G23" s="1198">
        <f t="shared" ref="G23:G26" si="6">SUM(J23:T23)</f>
        <v>55110730.770000003</v>
      </c>
      <c r="H23" s="1198"/>
      <c r="I23" s="1198">
        <f>-'CXP 10-25'!F44-'CXP 10-25'!F48-'CXP 10-25'!F52-'CXP 10-25'!F59-'CXP MMHB 10-25'!E15</f>
        <v>-15068978.209999999</v>
      </c>
      <c r="J23" s="1378">
        <f>+'Costos a Sept-25'!B26</f>
        <v>559355.54</v>
      </c>
      <c r="K23" s="1378">
        <f>+'Costos a Sept-25'!C26</f>
        <v>0</v>
      </c>
      <c r="L23" s="1378">
        <f>+'Costos a Sept-25'!D26</f>
        <v>645765.21</v>
      </c>
      <c r="M23" s="1378">
        <f>+'Costos a Sept-25'!E26</f>
        <v>595001.35</v>
      </c>
      <c r="N23" s="1378">
        <f>+'Costos a Sept-25'!F26</f>
        <v>1549872.47</v>
      </c>
      <c r="O23" s="1378">
        <f>+'Costos a Sept-25'!G26</f>
        <v>1423527.61</v>
      </c>
      <c r="P23" s="1378">
        <f>+'Costos a Sept-25'!H26</f>
        <v>1733909.84</v>
      </c>
      <c r="Q23" s="1378">
        <f>+'Costos a Sept-25'!I26</f>
        <v>7890097.2200000007</v>
      </c>
      <c r="R23" s="1378">
        <f>+'Costos a Sept-25'!J26</f>
        <v>16166710.020000001</v>
      </c>
      <c r="S23" s="1379">
        <f>+'Costos a Sept-25'!K26</f>
        <v>11886550.289999999</v>
      </c>
      <c r="T23" s="1379">
        <f>+'Costos a Oct-25'!L26</f>
        <v>12659941.220000001</v>
      </c>
      <c r="U23" s="1209">
        <f>+'Compromisos 09-25'!G44+'Compromisos 09-25'!G48+'Compromisos 09-25'!G55</f>
        <v>2078433.2</v>
      </c>
      <c r="V23" s="1209">
        <f>+'Compromisos 09-25'!H44+'Compromisos 09-25'!H48+'Compromisos 09-25'!H55</f>
        <v>2078433.2</v>
      </c>
      <c r="W23" s="1209">
        <f>+'Compromisos 09-25'!I44+'Compromisos 09-25'!I48+'Compromisos 09-25'!I55</f>
        <v>2067000</v>
      </c>
      <c r="X23" s="1209">
        <f t="shared" si="3"/>
        <v>18883807.620000001</v>
      </c>
    </row>
    <row r="24" spans="2:24" s="1183" customFormat="1" ht="12">
      <c r="B24" s="1197" t="s">
        <v>44</v>
      </c>
      <c r="C24" s="1198">
        <f>+'ADI 09-25'!C28</f>
        <v>81458723.221791998</v>
      </c>
      <c r="D24" s="1198">
        <f>SUM(G24:H24)</f>
        <v>2262725.8099999996</v>
      </c>
      <c r="E24" s="1198">
        <f>+C24-D24</f>
        <v>79195997.411791995</v>
      </c>
      <c r="F24" s="1198">
        <f>SUM(G24:I24)</f>
        <v>2262725.8099999996</v>
      </c>
      <c r="G24" s="1198">
        <f t="shared" si="6"/>
        <v>2262725.8099999996</v>
      </c>
      <c r="H24" s="1198"/>
      <c r="I24" s="1198"/>
      <c r="J24" s="1378">
        <f>+'Costos a Sept-25'!B31</f>
        <v>373034.61</v>
      </c>
      <c r="K24" s="1378">
        <f>+'Costos a Sept-25'!C31</f>
        <v>43563.47</v>
      </c>
      <c r="L24" s="1378">
        <f>+'Costos a Sept-25'!D31</f>
        <v>36723.129999999997</v>
      </c>
      <c r="M24" s="1378">
        <f>+'Costos a Sept-25'!E31</f>
        <v>37034.89</v>
      </c>
      <c r="N24" s="1378">
        <f>+'Costos a Sept-25'!F31</f>
        <v>51335.37</v>
      </c>
      <c r="O24" s="1378">
        <f>+'Costos a Sept-25'!G31</f>
        <v>125971.53</v>
      </c>
      <c r="P24" s="1378">
        <f>+'Costos a Sept-25'!H31</f>
        <v>205035.01</v>
      </c>
      <c r="Q24" s="1378">
        <f>+'Costos a Sept-25'!I31</f>
        <v>193826.15000000002</v>
      </c>
      <c r="R24" s="1378">
        <f>+'Costos a Sept-25'!J31</f>
        <v>228402.97999999998</v>
      </c>
      <c r="S24" s="1379">
        <f>+'Costos a Sept-25'!K31</f>
        <v>824240.61999999988</v>
      </c>
      <c r="T24" s="1379">
        <f>+'Costos a Oct-25'!L31</f>
        <v>143558.04999999999</v>
      </c>
      <c r="U24" s="1371">
        <v>500000</v>
      </c>
      <c r="V24" s="1371">
        <v>500000</v>
      </c>
      <c r="W24" s="1371">
        <v>500000</v>
      </c>
      <c r="X24" s="1371">
        <f t="shared" si="3"/>
        <v>1643558.05</v>
      </c>
    </row>
    <row r="25" spans="2:24" s="1183" customFormat="1" ht="12">
      <c r="B25" s="1197" t="s">
        <v>45</v>
      </c>
      <c r="C25" s="1198">
        <f>+'ADI 09-25'!C29</f>
        <v>69521911.115999997</v>
      </c>
      <c r="D25" s="1198">
        <f>SUM(G25:H25)</f>
        <v>23470437.269999996</v>
      </c>
      <c r="E25" s="1198">
        <f>+C25-D25</f>
        <v>46051473.846000001</v>
      </c>
      <c r="F25" s="1198">
        <f>SUM(G25:I25)</f>
        <v>22089471.089999996</v>
      </c>
      <c r="G25" s="1198">
        <f t="shared" si="6"/>
        <v>23454572.279999997</v>
      </c>
      <c r="H25" s="1198">
        <f>-'CXP 10-25'!F88</f>
        <v>15864.99</v>
      </c>
      <c r="I25" s="1198">
        <f>-'CXP 10-25'!F64-'CXP 10-25'!F69-'CXP 10-25'!F73-'CXP 10-25'!F79-'CXP 10-25'!F83-'CXP MMHB 10-25'!E21-'CXP MMHB 10-25'!E26</f>
        <v>-1380966.1800000002</v>
      </c>
      <c r="J25" s="1378">
        <f>+'Costos a Sept-25'!B34</f>
        <v>11066720.34</v>
      </c>
      <c r="K25" s="1378">
        <f>+'Costos a Sept-25'!C34</f>
        <v>915790.08000000007</v>
      </c>
      <c r="L25" s="1378">
        <f>+'Costos a Sept-25'!D34</f>
        <v>1931201.9</v>
      </c>
      <c r="M25" s="1378">
        <f>+'Costos a Sept-25'!E34</f>
        <v>1103623.17</v>
      </c>
      <c r="N25" s="1378">
        <f>+'Costos a Sept-25'!F34</f>
        <v>807731.34</v>
      </c>
      <c r="O25" s="1378">
        <f>+'Costos a Sept-25'!G34</f>
        <v>740040.2</v>
      </c>
      <c r="P25" s="1378">
        <f>+'Costos a Sept-25'!H34</f>
        <v>1412884.71</v>
      </c>
      <c r="Q25" s="1378">
        <f>+'Costos a Sept-25'!I34</f>
        <v>3494146.35</v>
      </c>
      <c r="R25" s="1378">
        <f>+'Costos a Sept-25'!J34</f>
        <v>184710.12999999995</v>
      </c>
      <c r="S25" s="1379">
        <f>+'Costos a Sept-25'!K34</f>
        <v>551935.67999999993</v>
      </c>
      <c r="T25" s="1379">
        <f>+'Costos a Oct-25'!L34</f>
        <v>1245788.3799999999</v>
      </c>
      <c r="U25" s="1209">
        <f>+'Compromisos 09-25'!G63+'Compromisos 09-25'!G73+'Compromisos 09-25'!G77</f>
        <v>582840</v>
      </c>
      <c r="V25" s="1209">
        <f>+'Compromisos 09-25'!H63+'Compromisos 09-25'!H73+'Compromisos 09-25'!H77</f>
        <v>426390</v>
      </c>
      <c r="W25" s="1209">
        <f>+'Compromisos 09-25'!I63+'Compromisos 09-25'!I73+'Compromisos 09-25'!I77</f>
        <v>258004</v>
      </c>
      <c r="X25" s="1209">
        <f t="shared" si="3"/>
        <v>2513022.38</v>
      </c>
    </row>
    <row r="26" spans="2:24" s="1183" customFormat="1" ht="12">
      <c r="B26" s="1197" t="s">
        <v>46</v>
      </c>
      <c r="C26" s="1198">
        <f>+'ADI 09-25'!C30</f>
        <v>19863403.175999999</v>
      </c>
      <c r="D26" s="1198">
        <f>SUM(G26:H26)</f>
        <v>0</v>
      </c>
      <c r="E26" s="1198">
        <f>+C26-D26</f>
        <v>19863403.175999999</v>
      </c>
      <c r="F26" s="1198">
        <f>SUM(G26:I26)</f>
        <v>0</v>
      </c>
      <c r="G26" s="1198">
        <f t="shared" si="6"/>
        <v>0</v>
      </c>
      <c r="H26" s="1198"/>
      <c r="I26" s="1198"/>
      <c r="J26" s="1378">
        <f>+'Costos a Sept-25'!B40</f>
        <v>0</v>
      </c>
      <c r="K26" s="1378">
        <f>+'Costos a Sept-25'!C40</f>
        <v>0</v>
      </c>
      <c r="L26" s="1378">
        <f>+'Costos a Sept-25'!D40</f>
        <v>0</v>
      </c>
      <c r="M26" s="1378">
        <f>+'Costos a Sept-25'!E40</f>
        <v>0</v>
      </c>
      <c r="N26" s="1378">
        <f>+'Costos a Sept-25'!F40</f>
        <v>0</v>
      </c>
      <c r="O26" s="1378">
        <f>+'Costos a Sept-25'!G40</f>
        <v>0</v>
      </c>
      <c r="P26" s="1378">
        <f>+'Costos a Sept-25'!H40</f>
        <v>0</v>
      </c>
      <c r="Q26" s="1378">
        <f>+'Costos a Sept-25'!I40</f>
        <v>0</v>
      </c>
      <c r="R26" s="1378">
        <f>+'Costos a Sept-25'!J40</f>
        <v>0</v>
      </c>
      <c r="S26" s="1379">
        <f>+'Costos a Sept-25'!K40</f>
        <v>0</v>
      </c>
      <c r="T26" s="1379">
        <v>0</v>
      </c>
      <c r="U26" s="1209">
        <f>+'Costos a Sept-25'!M40</f>
        <v>0</v>
      </c>
      <c r="V26" s="1209">
        <f>+'Costos a Sept-25'!N40</f>
        <v>0</v>
      </c>
      <c r="W26" s="1209">
        <f>+'Costos a Sept-25'!O40</f>
        <v>0</v>
      </c>
      <c r="X26" s="1209">
        <f t="shared" si="3"/>
        <v>0</v>
      </c>
    </row>
    <row r="27" spans="2:24" s="1183" customFormat="1" ht="12">
      <c r="B27" s="1199" t="s">
        <v>47</v>
      </c>
      <c r="C27" s="1200">
        <f>SUM(C22:C26)</f>
        <v>686100715.89923203</v>
      </c>
      <c r="D27" s="1200">
        <f t="shared" ref="D27:X27" si="7">SUM(D22:D26)</f>
        <v>93395069.820000008</v>
      </c>
      <c r="E27" s="1200">
        <f t="shared" si="7"/>
        <v>592705646.07923198</v>
      </c>
      <c r="F27" s="1200">
        <f t="shared" si="7"/>
        <v>75175125.430000007</v>
      </c>
      <c r="G27" s="1200">
        <f t="shared" si="7"/>
        <v>93379204.830000013</v>
      </c>
      <c r="H27" s="1200">
        <f t="shared" si="7"/>
        <v>15864.99</v>
      </c>
      <c r="I27" s="1200">
        <f t="shared" si="7"/>
        <v>-18219944.390000001</v>
      </c>
      <c r="J27" s="1380">
        <f t="shared" si="7"/>
        <v>12160286.460000001</v>
      </c>
      <c r="K27" s="1380">
        <f t="shared" si="7"/>
        <v>959353.55</v>
      </c>
      <c r="L27" s="1380">
        <f t="shared" si="7"/>
        <v>2613690.2399999998</v>
      </c>
      <c r="M27" s="1380">
        <f t="shared" si="7"/>
        <v>1735659.41</v>
      </c>
      <c r="N27" s="1380">
        <f t="shared" si="7"/>
        <v>4178939.1799999997</v>
      </c>
      <c r="O27" s="1380">
        <f t="shared" si="7"/>
        <v>4059539.34</v>
      </c>
      <c r="P27" s="1380">
        <f t="shared" si="7"/>
        <v>5121829.5599999996</v>
      </c>
      <c r="Q27" s="1380">
        <f t="shared" si="7"/>
        <v>13348069.720000001</v>
      </c>
      <c r="R27" s="1380">
        <f t="shared" si="7"/>
        <v>18349823.130000003</v>
      </c>
      <c r="S27" s="1381">
        <f t="shared" si="7"/>
        <v>15032726.589999998</v>
      </c>
      <c r="T27" s="1381">
        <f t="shared" ref="T27" si="8">SUM(T22:T26)</f>
        <v>15819287.650000002</v>
      </c>
      <c r="U27" s="1210">
        <f t="shared" si="7"/>
        <v>4931273.2</v>
      </c>
      <c r="V27" s="1210">
        <f t="shared" si="7"/>
        <v>4774823.2</v>
      </c>
      <c r="W27" s="1210">
        <f t="shared" si="7"/>
        <v>4595004</v>
      </c>
      <c r="X27" s="1210">
        <f t="shared" si="7"/>
        <v>30120388.050000001</v>
      </c>
    </row>
    <row r="28" spans="2:24" s="1183" customFormat="1" ht="12">
      <c r="B28" s="1201" t="s">
        <v>48</v>
      </c>
      <c r="C28" s="1198">
        <f>+'ADI 09-25'!C32</f>
        <v>30500000</v>
      </c>
      <c r="D28" s="1198">
        <f>SUM(G28:H28)</f>
        <v>17726768.679999996</v>
      </c>
      <c r="E28" s="1198">
        <f>+C28-D28</f>
        <v>12773231.320000004</v>
      </c>
      <c r="F28" s="1198">
        <f>SUM(G28:I28)</f>
        <v>17298798.919999994</v>
      </c>
      <c r="G28" s="1198">
        <f>SUM(J28:T28)</f>
        <v>17720096.799999997</v>
      </c>
      <c r="H28" s="1198">
        <f>+'Anticipos 10-25'!D12</f>
        <v>6671.88</v>
      </c>
      <c r="I28" s="1198">
        <f>-'CXP MMHB 10-25'!E36</f>
        <v>-427969.76</v>
      </c>
      <c r="J28" s="1378">
        <f>+'Costos a Sept-25'!B43</f>
        <v>12715384.379999999</v>
      </c>
      <c r="K28" s="1378">
        <f>+'Costos a Sept-25'!C43</f>
        <v>0</v>
      </c>
      <c r="L28" s="1378">
        <f>+'Costos a Sept-25'!D43</f>
        <v>0</v>
      </c>
      <c r="M28" s="1378">
        <f>+'Costos a Sept-25'!E43</f>
        <v>128745.38</v>
      </c>
      <c r="N28" s="1378">
        <f>+'Costos a Sept-25'!F43</f>
        <v>552632.57999999996</v>
      </c>
      <c r="O28" s="1378">
        <f>+'Costos a Sept-25'!G43</f>
        <v>120006</v>
      </c>
      <c r="P28" s="1378">
        <f>+'Costos a Sept-25'!H43</f>
        <v>1543136</v>
      </c>
      <c r="Q28" s="1378">
        <f>+'Costos a Sept-25'!I43</f>
        <v>300</v>
      </c>
      <c r="R28" s="1378">
        <f>+'Costos a Sept-25'!J43</f>
        <v>223322.53</v>
      </c>
      <c r="S28" s="1379">
        <f>+'Costos a Sept-25'!K43</f>
        <v>1594150.23</v>
      </c>
      <c r="T28" s="1379">
        <f>+'Costos a Oct-25'!L48</f>
        <v>842419.7</v>
      </c>
      <c r="U28" s="1209">
        <f>+'Compromisos 09-25'!G85</f>
        <v>357835</v>
      </c>
      <c r="V28" s="1209">
        <f>+'Compromisos 09-25'!H85</f>
        <v>2091958.99</v>
      </c>
      <c r="W28" s="1209">
        <f>+'Compromisos 09-25'!I85</f>
        <v>357835</v>
      </c>
      <c r="X28" s="1209">
        <f t="shared" si="3"/>
        <v>3650048.69</v>
      </c>
    </row>
    <row r="29" spans="2:24" s="1183" customFormat="1" ht="12">
      <c r="B29" s="1197" t="s">
        <v>49</v>
      </c>
      <c r="C29" s="1198">
        <f>+'ADI 09-25'!C33</f>
        <v>25000000</v>
      </c>
      <c r="D29" s="1198">
        <f>SUM(G29:H29)</f>
        <v>24022583.620000001</v>
      </c>
      <c r="E29" s="1198">
        <f>+C29-D29</f>
        <v>977416.37999999896</v>
      </c>
      <c r="F29" s="1198">
        <f>SUM(G29:I29)</f>
        <v>22244236.050000001</v>
      </c>
      <c r="G29" s="1198">
        <f t="shared" ref="G29:G31" si="9">SUM(J29:T29)</f>
        <v>23709583.620000001</v>
      </c>
      <c r="H29" s="1198">
        <f>+'Anticipos 10-25'!D4</f>
        <v>313000</v>
      </c>
      <c r="I29" s="1198">
        <f>-'CXP 10-25'!F12-'CXP MMHB 10-25'!E10</f>
        <v>-1778347.5699999998</v>
      </c>
      <c r="J29" s="1378">
        <f>+'Costos a Sept-25'!B4</f>
        <v>21168315.640000001</v>
      </c>
      <c r="K29" s="1378">
        <f>+'Costos a Sept-25'!C4</f>
        <v>239349.75</v>
      </c>
      <c r="L29" s="1378">
        <f>+'Costos a Sept-25'!D4</f>
        <v>0</v>
      </c>
      <c r="M29" s="1378">
        <f>+'Costos a Sept-25'!E4</f>
        <v>146320</v>
      </c>
      <c r="N29" s="1378">
        <f>+'Costos a Sept-25'!F4</f>
        <v>108350.26</v>
      </c>
      <c r="O29" s="1378">
        <f>+'Costos a Sept-25'!G4</f>
        <v>53100</v>
      </c>
      <c r="P29" s="1378">
        <f>+'Costos a Sept-25'!H4</f>
        <v>0</v>
      </c>
      <c r="Q29" s="1378">
        <f>+'Costos a Sept-25'!I4</f>
        <v>0</v>
      </c>
      <c r="R29" s="1378">
        <f>+'Costos a Sept-25'!J4</f>
        <v>1595686.82</v>
      </c>
      <c r="S29" s="1379">
        <f>+'Costos a Sept-25'!K4</f>
        <v>87792</v>
      </c>
      <c r="T29" s="1379">
        <f>+'Costos a Oct-25'!L4</f>
        <v>310669.15000000002</v>
      </c>
      <c r="U29" s="1209">
        <f>+'Compromisos 09-25'!G11</f>
        <v>0</v>
      </c>
      <c r="V29" s="1209">
        <f>+'Compromisos 09-25'!H11</f>
        <v>0</v>
      </c>
      <c r="W29" s="1209">
        <f>+'Compromisos 09-25'!I11</f>
        <v>0</v>
      </c>
      <c r="X29" s="1209">
        <f t="shared" si="3"/>
        <v>310669.15000000002</v>
      </c>
    </row>
    <row r="30" spans="2:24" s="1183" customFormat="1" ht="12">
      <c r="B30" s="1197" t="s">
        <v>50</v>
      </c>
      <c r="C30" s="1198">
        <f>+'ADI 09-25'!C34</f>
        <v>232739209.20512</v>
      </c>
      <c r="D30" s="1198">
        <f>SUM(G30:H30)</f>
        <v>5900</v>
      </c>
      <c r="E30" s="1198">
        <f>+C30-D30</f>
        <v>232733309.20512</v>
      </c>
      <c r="F30" s="1198">
        <f>SUM(G30:I30)</f>
        <v>5900</v>
      </c>
      <c r="G30" s="1198">
        <f t="shared" si="9"/>
        <v>5900</v>
      </c>
      <c r="H30" s="1198"/>
      <c r="I30" s="1198"/>
      <c r="J30" s="1378">
        <f>+'Costos a Sept-25'!B47</f>
        <v>0</v>
      </c>
      <c r="K30" s="1378">
        <f>+'Costos a Sept-25'!C47</f>
        <v>0</v>
      </c>
      <c r="L30" s="1378">
        <f>+'Costos a Sept-25'!D47</f>
        <v>0</v>
      </c>
      <c r="M30" s="1378">
        <f>+'Costos a Sept-25'!E47</f>
        <v>0</v>
      </c>
      <c r="N30" s="1378">
        <f>+'Costos a Sept-25'!F47</f>
        <v>0</v>
      </c>
      <c r="O30" s="1378">
        <f>+'Costos a Sept-25'!G47</f>
        <v>0</v>
      </c>
      <c r="P30" s="1378">
        <f>+'Costos a Sept-25'!H47</f>
        <v>0</v>
      </c>
      <c r="Q30" s="1378">
        <f>+'Costos a Sept-25'!I47</f>
        <v>0</v>
      </c>
      <c r="R30" s="1378">
        <f>+'Costos a Sept-25'!J47</f>
        <v>0</v>
      </c>
      <c r="S30" s="1379">
        <f>+'Costos a Sept-25'!K47</f>
        <v>0</v>
      </c>
      <c r="T30" s="1379">
        <f>+'Costos a Oct-25'!L51</f>
        <v>5900</v>
      </c>
      <c r="U30" s="1371">
        <v>650000</v>
      </c>
      <c r="V30" s="1371">
        <v>650000</v>
      </c>
      <c r="W30" s="1371">
        <v>650000</v>
      </c>
      <c r="X30" s="1371">
        <f t="shared" si="3"/>
        <v>1955900</v>
      </c>
    </row>
    <row r="31" spans="2:24" s="1183" customFormat="1" ht="12">
      <c r="B31" s="1197" t="s">
        <v>51</v>
      </c>
      <c r="C31" s="1198">
        <f>+'ADI 09-25'!C35</f>
        <v>19863403.175999999</v>
      </c>
      <c r="D31" s="1198">
        <f>SUM(G31:H31)</f>
        <v>0</v>
      </c>
      <c r="E31" s="1198">
        <f>+C31-D31</f>
        <v>19863403.175999999</v>
      </c>
      <c r="F31" s="1198">
        <f>SUM(G31:I31)</f>
        <v>0</v>
      </c>
      <c r="G31" s="1198">
        <f t="shared" si="9"/>
        <v>0</v>
      </c>
      <c r="H31" s="1198"/>
      <c r="I31" s="1198"/>
      <c r="J31" s="1378">
        <f>+'Costos a Sept-25'!B45</f>
        <v>0</v>
      </c>
      <c r="K31" s="1378">
        <f>+'Costos a Sept-25'!C45</f>
        <v>0</v>
      </c>
      <c r="L31" s="1378">
        <f>+'Costos a Sept-25'!D45</f>
        <v>0</v>
      </c>
      <c r="M31" s="1378">
        <f>+'Costos a Sept-25'!E45</f>
        <v>0</v>
      </c>
      <c r="N31" s="1378">
        <f>+'Costos a Sept-25'!F45</f>
        <v>0</v>
      </c>
      <c r="O31" s="1378">
        <f>+'Costos a Sept-25'!G45</f>
        <v>0</v>
      </c>
      <c r="P31" s="1378">
        <f>+'Costos a Sept-25'!H45</f>
        <v>0</v>
      </c>
      <c r="Q31" s="1378">
        <f>+'Costos a Sept-25'!I45</f>
        <v>0</v>
      </c>
      <c r="R31" s="1378">
        <f>+'Costos a Sept-25'!J45</f>
        <v>0</v>
      </c>
      <c r="S31" s="1379">
        <f>+'Costos a Sept-25'!K45</f>
        <v>0</v>
      </c>
      <c r="T31" s="1379">
        <f>+'Costos a Oct-25'!L45</f>
        <v>0</v>
      </c>
      <c r="U31" s="1209">
        <f>+'Costos a Sept-25'!M45</f>
        <v>0</v>
      </c>
      <c r="V31" s="1209">
        <f>+'Costos a Sept-25'!N45</f>
        <v>0</v>
      </c>
      <c r="W31" s="1209">
        <f>+'Costos a Sept-25'!O45</f>
        <v>0</v>
      </c>
      <c r="X31" s="1209">
        <f t="shared" si="3"/>
        <v>0</v>
      </c>
    </row>
    <row r="32" spans="2:24" s="1183" customFormat="1" ht="12">
      <c r="B32" s="1199" t="s">
        <v>52</v>
      </c>
      <c r="C32" s="1200">
        <f>SUM(C28:C31)</f>
        <v>308102612.38111997</v>
      </c>
      <c r="D32" s="1200">
        <f t="shared" ref="D32:X32" si="10">SUM(D28:D31)</f>
        <v>41755252.299999997</v>
      </c>
      <c r="E32" s="1200">
        <f t="shared" si="10"/>
        <v>266347360.08112001</v>
      </c>
      <c r="F32" s="1200">
        <f t="shared" si="10"/>
        <v>39548934.969999999</v>
      </c>
      <c r="G32" s="1200">
        <f t="shared" si="10"/>
        <v>41435580.420000002</v>
      </c>
      <c r="H32" s="1200">
        <f t="shared" si="10"/>
        <v>319671.88</v>
      </c>
      <c r="I32" s="1200">
        <f t="shared" si="10"/>
        <v>-2206317.33</v>
      </c>
      <c r="J32" s="1380">
        <f t="shared" si="10"/>
        <v>33883700.019999996</v>
      </c>
      <c r="K32" s="1380">
        <f t="shared" si="10"/>
        <v>239349.75</v>
      </c>
      <c r="L32" s="1380">
        <f t="shared" si="10"/>
        <v>0</v>
      </c>
      <c r="M32" s="1380">
        <f t="shared" si="10"/>
        <v>275065.38</v>
      </c>
      <c r="N32" s="1380">
        <f t="shared" si="10"/>
        <v>660982.84</v>
      </c>
      <c r="O32" s="1380">
        <f t="shared" si="10"/>
        <v>173106</v>
      </c>
      <c r="P32" s="1380">
        <f t="shared" si="10"/>
        <v>1543136</v>
      </c>
      <c r="Q32" s="1380">
        <f t="shared" si="10"/>
        <v>300</v>
      </c>
      <c r="R32" s="1380">
        <f t="shared" si="10"/>
        <v>1819009.35</v>
      </c>
      <c r="S32" s="1381">
        <f t="shared" si="10"/>
        <v>1681942.23</v>
      </c>
      <c r="T32" s="1381">
        <f t="shared" ref="T32" si="11">SUM(T28:T31)</f>
        <v>1158988.8500000001</v>
      </c>
      <c r="U32" s="1210">
        <f t="shared" si="10"/>
        <v>1007835</v>
      </c>
      <c r="V32" s="1210">
        <f t="shared" si="10"/>
        <v>2741958.99</v>
      </c>
      <c r="W32" s="1210">
        <f t="shared" si="10"/>
        <v>1007835</v>
      </c>
      <c r="X32" s="1210">
        <f t="shared" si="10"/>
        <v>5916617.8399999999</v>
      </c>
    </row>
    <row r="33" spans="2:24" s="1183" customFormat="1" ht="12">
      <c r="B33" s="1202" t="s">
        <v>53</v>
      </c>
      <c r="C33" s="1203">
        <f t="shared" ref="C33:X33" si="12">+C14+C21+C27+C32</f>
        <v>3428528420.3315516</v>
      </c>
      <c r="D33" s="1203">
        <f t="shared" si="12"/>
        <v>453033056.41999996</v>
      </c>
      <c r="E33" s="1203">
        <f t="shared" si="12"/>
        <v>2975495363.9115529</v>
      </c>
      <c r="F33" s="1203">
        <f t="shared" si="12"/>
        <v>427892458.67999995</v>
      </c>
      <c r="G33" s="1203">
        <f t="shared" si="12"/>
        <v>439058613.13000005</v>
      </c>
      <c r="H33" s="1203">
        <f t="shared" si="12"/>
        <v>13974443.290000001</v>
      </c>
      <c r="I33" s="1203">
        <f t="shared" si="12"/>
        <v>-25140597.740000002</v>
      </c>
      <c r="J33" s="1382">
        <f t="shared" si="12"/>
        <v>151080073.93000001</v>
      </c>
      <c r="K33" s="1382">
        <f t="shared" si="12"/>
        <v>2968703.3</v>
      </c>
      <c r="L33" s="1382">
        <f t="shared" si="12"/>
        <v>2613690.2399999998</v>
      </c>
      <c r="M33" s="1382">
        <f t="shared" si="12"/>
        <v>2895724.79</v>
      </c>
      <c r="N33" s="1382">
        <f t="shared" si="12"/>
        <v>7649161.7599999998</v>
      </c>
      <c r="O33" s="1382">
        <f t="shared" si="12"/>
        <v>6705088.7199999997</v>
      </c>
      <c r="P33" s="1382">
        <f t="shared" si="12"/>
        <v>10036771</v>
      </c>
      <c r="Q33" s="1382">
        <f t="shared" si="12"/>
        <v>19175567.920000002</v>
      </c>
      <c r="R33" s="1382">
        <f t="shared" si="12"/>
        <v>195778925.68999997</v>
      </c>
      <c r="S33" s="1383">
        <f t="shared" si="12"/>
        <v>19508128.399999999</v>
      </c>
      <c r="T33" s="1383">
        <f t="shared" si="12"/>
        <v>20646777.380000003</v>
      </c>
      <c r="U33" s="1211">
        <f t="shared" si="12"/>
        <v>13056072.5</v>
      </c>
      <c r="V33" s="1211">
        <f t="shared" si="12"/>
        <v>16133746.49</v>
      </c>
      <c r="W33" s="1211">
        <f t="shared" si="12"/>
        <v>15403537.300000001</v>
      </c>
      <c r="X33" s="1211">
        <f t="shared" si="12"/>
        <v>65240133.670000002</v>
      </c>
    </row>
    <row r="34" spans="2:24" s="1183" customFormat="1" ht="12">
      <c r="B34" s="1267" t="s">
        <v>1922</v>
      </c>
      <c r="C34" s="1268"/>
      <c r="D34" s="1268"/>
      <c r="E34" s="1268"/>
      <c r="F34" s="1268"/>
      <c r="G34" s="1268">
        <v>438856745.83999997</v>
      </c>
      <c r="H34" s="1268">
        <v>13958578.380000001</v>
      </c>
      <c r="I34" s="1268">
        <f>-24006738.19-293474.91-824841.04</f>
        <v>-25125054.140000001</v>
      </c>
      <c r="J34" s="1205"/>
      <c r="T34" s="1435">
        <f>+'Costos a Oct-25'!L53</f>
        <v>20646777.379999999</v>
      </c>
    </row>
    <row r="35" spans="2:24" s="1183" customFormat="1" ht="12">
      <c r="C35" s="1188"/>
      <c r="D35" s="1206">
        <f t="shared" ref="D35" si="13">+D33-D14</f>
        <v>188587976.25999999</v>
      </c>
      <c r="E35" s="1206"/>
      <c r="F35" s="1206">
        <f>+F33-F14</f>
        <v>163447378.51999998</v>
      </c>
      <c r="G35" s="1206">
        <f>+G33-G34</f>
        <v>201867.29000008106</v>
      </c>
      <c r="H35" s="1206">
        <f t="shared" ref="H35:I35" si="14">+H33-H34</f>
        <v>15864.910000000149</v>
      </c>
      <c r="I35" s="1206">
        <f t="shared" si="14"/>
        <v>-15543.60000000149</v>
      </c>
      <c r="M35" s="1205"/>
      <c r="T35" s="1435">
        <f>+T33-T34</f>
        <v>0</v>
      </c>
    </row>
  </sheetData>
  <mergeCells count="3">
    <mergeCell ref="B3:C3"/>
    <mergeCell ref="D10:I10"/>
    <mergeCell ref="B11:C11"/>
  </mergeCells>
  <hyperlinks>
    <hyperlink ref="F1" r:id="rId1" xr:uid="{CB3A96D2-DB47-44CB-912C-6C1F63195C6E}"/>
  </hyperlinks>
  <pageMargins left="0.5" right="0.69" top="0.92" bottom="1" header="0" footer="0"/>
  <pageSetup scale="38" orientation="landscape" r:id="rId2"/>
  <legacyDrawing r:id="rId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40EFB-4510-423C-8862-2675436EE177}">
  <sheetPr>
    <tabColor theme="5" tint="0.79998168889431442"/>
  </sheetPr>
  <dimension ref="A1:U50"/>
  <sheetViews>
    <sheetView showGridLines="0" topLeftCell="A2" zoomScale="110" zoomScaleNormal="110" workbookViewId="0">
      <pane xSplit="7" ySplit="3" topLeftCell="H5" activePane="bottomRight" state="frozen"/>
      <selection pane="topRight" activeCell="D22" sqref="D22"/>
      <selection pane="bottomLeft" activeCell="D22" sqref="D22"/>
      <selection pane="bottomRight" activeCell="D22" sqref="D22"/>
    </sheetView>
  </sheetViews>
  <sheetFormatPr baseColWidth="10" defaultColWidth="11.44140625" defaultRowHeight="14.4"/>
  <cols>
    <col min="1" max="1" width="3.6640625" customWidth="1"/>
    <col min="2" max="2" width="27.109375" customWidth="1"/>
    <col min="3" max="5" width="18" hidden="1" customWidth="1"/>
    <col min="6" max="6" width="14.6640625" style="841" hidden="1" customWidth="1"/>
    <col min="7" max="7" width="17.6640625" style="841" customWidth="1"/>
    <col min="8" max="8" width="13.33203125" customWidth="1"/>
    <col min="9" max="9" width="16.33203125" customWidth="1"/>
    <col min="10" max="11" width="13.6640625" customWidth="1"/>
    <col min="12" max="12" width="13.33203125" customWidth="1"/>
    <col min="13" max="14" width="15" customWidth="1"/>
    <col min="15" max="15" width="15.5546875" customWidth="1"/>
    <col min="16" max="16" width="18.109375" customWidth="1"/>
    <col min="17" max="17" width="17.6640625" customWidth="1"/>
    <col min="18" max="18" width="16.109375" customWidth="1"/>
    <col min="19" max="19" width="18.5546875" customWidth="1"/>
    <col min="20" max="20" width="17" customWidth="1"/>
    <col min="21" max="23" width="15.44140625" bestFit="1" customWidth="1"/>
    <col min="24" max="24" width="14.44140625" bestFit="1" customWidth="1"/>
  </cols>
  <sheetData>
    <row r="1" spans="1:21" ht="21.6" customHeight="1">
      <c r="E1" s="370"/>
      <c r="H1" s="370"/>
      <c r="J1" s="370"/>
      <c r="K1" s="370"/>
      <c r="O1" s="732"/>
      <c r="R1" s="2109" t="s">
        <v>185</v>
      </c>
      <c r="S1" s="2109"/>
      <c r="T1" s="2109"/>
      <c r="U1" s="2109"/>
    </row>
    <row r="2" spans="1:21" ht="15" thickBot="1">
      <c r="E2" s="509"/>
      <c r="F2" s="840"/>
      <c r="G2" s="840"/>
      <c r="H2" s="509"/>
      <c r="I2" s="181" t="s">
        <v>197</v>
      </c>
      <c r="J2" s="2148" t="s">
        <v>1611</v>
      </c>
      <c r="K2" s="2148"/>
      <c r="L2" s="2148"/>
      <c r="M2" s="2148"/>
      <c r="N2" s="2148"/>
      <c r="O2" s="1111"/>
      <c r="P2" s="181" t="s">
        <v>199</v>
      </c>
      <c r="Q2" s="181" t="s">
        <v>225</v>
      </c>
      <c r="R2" s="2109"/>
      <c r="S2" s="2109"/>
      <c r="T2" s="2109"/>
      <c r="U2" s="2109"/>
    </row>
    <row r="3" spans="1:21" ht="15.6" customHeight="1" thickBot="1">
      <c r="B3" s="1033" t="s">
        <v>1445</v>
      </c>
      <c r="C3" s="1034"/>
      <c r="D3" s="1035"/>
      <c r="E3" s="1035"/>
      <c r="F3" s="1036"/>
      <c r="G3" s="1036"/>
      <c r="H3" s="1565">
        <v>61</v>
      </c>
      <c r="I3" s="2142" t="s">
        <v>145</v>
      </c>
      <c r="J3" s="2146" t="s">
        <v>650</v>
      </c>
      <c r="K3" s="2146" t="s">
        <v>2080</v>
      </c>
      <c r="L3" s="2146" t="s">
        <v>1541</v>
      </c>
      <c r="M3" s="2146" t="s">
        <v>1613</v>
      </c>
      <c r="N3" s="2146" t="s">
        <v>652</v>
      </c>
      <c r="O3" s="2142" t="s">
        <v>227</v>
      </c>
      <c r="P3" s="2142" t="s">
        <v>807</v>
      </c>
      <c r="Q3" s="2142" t="s">
        <v>146</v>
      </c>
      <c r="R3" s="183"/>
      <c r="S3" s="183"/>
      <c r="T3" s="183"/>
      <c r="U3" s="183"/>
    </row>
    <row r="4" spans="1:21" ht="16.95" customHeight="1" thickBot="1">
      <c r="A4" s="152"/>
      <c r="B4" s="1038" t="s">
        <v>29</v>
      </c>
      <c r="C4" s="1039" t="s">
        <v>762</v>
      </c>
      <c r="D4" s="1038" t="s">
        <v>763</v>
      </c>
      <c r="E4" s="1110" t="s">
        <v>1446</v>
      </c>
      <c r="F4" s="1110" t="s">
        <v>1614</v>
      </c>
      <c r="G4" s="1038" t="s">
        <v>1614</v>
      </c>
      <c r="H4" s="1038" t="s">
        <v>31</v>
      </c>
      <c r="I4" s="2143"/>
      <c r="J4" s="2147"/>
      <c r="K4" s="2147"/>
      <c r="L4" s="2147"/>
      <c r="M4" s="2147"/>
      <c r="N4" s="2147"/>
      <c r="O4" s="2143"/>
      <c r="P4" s="2143"/>
      <c r="Q4" s="2143"/>
      <c r="R4" s="183"/>
      <c r="S4" s="183"/>
      <c r="T4" s="183"/>
      <c r="U4" s="183"/>
    </row>
    <row r="5" spans="1:21">
      <c r="A5">
        <v>1</v>
      </c>
      <c r="B5" s="335" t="s">
        <v>33</v>
      </c>
      <c r="C5" s="1025">
        <f>SUM('budget (11)'!D2:D3)</f>
        <v>103385169</v>
      </c>
      <c r="D5" s="1053">
        <v>103385169</v>
      </c>
      <c r="E5" s="1053">
        <f>+'ADI 462 julio 25 '!D18</f>
        <v>105180000</v>
      </c>
      <c r="F5" s="1054">
        <f>+'ADI 462 AGO25'!D18</f>
        <v>106933000</v>
      </c>
      <c r="G5" s="1054">
        <f>+'ADI 09-25'!C18</f>
        <v>106933000</v>
      </c>
      <c r="H5" s="1053">
        <f>G5/H3</f>
        <v>1753000</v>
      </c>
      <c r="I5" s="1055">
        <f>+'Proc. 10-25'!C2</f>
        <v>264445080.16</v>
      </c>
      <c r="J5" s="1055">
        <f>+'Flujo y Ejecución 10-25'!G14</f>
        <v>264445080.15999997</v>
      </c>
      <c r="K5" s="1055">
        <f>+'Flujo y Ejecución 10-25'!H14</f>
        <v>0</v>
      </c>
      <c r="L5" s="1055"/>
      <c r="M5" s="1055"/>
      <c r="N5" s="1055"/>
      <c r="O5" s="1055">
        <f t="shared" ref="O5:O11" si="0">+J5-L5-M5+N5</f>
        <v>264445080.15999997</v>
      </c>
      <c r="P5" s="1056">
        <f>I5-O5</f>
        <v>0</v>
      </c>
      <c r="Q5" s="1056">
        <f t="shared" ref="Q5:Q11" si="1">+G5-I5</f>
        <v>-157512080.16</v>
      </c>
      <c r="R5" s="183"/>
      <c r="S5" s="183"/>
      <c r="T5" s="183"/>
      <c r="U5" s="183"/>
    </row>
    <row r="6" spans="1:21">
      <c r="B6" s="1044" t="s">
        <v>35</v>
      </c>
      <c r="C6" s="1017">
        <f>SUM('budget (11)'!D11:D24)</f>
        <v>451758999.99999994</v>
      </c>
      <c r="D6" s="1057">
        <v>451758999.99999994</v>
      </c>
      <c r="E6" s="1057">
        <f>+'ADI 462 julio 25 '!D19</f>
        <v>461429397</v>
      </c>
      <c r="F6" s="1058">
        <f>+'ADI 462 AGO25'!D19</f>
        <v>469173666.60000002</v>
      </c>
      <c r="G6" s="1058">
        <f>+'ADI 09-25'!C19</f>
        <v>469173666.60000002</v>
      </c>
      <c r="H6" s="1057">
        <f>G6/$H$3</f>
        <v>7691371.5836065579</v>
      </c>
      <c r="I6" s="1059">
        <f>+'Proc. 10-25'!C4</f>
        <v>42484180</v>
      </c>
      <c r="J6" s="1059">
        <f>+'Flujo y Ejecución 10-25'!G15</f>
        <v>16987127.080000002</v>
      </c>
      <c r="K6" s="1059">
        <v>14291211.33</v>
      </c>
      <c r="L6" s="1059"/>
      <c r="M6" s="1059">
        <f>+'CXP 10-25'!F18</f>
        <v>1087090.98</v>
      </c>
      <c r="N6" s="1059">
        <f>+'Anticipos 10-25'!D10</f>
        <v>13638906.42</v>
      </c>
      <c r="O6" s="1059">
        <f t="shared" si="0"/>
        <v>29538942.520000003</v>
      </c>
      <c r="P6" s="1060">
        <f>I6-O6</f>
        <v>12945237.479999997</v>
      </c>
      <c r="Q6" s="1060">
        <f t="shared" si="1"/>
        <v>426689486.60000002</v>
      </c>
      <c r="R6" s="183"/>
      <c r="S6" s="184"/>
      <c r="T6" s="183"/>
      <c r="U6" s="183"/>
    </row>
    <row r="7" spans="1:21" ht="13.95" customHeight="1">
      <c r="B7" s="1044" t="s">
        <v>38</v>
      </c>
      <c r="C7" s="1020">
        <f>SUM('budget (11)'!D25:D39)</f>
        <v>1265953920</v>
      </c>
      <c r="D7" s="1057">
        <f>1447934796</f>
        <v>1447934796</v>
      </c>
      <c r="E7" s="1057">
        <f>+'ADI 462 julio 25 '!D22</f>
        <v>1521122757</v>
      </c>
      <c r="F7" s="1058">
        <f>+'ADI 462 AGO25'!D20</f>
        <v>1517166651</v>
      </c>
      <c r="G7" s="1058">
        <f>+'ADI 09-25'!C20</f>
        <v>1517166651</v>
      </c>
      <c r="H7" s="1057">
        <f t="shared" ref="H7:H11" si="2">G7/$H$3</f>
        <v>24871584.442622952</v>
      </c>
      <c r="I7" s="1061">
        <f>+'Proc. 10-25'!C5</f>
        <v>0</v>
      </c>
      <c r="J7" s="1061">
        <f>+'Flujo y Ejecución 10-25'!G16</f>
        <v>0</v>
      </c>
      <c r="K7" s="1061">
        <f>+'Flujo y Ejecución 10-25'!H16</f>
        <v>0</v>
      </c>
      <c r="L7" s="1061"/>
      <c r="M7" s="1061"/>
      <c r="N7" s="1061"/>
      <c r="O7" s="1061">
        <f t="shared" si="0"/>
        <v>0</v>
      </c>
      <c r="P7" s="1062">
        <f>I7-O7</f>
        <v>0</v>
      </c>
      <c r="Q7" s="1062">
        <f t="shared" si="1"/>
        <v>1517166651</v>
      </c>
      <c r="R7" s="183"/>
      <c r="S7" s="184"/>
      <c r="T7" s="183"/>
      <c r="U7" s="183"/>
    </row>
    <row r="8" spans="1:21" ht="13.95" customHeight="1">
      <c r="B8" s="1044" t="s">
        <v>767</v>
      </c>
      <c r="C8" s="1020">
        <f>SUM('budget (11)'!D40:D41)</f>
        <v>171771292</v>
      </c>
      <c r="D8" s="1057">
        <v>189969380</v>
      </c>
      <c r="E8" s="1057">
        <f>+'ADI 462 julio 25 '!D23</f>
        <v>198255215.40000001</v>
      </c>
      <c r="F8" s="1058">
        <f>+'ADI 462 AGO25'!D21</f>
        <v>198634031.75999999</v>
      </c>
      <c r="G8" s="1058">
        <f>+'ADI 09-25'!C21</f>
        <v>234388157.47679996</v>
      </c>
      <c r="H8" s="1057">
        <f t="shared" si="2"/>
        <v>3842428.8110950813</v>
      </c>
      <c r="I8" s="1061">
        <f>+'Proc. 10-25'!C6</f>
        <v>21389162.52</v>
      </c>
      <c r="J8" s="1061">
        <f>+'Flujo y Ejecución 10-25'!G17</f>
        <v>21278081.100000001</v>
      </c>
      <c r="K8" s="1061">
        <f>+'Flujo y Ejecución 10-25'!H17</f>
        <v>0</v>
      </c>
      <c r="L8" s="1061"/>
      <c r="M8" s="1061">
        <f>+'CXP 10-25'!F23</f>
        <v>2860000</v>
      </c>
      <c r="N8" s="1061"/>
      <c r="O8" s="1061">
        <f t="shared" si="0"/>
        <v>18418081.100000001</v>
      </c>
      <c r="P8" s="1062">
        <f>I8-O8</f>
        <v>2971081.4199999981</v>
      </c>
      <c r="Q8" s="1062">
        <f t="shared" si="1"/>
        <v>212998994.95679995</v>
      </c>
      <c r="R8" s="183"/>
      <c r="S8" s="184"/>
      <c r="T8" s="183"/>
      <c r="U8" s="183"/>
    </row>
    <row r="9" spans="1:21" ht="13.95" customHeight="1">
      <c r="B9" s="1044" t="s">
        <v>1607</v>
      </c>
      <c r="C9" s="1114"/>
      <c r="D9" s="1057">
        <v>0</v>
      </c>
      <c r="E9" s="1057">
        <v>0</v>
      </c>
      <c r="F9" s="1058">
        <f>+'ADI 462 AGO25'!D22</f>
        <v>19863403.175999999</v>
      </c>
      <c r="G9" s="1058">
        <f>+'ADI 09-25'!C22</f>
        <v>19264643</v>
      </c>
      <c r="H9" s="1057">
        <f t="shared" si="2"/>
        <v>315813.81967213115</v>
      </c>
      <c r="I9" s="1061">
        <f>+'Proc. 10-25'!C9</f>
        <v>1013928.6</v>
      </c>
      <c r="J9" s="1061">
        <f>+'Flujo y Ejecución 10-25'!G18</f>
        <v>1013928.6</v>
      </c>
      <c r="K9" s="1061">
        <f>+'Flujo y Ejecución 10-25'!H18</f>
        <v>0</v>
      </c>
      <c r="L9" s="1061"/>
      <c r="M9" s="1061">
        <f>+'CXP 10-25'!F33</f>
        <v>584297.84</v>
      </c>
      <c r="N9" s="1061"/>
      <c r="O9" s="1061">
        <f t="shared" si="0"/>
        <v>429630.76</v>
      </c>
      <c r="P9" s="1062"/>
      <c r="Q9" s="1062">
        <f t="shared" si="1"/>
        <v>18250714.399999999</v>
      </c>
      <c r="R9" s="183"/>
      <c r="S9" s="184"/>
      <c r="T9" s="183"/>
      <c r="U9" s="183"/>
    </row>
    <row r="10" spans="1:21">
      <c r="B10" s="1044" t="s">
        <v>40</v>
      </c>
      <c r="C10" s="1020">
        <f>SUM('budget (11)'!D42)</f>
        <v>34354258</v>
      </c>
      <c r="D10" s="1057">
        <v>37993876</v>
      </c>
      <c r="E10" s="1057">
        <f>+'ADI 462 julio 25 '!D24/2</f>
        <v>39651043.079999998</v>
      </c>
      <c r="F10" s="1058">
        <f>+'ADI 462 AGO25'!D23</f>
        <v>47672167.622400001</v>
      </c>
      <c r="G10" s="1058">
        <f>+'ADI 09-25'!C23</f>
        <v>47672167.622400001</v>
      </c>
      <c r="H10" s="1057">
        <f t="shared" si="2"/>
        <v>781510.94462950819</v>
      </c>
      <c r="I10" s="1061">
        <f>+'Proc. 10-25'!C7</f>
        <v>519610.94</v>
      </c>
      <c r="J10" s="1061">
        <f>+'Flujo y Ejecución 10-25'!G19</f>
        <v>519610.94</v>
      </c>
      <c r="K10" s="1061">
        <f>+'Flujo y Ejecución 10-25'!H19</f>
        <v>0</v>
      </c>
      <c r="L10" s="1061"/>
      <c r="M10" s="1061">
        <f>+'CXP 10-25'!F28</f>
        <v>182947.20000000001</v>
      </c>
      <c r="N10" s="1061"/>
      <c r="O10" s="1061">
        <f t="shared" si="0"/>
        <v>336663.74</v>
      </c>
      <c r="P10" s="1062">
        <f>I10-O10</f>
        <v>182947.20000000001</v>
      </c>
      <c r="Q10" s="1062">
        <f t="shared" si="1"/>
        <v>47152556.682400003</v>
      </c>
      <c r="R10" s="183"/>
      <c r="S10" s="184"/>
      <c r="T10" s="183"/>
      <c r="U10" s="183"/>
    </row>
    <row r="11" spans="1:21">
      <c r="B11" s="1044" t="s">
        <v>764</v>
      </c>
      <c r="C11" s="1020">
        <v>0</v>
      </c>
      <c r="D11" s="1057">
        <v>37993876</v>
      </c>
      <c r="E11" s="1057">
        <f>+'ADI 462 julio 25 '!D24/2</f>
        <v>39651043.079999998</v>
      </c>
      <c r="F11" s="1058">
        <f>+'ADI 462 AGO25'!D24</f>
        <v>39726806.351999998</v>
      </c>
      <c r="G11" s="1058">
        <f>+'ADI 09-25'!C24</f>
        <v>39726806.351999998</v>
      </c>
      <c r="H11" s="1057">
        <f t="shared" si="2"/>
        <v>651259.12052459014</v>
      </c>
      <c r="I11" s="1061">
        <f>+'Proc. 10-25'!C8</f>
        <v>0</v>
      </c>
      <c r="J11" s="1061">
        <f>+'Flujo y Ejecución 10-25'!G20</f>
        <v>0</v>
      </c>
      <c r="K11" s="1061">
        <f>+'Flujo y Ejecución 10-25'!H20</f>
        <v>0</v>
      </c>
      <c r="L11" s="1061"/>
      <c r="M11" s="1061"/>
      <c r="N11" s="1061"/>
      <c r="O11" s="1061">
        <f t="shared" si="0"/>
        <v>0</v>
      </c>
      <c r="P11" s="1062">
        <f>I11-O11</f>
        <v>0</v>
      </c>
      <c r="Q11" s="1062">
        <f t="shared" si="1"/>
        <v>39726806.351999998</v>
      </c>
      <c r="R11" s="183"/>
      <c r="S11" s="184"/>
      <c r="T11" s="183"/>
      <c r="U11" s="183"/>
    </row>
    <row r="12" spans="1:21">
      <c r="B12" s="254" t="s">
        <v>41</v>
      </c>
      <c r="C12" s="665">
        <f>SUM(C6:C10)</f>
        <v>1923838470</v>
      </c>
      <c r="D12" s="1063">
        <f t="shared" ref="D12:Q12" si="3">SUM(D6:D11)</f>
        <v>2165650928</v>
      </c>
      <c r="E12" s="1063">
        <f t="shared" si="3"/>
        <v>2260109455.5599999</v>
      </c>
      <c r="F12" s="1063">
        <f t="shared" si="3"/>
        <v>2292236726.5103998</v>
      </c>
      <c r="G12" s="1063">
        <f t="shared" si="3"/>
        <v>2327392092.0511999</v>
      </c>
      <c r="H12" s="1063">
        <f t="shared" si="3"/>
        <v>38153968.722150818</v>
      </c>
      <c r="I12" s="1064">
        <f t="shared" si="3"/>
        <v>65406882.059999995</v>
      </c>
      <c r="J12" s="1064">
        <f t="shared" si="3"/>
        <v>39798747.720000006</v>
      </c>
      <c r="K12" s="1064">
        <f t="shared" ref="K12" si="4">SUM(K6:K11)</f>
        <v>14291211.33</v>
      </c>
      <c r="L12" s="1064">
        <f t="shared" si="3"/>
        <v>0</v>
      </c>
      <c r="M12" s="1064">
        <f>SUM(M6:M11)</f>
        <v>4714336.0200000005</v>
      </c>
      <c r="N12" s="1064">
        <f t="shared" si="3"/>
        <v>13638906.42</v>
      </c>
      <c r="O12" s="1064">
        <f t="shared" si="3"/>
        <v>48723318.120000005</v>
      </c>
      <c r="P12" s="1064">
        <f t="shared" si="3"/>
        <v>16099266.099999994</v>
      </c>
      <c r="Q12" s="1064">
        <f t="shared" si="3"/>
        <v>2261985209.9912004</v>
      </c>
      <c r="R12" s="183"/>
      <c r="S12" s="184"/>
      <c r="T12" s="183"/>
      <c r="U12" s="183"/>
    </row>
    <row r="13" spans="1:21">
      <c r="B13" s="1044" t="s">
        <v>42</v>
      </c>
      <c r="C13" s="1023">
        <f>SUM('budget (11)'!D43)</f>
        <v>137417034</v>
      </c>
      <c r="D13" s="1065">
        <v>151975504</v>
      </c>
      <c r="E13" s="1057">
        <f>+'ADI 462 julio 25 '!D26</f>
        <v>158604172.31999999</v>
      </c>
      <c r="F13" s="1058">
        <f>+'ADI 462 AGO25'!D26</f>
        <v>158907225.40799999</v>
      </c>
      <c r="G13" s="1058">
        <f>+'ADI 09-25'!C26</f>
        <v>187510525.98143998</v>
      </c>
      <c r="H13" s="1057">
        <f>G13/$H$3</f>
        <v>3073943.0488760653</v>
      </c>
      <c r="I13" s="1066">
        <f>+'Proc. 10-25'!C10</f>
        <v>12551175.970000001</v>
      </c>
      <c r="J13" s="1066">
        <f>+'Flujo y Ejecución 10-25'!G22</f>
        <v>12551175.969999999</v>
      </c>
      <c r="K13" s="1066">
        <f>+'Flujo y Ejecución 10-25'!H22</f>
        <v>0</v>
      </c>
      <c r="L13" s="1066"/>
      <c r="M13" s="1066">
        <f>+'CXP 10-25'!F37</f>
        <v>1770000</v>
      </c>
      <c r="N13" s="1066"/>
      <c r="O13" s="1066">
        <f>+J13-L13-M13+N13</f>
        <v>10781175.969999999</v>
      </c>
      <c r="P13" s="1066">
        <f>I13-O13</f>
        <v>1770000.0000000019</v>
      </c>
      <c r="Q13" s="1066">
        <f>+G13-I13</f>
        <v>174959350.01143998</v>
      </c>
      <c r="R13" s="183"/>
      <c r="S13" s="184"/>
      <c r="T13" s="183"/>
      <c r="U13" s="183"/>
    </row>
    <row r="14" spans="1:21">
      <c r="B14" s="1044" t="s">
        <v>43</v>
      </c>
      <c r="C14" s="1023">
        <f>SUM('budget (11)'!D45:D46)</f>
        <v>281704919</v>
      </c>
      <c r="D14" s="1065">
        <v>308130334</v>
      </c>
      <c r="E14" s="1065">
        <f>+'ADI 462 julio 25 '!D27</f>
        <v>356859387.71999997</v>
      </c>
      <c r="F14" s="1067">
        <f>+'ADI 462 AGO25'!D27</f>
        <v>365486618.43839997</v>
      </c>
      <c r="G14" s="1067">
        <f>+'ADI 09-25'!C27</f>
        <v>327746152.40399998</v>
      </c>
      <c r="H14" s="1057">
        <f>G14/$H$3</f>
        <v>5372887.7443278683</v>
      </c>
      <c r="I14" s="1066">
        <f>+'Proc. 10-25'!C11</f>
        <v>55142521.659999996</v>
      </c>
      <c r="J14" s="1066">
        <f>+'Flujo y Ejecución 10-25'!G23</f>
        <v>55110730.770000003</v>
      </c>
      <c r="K14" s="1066">
        <f>+'Flujo y Ejecución 10-25'!H23</f>
        <v>0</v>
      </c>
      <c r="L14" s="1066">
        <f>+'CXP MMHB 10-25'!E15</f>
        <v>293476.90999999997</v>
      </c>
      <c r="M14" s="1066">
        <f>+'CXP 10-25'!F44+'CXP 10-25'!F48+'CXP 10-25'!F52+'CXP 10-25'!F59</f>
        <v>14775501.299999999</v>
      </c>
      <c r="N14" s="1066"/>
      <c r="O14" s="1066">
        <f>+J14-L14-M14+N14</f>
        <v>40041752.56000001</v>
      </c>
      <c r="P14" s="1066">
        <f>I14-O14</f>
        <v>15100769.099999987</v>
      </c>
      <c r="Q14" s="1066">
        <f>+G14-I14</f>
        <v>272603630.74399996</v>
      </c>
      <c r="R14" s="183"/>
      <c r="S14" s="184"/>
      <c r="T14" s="183"/>
      <c r="U14" s="183"/>
    </row>
    <row r="15" spans="1:21">
      <c r="B15" s="1044" t="s">
        <v>44</v>
      </c>
      <c r="C15" s="1023">
        <f>SUM('budget (11)'!D47)</f>
        <v>67334346</v>
      </c>
      <c r="D15" s="1065">
        <v>75797782</v>
      </c>
      <c r="E15" s="1065">
        <f>+'ADI 462 julio 25 '!D28</f>
        <v>79103830.944600001</v>
      </c>
      <c r="F15" s="1067">
        <f>+'ADI 462 AGO25'!D28</f>
        <v>80228285.427864</v>
      </c>
      <c r="G15" s="1067">
        <f>+'ADI 09-25'!C28</f>
        <v>81458723.221791998</v>
      </c>
      <c r="H15" s="1057">
        <f>G15/$H$3</f>
        <v>1335388.9052752787</v>
      </c>
      <c r="I15" s="1066">
        <f>+'Proc. 10-25'!C12</f>
        <v>2262725.81</v>
      </c>
      <c r="J15" s="1066">
        <f>+'Flujo y Ejecución 10-25'!G24</f>
        <v>2262725.8099999996</v>
      </c>
      <c r="K15" s="1066">
        <f>+'Flujo y Ejecución 10-25'!H24</f>
        <v>0</v>
      </c>
      <c r="L15" s="1066"/>
      <c r="M15" s="1066"/>
      <c r="N15" s="1066"/>
      <c r="O15" s="1066">
        <f>+J15-L15-M15+N15</f>
        <v>2262725.8099999996</v>
      </c>
      <c r="P15" s="1066">
        <f>I15-O15</f>
        <v>0</v>
      </c>
      <c r="Q15" s="1066">
        <f>+G15-I15</f>
        <v>79195997.411791995</v>
      </c>
      <c r="R15" s="183"/>
      <c r="S15" s="184"/>
      <c r="T15" s="183"/>
      <c r="U15" s="183"/>
    </row>
    <row r="16" spans="1:21">
      <c r="A16">
        <v>1</v>
      </c>
      <c r="B16" s="1044" t="s">
        <v>45</v>
      </c>
      <c r="C16" s="1023">
        <f>SUM('budget (11)'!D48:D49)</f>
        <v>51531387.949999996</v>
      </c>
      <c r="D16" s="1065">
        <v>56990814</v>
      </c>
      <c r="E16" s="1065">
        <f>+'ADI 462 julio 25 '!D29</f>
        <v>59476564.619999997</v>
      </c>
      <c r="F16" s="1067">
        <f>+'ADI 462 AGO25'!D29</f>
        <v>69521911.115999997</v>
      </c>
      <c r="G16" s="1067">
        <f>+'ADI 09-25'!C29</f>
        <v>69521911.115999997</v>
      </c>
      <c r="H16" s="1057">
        <f>G16/$H$3</f>
        <v>1139703.4609180328</v>
      </c>
      <c r="I16" s="1066">
        <f>+'Proc. 10-25'!C13</f>
        <v>24218827.670000002</v>
      </c>
      <c r="J16" s="1066">
        <f>+'Flujo y Ejecución 10-25'!G25</f>
        <v>23454572.279999997</v>
      </c>
      <c r="K16" s="1066">
        <v>0</v>
      </c>
      <c r="L16" s="1066">
        <f>+'CXP MMHB 10-25'!E21+'CXP MMHB 10-25'!E26</f>
        <v>286507.36</v>
      </c>
      <c r="M16" s="1066">
        <f>+'CXP 10-25'!F64+'CXP 10-25'!F69+'CXP 10-25'!F73+'CXP 10-25'!F79+'CXP 10-25'!F83</f>
        <v>1094458.82</v>
      </c>
      <c r="N16" s="1066"/>
      <c r="O16" s="1066">
        <f>+J16-L16-M16+N16</f>
        <v>22073606.099999998</v>
      </c>
      <c r="P16" s="1066">
        <f>I16-O16</f>
        <v>2145221.570000004</v>
      </c>
      <c r="Q16" s="1066">
        <f>+G16-I16</f>
        <v>45303083.445999995</v>
      </c>
      <c r="R16" s="183"/>
      <c r="S16" s="184"/>
      <c r="T16" s="183"/>
      <c r="U16" s="183"/>
    </row>
    <row r="17" spans="2:21">
      <c r="B17" s="1044" t="s">
        <v>46</v>
      </c>
      <c r="C17" s="1023">
        <f>SUM('budget (11)'!D50)</f>
        <v>19238385</v>
      </c>
      <c r="D17" s="1065">
        <v>21656506</v>
      </c>
      <c r="E17" s="1065">
        <f>+'ADI 462 julio 25 '!D30</f>
        <v>19825521.539999999</v>
      </c>
      <c r="F17" s="1067">
        <f>+'ADI 462 AGO25'!D30</f>
        <v>19863403.175999999</v>
      </c>
      <c r="G17" s="1067">
        <f>+'ADI 09-25'!C30</f>
        <v>19863403.175999999</v>
      </c>
      <c r="H17" s="1057">
        <f>G17/$H$3</f>
        <v>325629.56026229507</v>
      </c>
      <c r="I17" s="1066">
        <f>+'Proc. 10-25'!C14</f>
        <v>0</v>
      </c>
      <c r="J17" s="1066">
        <f>+'Flujo y Ejecución 10-25'!G26</f>
        <v>0</v>
      </c>
      <c r="K17" s="1066">
        <f>+'Flujo y Ejecución 10-25'!H26</f>
        <v>0</v>
      </c>
      <c r="L17" s="1066"/>
      <c r="M17" s="1066"/>
      <c r="N17" s="1066"/>
      <c r="O17" s="1066">
        <f>+J17-L17-M17+N17</f>
        <v>0</v>
      </c>
      <c r="P17" s="1066">
        <f>I17-O17</f>
        <v>0</v>
      </c>
      <c r="Q17" s="1066">
        <f>+G17-I17</f>
        <v>19863403.175999999</v>
      </c>
      <c r="R17" s="183"/>
      <c r="S17" s="184"/>
      <c r="T17" s="183"/>
      <c r="U17" s="183"/>
    </row>
    <row r="18" spans="2:21">
      <c r="B18" s="254" t="s">
        <v>47</v>
      </c>
      <c r="C18" s="665">
        <f t="shared" ref="C18:P18" si="5">SUM(C13:C17)</f>
        <v>557226071.95000005</v>
      </c>
      <c r="D18" s="1063">
        <f t="shared" si="5"/>
        <v>614550940</v>
      </c>
      <c r="E18" s="1063">
        <f t="shared" ref="E18:G18" si="6">SUM(E13:E17)</f>
        <v>673869477.14459991</v>
      </c>
      <c r="F18" s="1063">
        <f t="shared" si="6"/>
        <v>694007443.56626403</v>
      </c>
      <c r="G18" s="1063">
        <f t="shared" si="6"/>
        <v>686100715.89923203</v>
      </c>
      <c r="H18" s="1063">
        <f>SUM(H13:H17)</f>
        <v>11247552.719659541</v>
      </c>
      <c r="I18" s="1064">
        <f>SUM(I13:I17)</f>
        <v>94175251.109999999</v>
      </c>
      <c r="J18" s="1064">
        <f t="shared" si="5"/>
        <v>93379204.830000013</v>
      </c>
      <c r="K18" s="1064">
        <f t="shared" ref="K18" si="7">SUM(K13:K17)</f>
        <v>0</v>
      </c>
      <c r="L18" s="1064">
        <f t="shared" ref="L18" si="8">SUM(L13:L17)</f>
        <v>579984.27</v>
      </c>
      <c r="M18" s="1064">
        <f>SUM(M13:M17)</f>
        <v>17639960.119999997</v>
      </c>
      <c r="N18" s="1064">
        <f t="shared" si="5"/>
        <v>0</v>
      </c>
      <c r="O18" s="1064">
        <f t="shared" si="5"/>
        <v>75159260.440000013</v>
      </c>
      <c r="P18" s="1064">
        <f t="shared" si="5"/>
        <v>19015990.669999991</v>
      </c>
      <c r="Q18" s="1064">
        <f t="shared" ref="Q18" si="9">SUM(Q13:Q17)</f>
        <v>591925464.7892319</v>
      </c>
      <c r="R18" s="183"/>
      <c r="S18" s="184"/>
      <c r="T18" s="183"/>
      <c r="U18" s="183"/>
    </row>
    <row r="19" spans="2:21">
      <c r="B19" s="1044" t="s">
        <v>48</v>
      </c>
      <c r="C19" s="1023">
        <f>SUM('budget (11)'!D51:D52)</f>
        <v>15000000</v>
      </c>
      <c r="D19" s="1065">
        <v>30500000</v>
      </c>
      <c r="E19" s="1065">
        <f>+'ADI 462 julio 25 '!D32</f>
        <v>30500000</v>
      </c>
      <c r="F19" s="1067">
        <f>+'ADI 462 AGO25'!D32</f>
        <v>30500000</v>
      </c>
      <c r="G19" s="1067">
        <f>+'ADI 09-25'!C32</f>
        <v>30500000</v>
      </c>
      <c r="H19" s="1065">
        <f>G19/$H$3</f>
        <v>500000</v>
      </c>
      <c r="I19" s="1066">
        <f>+'Proc. 10-25'!C15</f>
        <v>20569643.219999999</v>
      </c>
      <c r="J19" s="1066">
        <f>+'Flujo y Ejecución 10-25'!G28</f>
        <v>17720096.799999997</v>
      </c>
      <c r="K19" s="1066"/>
      <c r="L19" s="1066">
        <f>+'CXP MMHB 10-25'!E36</f>
        <v>427969.76</v>
      </c>
      <c r="M19" s="1066"/>
      <c r="N19" s="1066">
        <f>+'Anticipos 10-25'!D12</f>
        <v>6671.88</v>
      </c>
      <c r="O19" s="1066">
        <f>+J19-L19-M19+N19</f>
        <v>17298798.919999994</v>
      </c>
      <c r="P19" s="1066">
        <f>I19-O19</f>
        <v>3270844.3000000045</v>
      </c>
      <c r="Q19" s="1066">
        <f>+G19-I19</f>
        <v>9930356.7800000012</v>
      </c>
      <c r="R19" s="183"/>
      <c r="S19" s="184"/>
      <c r="T19" s="183"/>
      <c r="U19" s="185"/>
    </row>
    <row r="20" spans="2:21">
      <c r="B20" s="1044" t="s">
        <v>49</v>
      </c>
      <c r="C20" s="1023">
        <f>SUM('budget (11)'!D4:D10)</f>
        <v>20789999.999999996</v>
      </c>
      <c r="D20" s="1065">
        <v>20789999.999999996</v>
      </c>
      <c r="E20" s="1065">
        <f>+'ADI 462 julio 25 '!D33</f>
        <v>25000000</v>
      </c>
      <c r="F20" s="1067">
        <f>+'ADI 462 AGO25'!D33</f>
        <v>25000000</v>
      </c>
      <c r="G20" s="1067">
        <f>+'ADI 09-25'!C33</f>
        <v>25000000</v>
      </c>
      <c r="H20" s="1065">
        <f>G20/$H$3</f>
        <v>409836.06557377049</v>
      </c>
      <c r="I20" s="1066">
        <f>+'Proc. 10-25'!C3</f>
        <v>24521537.59</v>
      </c>
      <c r="J20" s="1066">
        <f>+'Flujo y Ejecución 10-25'!G29</f>
        <v>23709583.620000001</v>
      </c>
      <c r="K20" s="1066">
        <v>278099.52</v>
      </c>
      <c r="L20" s="1066">
        <f>+'CXP MMHB 10-25'!E10</f>
        <v>110000</v>
      </c>
      <c r="M20" s="1066">
        <f>+'CXP 10-25'!F12</f>
        <v>1668347.5699999998</v>
      </c>
      <c r="N20" s="1066">
        <f>+'Anticipos 10-25'!D4</f>
        <v>313000</v>
      </c>
      <c r="O20" s="1066">
        <f>+J20-L20-M20+N20</f>
        <v>22244236.050000001</v>
      </c>
      <c r="P20" s="1066">
        <f>I20-O20</f>
        <v>2277301.5399999991</v>
      </c>
      <c r="Q20" s="1066">
        <f>+G20-I20</f>
        <v>478462.41000000015</v>
      </c>
      <c r="R20" s="183"/>
      <c r="S20" s="184"/>
      <c r="T20" s="183"/>
      <c r="U20" s="183"/>
    </row>
    <row r="21" spans="2:21">
      <c r="B21" s="1044" t="s">
        <v>50</v>
      </c>
      <c r="C21" s="1023">
        <f>SUM('budget (11)'!D54)</f>
        <v>192383847</v>
      </c>
      <c r="D21" s="1065">
        <v>216565093</v>
      </c>
      <c r="E21" s="1065">
        <f>+'ADI 462 julio 25 '!D34</f>
        <v>226010945.55599999</v>
      </c>
      <c r="F21" s="1067">
        <f>+'ADI 462 AGO25'!D34</f>
        <v>229223672.65103999</v>
      </c>
      <c r="G21" s="1067">
        <f>+'ADI 09-25'!C34</f>
        <v>232739209.20512</v>
      </c>
      <c r="H21" s="1065">
        <f>G21/$H$3</f>
        <v>3815396.8722150819</v>
      </c>
      <c r="I21" s="1066">
        <f>+'Proc. 10-25'!C16</f>
        <v>3349823.34</v>
      </c>
      <c r="J21" s="1066">
        <v>0</v>
      </c>
      <c r="K21" s="1066">
        <v>3349823.34</v>
      </c>
      <c r="L21" s="1066"/>
      <c r="M21" s="1066"/>
      <c r="N21" s="1066"/>
      <c r="O21" s="1066">
        <f>+J21-L21-M21+N21</f>
        <v>0</v>
      </c>
      <c r="P21" s="1066">
        <f>I21-O21</f>
        <v>3349823.34</v>
      </c>
      <c r="Q21" s="1066">
        <f>+G21-I21</f>
        <v>229389385.86511999</v>
      </c>
      <c r="R21" s="183"/>
      <c r="S21" s="184"/>
      <c r="T21" s="183"/>
      <c r="U21" s="183"/>
    </row>
    <row r="22" spans="2:21">
      <c r="B22" s="1044" t="s">
        <v>51</v>
      </c>
      <c r="C22" s="1023">
        <f>SUM('budget (11)'!D53)</f>
        <v>19238385</v>
      </c>
      <c r="D22" s="1065">
        <v>21656509</v>
      </c>
      <c r="E22" s="1065">
        <f>+'ADI 462 julio 25 '!D35</f>
        <v>19825521.539999999</v>
      </c>
      <c r="F22" s="1067">
        <f>+'ADI 462 AGO25'!D35</f>
        <v>19863403.175999999</v>
      </c>
      <c r="G22" s="1067">
        <f>+'ADI 09-25'!C35</f>
        <v>19863403.175999999</v>
      </c>
      <c r="H22" s="1065">
        <f>G22/$H$3</f>
        <v>325629.56026229507</v>
      </c>
      <c r="I22" s="1066">
        <f>+'Proc. 10-25'!C17</f>
        <v>0</v>
      </c>
      <c r="J22" s="1066">
        <f>+'Flujo y Ejecución 10-25'!G31</f>
        <v>0</v>
      </c>
      <c r="K22" s="1066">
        <f>+'Flujo y Ejecución 10-25'!H31</f>
        <v>0</v>
      </c>
      <c r="L22" s="1066"/>
      <c r="M22" s="1066"/>
      <c r="N22" s="1066"/>
      <c r="O22" s="1066">
        <f>+J22-L22-M22+N22</f>
        <v>0</v>
      </c>
      <c r="P22" s="1066">
        <f>I22-O22</f>
        <v>0</v>
      </c>
      <c r="Q22" s="1066">
        <f>+G22-I22</f>
        <v>19863403.175999999</v>
      </c>
      <c r="R22" s="183"/>
      <c r="S22" s="184"/>
      <c r="T22" s="183"/>
      <c r="U22" s="183"/>
    </row>
    <row r="23" spans="2:21" ht="15" thickBot="1">
      <c r="B23" s="254" t="s">
        <v>52</v>
      </c>
      <c r="C23" s="665">
        <f t="shared" ref="C23:Q23" si="10">SUM(C19:C22)</f>
        <v>247412232</v>
      </c>
      <c r="D23" s="1063">
        <f t="shared" si="10"/>
        <v>289511602</v>
      </c>
      <c r="E23" s="1063">
        <f t="shared" ref="E23" si="11">SUM(E19:E22)</f>
        <v>301336467.09600002</v>
      </c>
      <c r="F23" s="1063">
        <f>SUM(F19:F22)</f>
        <v>304587075.82703996</v>
      </c>
      <c r="G23" s="1063">
        <f>SUM(G19:G22)</f>
        <v>308102612.38111997</v>
      </c>
      <c r="H23" s="1063">
        <f>SUM(H19:H22)</f>
        <v>5050862.4980511479</v>
      </c>
      <c r="I23" s="1064">
        <f>SUM(I19:I22)</f>
        <v>48441004.150000006</v>
      </c>
      <c r="J23" s="1064">
        <f t="shared" si="10"/>
        <v>41429680.420000002</v>
      </c>
      <c r="K23" s="1064">
        <f t="shared" ref="K23" si="12">SUM(K19:K22)</f>
        <v>3627922.86</v>
      </c>
      <c r="L23" s="1064">
        <f t="shared" ref="L23" si="13">SUM(L19:L22)</f>
        <v>537969.76</v>
      </c>
      <c r="M23" s="1064">
        <f>SUM(M19:M22)</f>
        <v>1668347.5699999998</v>
      </c>
      <c r="N23" s="1064">
        <f t="shared" si="10"/>
        <v>319671.88</v>
      </c>
      <c r="O23" s="1064">
        <f t="shared" si="10"/>
        <v>39543034.969999999</v>
      </c>
      <c r="P23" s="1064">
        <f t="shared" si="10"/>
        <v>8897969.1800000034</v>
      </c>
      <c r="Q23" s="1064">
        <f t="shared" si="10"/>
        <v>259661608.23111999</v>
      </c>
      <c r="R23" s="183"/>
      <c r="S23" s="184"/>
      <c r="T23" s="183"/>
      <c r="U23" s="183"/>
    </row>
    <row r="24" spans="2:21" ht="16.2" thickBot="1">
      <c r="B24" s="1041" t="s">
        <v>1156</v>
      </c>
      <c r="C24" s="1042">
        <f t="shared" ref="C24:H24" si="14">C5+C12+C18+C23</f>
        <v>2831861942.9499998</v>
      </c>
      <c r="D24" s="1068">
        <f t="shared" si="14"/>
        <v>3173098639</v>
      </c>
      <c r="E24" s="1043">
        <f t="shared" si="14"/>
        <v>3340495399.8006001</v>
      </c>
      <c r="F24" s="1043">
        <f t="shared" si="14"/>
        <v>3397764245.9037037</v>
      </c>
      <c r="G24" s="1043">
        <f t="shared" si="14"/>
        <v>3428528420.3315516</v>
      </c>
      <c r="H24" s="1043">
        <f t="shared" si="14"/>
        <v>56205383.939861506</v>
      </c>
      <c r="I24" s="1043">
        <f t="shared" ref="I24:Q24" si="15">I23+I18+I12+I5</f>
        <v>472468217.48000002</v>
      </c>
      <c r="J24" s="1043">
        <f t="shared" si="15"/>
        <v>439052713.13</v>
      </c>
      <c r="K24" s="1043">
        <f t="shared" ref="K24" si="16">K23+K18+K12+K5</f>
        <v>17919134.190000001</v>
      </c>
      <c r="L24" s="1043">
        <f t="shared" si="15"/>
        <v>1117954.03</v>
      </c>
      <c r="M24" s="1043">
        <f>M23+M18+M12+M5</f>
        <v>24022643.709999997</v>
      </c>
      <c r="N24" s="1043">
        <f t="shared" si="15"/>
        <v>13958578.300000001</v>
      </c>
      <c r="O24" s="1043">
        <f t="shared" si="15"/>
        <v>427870693.69</v>
      </c>
      <c r="P24" s="1043">
        <f t="shared" si="15"/>
        <v>44013225.949999988</v>
      </c>
      <c r="Q24" s="1043">
        <f t="shared" si="15"/>
        <v>2956060202.8515525</v>
      </c>
      <c r="R24" s="183"/>
      <c r="S24" s="184"/>
      <c r="T24" s="183"/>
      <c r="U24" s="183"/>
    </row>
    <row r="25" spans="2:21" ht="15" thickBot="1">
      <c r="E25" s="509"/>
      <c r="H25" s="509"/>
      <c r="I25" s="369"/>
      <c r="J25" s="369"/>
      <c r="K25" s="369"/>
      <c r="L25" s="369"/>
      <c r="M25" s="369"/>
      <c r="N25" s="369"/>
      <c r="O25" s="730"/>
      <c r="P25" s="320"/>
      <c r="Q25" s="320"/>
    </row>
    <row r="26" spans="2:21" ht="15" thickBot="1">
      <c r="D26" s="320"/>
      <c r="E26" s="320"/>
      <c r="H26" s="320"/>
      <c r="I26" s="368"/>
      <c r="J26" s="368"/>
      <c r="K26" s="368"/>
      <c r="L26" s="368"/>
      <c r="M26" s="434" t="s">
        <v>653</v>
      </c>
      <c r="N26" s="435">
        <f>+'BCE 07-25'!C45</f>
        <v>159695773.63999999</v>
      </c>
      <c r="O26" s="1016"/>
      <c r="P26" s="142"/>
      <c r="Q26" s="142"/>
      <c r="S26" s="186" t="s">
        <v>189</v>
      </c>
      <c r="T26" s="190">
        <v>2831861942.3920002</v>
      </c>
    </row>
    <row r="27" spans="2:21" ht="18.600000000000001" thickBot="1">
      <c r="B27" s="333" t="s">
        <v>1447</v>
      </c>
      <c r="C27" s="672">
        <v>3515158425</v>
      </c>
      <c r="D27" s="672">
        <f t="shared" ref="D27" si="17">+D14/0.08</f>
        <v>3851629175</v>
      </c>
      <c r="E27" s="672">
        <f>+E28*60</f>
        <v>3996000000</v>
      </c>
      <c r="H27" s="672"/>
      <c r="I27" s="368"/>
      <c r="J27" s="368"/>
      <c r="K27" s="368"/>
      <c r="L27" s="368"/>
      <c r="M27" s="586" t="s">
        <v>1157</v>
      </c>
      <c r="N27" s="587">
        <f>+'BCE 07-25'!C33</f>
        <v>48015000</v>
      </c>
      <c r="O27" s="1016"/>
      <c r="P27" s="1098"/>
      <c r="Q27" s="142"/>
      <c r="S27" s="186"/>
      <c r="T27" s="190"/>
    </row>
    <row r="28" spans="2:21" ht="15" thickBot="1">
      <c r="C28" s="370">
        <f>+C27/59</f>
        <v>59578956.355932206</v>
      </c>
      <c r="D28" s="370">
        <f>+D27/59</f>
        <v>65281850.423728816</v>
      </c>
      <c r="E28" s="370">
        <v>66600000</v>
      </c>
      <c r="H28" s="370"/>
      <c r="I28" s="474"/>
      <c r="M28" s="436" t="s">
        <v>654</v>
      </c>
      <c r="N28" s="437">
        <f>-'BCE 07-25'!C17</f>
        <v>-45448879.799999997</v>
      </c>
      <c r="O28" s="12"/>
      <c r="P28" s="320"/>
      <c r="Q28" s="320"/>
      <c r="S28" s="188" t="s">
        <v>190</v>
      </c>
      <c r="T28" s="189">
        <f>C24</f>
        <v>2831861942.9499998</v>
      </c>
    </row>
    <row r="29" spans="2:21" ht="15" thickBot="1">
      <c r="C29" s="489"/>
      <c r="D29" s="370"/>
      <c r="E29" s="370"/>
      <c r="H29" s="370"/>
      <c r="I29" s="474"/>
      <c r="M29" s="441" t="s">
        <v>655</v>
      </c>
      <c r="N29" s="442">
        <f>+'BCE 07-25'!C35+'BCE 07-25'!C36+'BCE 07-25'!C37+'BCE 07-25'!C38</f>
        <v>432311.75</v>
      </c>
      <c r="O29" s="445"/>
      <c r="P29" s="320"/>
      <c r="Q29" s="320"/>
      <c r="S29" s="187" t="s">
        <v>191</v>
      </c>
      <c r="T29" s="191">
        <f>T26-T28</f>
        <v>-0.55799961090087891</v>
      </c>
    </row>
    <row r="30" spans="2:21" ht="18.600000000000001" thickBot="1">
      <c r="B30" s="333" t="s">
        <v>1448</v>
      </c>
      <c r="C30" s="672">
        <f>+C27-C24</f>
        <v>683296482.05000019</v>
      </c>
      <c r="D30" s="672">
        <f t="shared" ref="D30" si="18">+D27-D24</f>
        <v>678530536</v>
      </c>
      <c r="E30" s="672">
        <f>+E27-E24</f>
        <v>655504600.19939995</v>
      </c>
      <c r="H30" s="672"/>
      <c r="I30" s="474"/>
      <c r="M30" s="441" t="s">
        <v>808</v>
      </c>
      <c r="N30" s="442">
        <f>+'BCE 07-25'!C34</f>
        <v>42907921.100000001</v>
      </c>
      <c r="O30" s="445"/>
      <c r="P30" s="320"/>
      <c r="Q30" s="320"/>
      <c r="S30" s="183"/>
      <c r="T30" s="508"/>
    </row>
    <row r="31" spans="2:21">
      <c r="C31" s="370">
        <f>+C30/59</f>
        <v>11581296.305932207</v>
      </c>
      <c r="D31" s="370">
        <f t="shared" ref="D31" si="19">+D30/59</f>
        <v>11500517.559322033</v>
      </c>
      <c r="E31" s="370">
        <f>+E30/60</f>
        <v>10925076.669989999</v>
      </c>
      <c r="H31" s="370"/>
      <c r="I31" s="474"/>
      <c r="M31" s="441"/>
      <c r="N31" s="442"/>
      <c r="O31" s="445"/>
      <c r="P31" s="320"/>
      <c r="Q31" s="320"/>
      <c r="S31" s="183"/>
      <c r="T31" s="508"/>
    </row>
    <row r="32" spans="2:21">
      <c r="C32" s="489"/>
      <c r="D32" s="370"/>
      <c r="E32" s="370"/>
      <c r="H32" s="370"/>
      <c r="I32" s="474"/>
      <c r="M32" s="441" t="s">
        <v>888</v>
      </c>
      <c r="N32" s="442">
        <f>+'CXP 07-25'!E13</f>
        <v>364684.38</v>
      </c>
      <c r="O32" s="445"/>
      <c r="P32" s="320"/>
      <c r="Q32" s="320"/>
      <c r="S32" s="183"/>
      <c r="T32" s="508"/>
    </row>
    <row r="33" spans="2:16" ht="15" thickBot="1">
      <c r="C33" s="369"/>
      <c r="D33" s="370"/>
      <c r="E33" s="370"/>
      <c r="H33" s="370"/>
      <c r="M33" s="438" t="s">
        <v>656</v>
      </c>
      <c r="N33" s="439">
        <f>SUM(N26:N32)</f>
        <v>205966811.06999996</v>
      </c>
      <c r="O33" s="445"/>
    </row>
    <row r="34" spans="2:16">
      <c r="C34" s="161"/>
      <c r="D34" s="370"/>
      <c r="E34" s="370"/>
      <c r="H34" s="370"/>
      <c r="M34" s="440" t="s">
        <v>657</v>
      </c>
      <c r="N34" s="445">
        <f>+O24</f>
        <v>427870693.69</v>
      </c>
    </row>
    <row r="35" spans="2:16">
      <c r="M35" s="443" t="s">
        <v>658</v>
      </c>
      <c r="N35" s="443">
        <f>+N33-N34</f>
        <v>-221903882.62000003</v>
      </c>
      <c r="O35" s="444">
        <f>+'BCE 07-25'!C46+'BCE 07-25'!C47</f>
        <v>953438.13</v>
      </c>
      <c r="P35" s="444">
        <f>+N35+O35</f>
        <v>-220950444.49000004</v>
      </c>
    </row>
    <row r="36" spans="2:16">
      <c r="B36" s="192"/>
      <c r="C36" s="192"/>
      <c r="D36" s="192"/>
      <c r="E36" s="192"/>
      <c r="F36" s="843"/>
      <c r="G36" s="843"/>
      <c r="H36" s="192"/>
      <c r="I36" s="192"/>
      <c r="J36" s="192"/>
      <c r="K36" s="192"/>
      <c r="L36" s="192"/>
      <c r="M36" s="192"/>
      <c r="N36" s="192"/>
      <c r="O36" s="192"/>
      <c r="P36" s="192"/>
    </row>
    <row r="38" spans="2:16">
      <c r="B38" s="254" t="s">
        <v>47</v>
      </c>
    </row>
    <row r="39" spans="2:16">
      <c r="B39" s="112" t="s">
        <v>48</v>
      </c>
    </row>
    <row r="40" spans="2:16">
      <c r="B40" s="115" t="s">
        <v>49</v>
      </c>
    </row>
    <row r="41" spans="2:16">
      <c r="B41" s="112" t="s">
        <v>50</v>
      </c>
    </row>
    <row r="42" spans="2:16">
      <c r="B42" s="115" t="s">
        <v>51</v>
      </c>
    </row>
    <row r="43" spans="2:16">
      <c r="B43" s="254" t="s">
        <v>52</v>
      </c>
    </row>
    <row r="44" spans="2:16" ht="18.600000000000001" thickBot="1">
      <c r="B44" s="333" t="s">
        <v>229</v>
      </c>
    </row>
    <row r="46" spans="2:16" ht="15" thickBot="1"/>
    <row r="47" spans="2:16">
      <c r="B47" s="335" t="s">
        <v>234</v>
      </c>
      <c r="C47" s="336">
        <v>160000000</v>
      </c>
      <c r="D47" s="336"/>
      <c r="E47" s="336"/>
      <c r="F47" s="844"/>
      <c r="G47" s="844"/>
      <c r="H47" s="336"/>
    </row>
    <row r="48" spans="2:16">
      <c r="B48" s="588" t="s">
        <v>1158</v>
      </c>
      <c r="C48" s="589">
        <v>22200000</v>
      </c>
      <c r="D48" s="589"/>
      <c r="E48" s="589"/>
      <c r="F48" s="845"/>
      <c r="G48" s="845"/>
      <c r="H48" s="589"/>
    </row>
    <row r="49" spans="2:8">
      <c r="B49" s="112" t="s">
        <v>153</v>
      </c>
      <c r="C49" s="403">
        <f>+O24+P24</f>
        <v>471883919.63999999</v>
      </c>
      <c r="D49" s="403"/>
      <c r="E49" s="403"/>
      <c r="F49" s="846"/>
      <c r="G49" s="846"/>
      <c r="H49" s="403">
        <f>C49/C47</f>
        <v>2.9492744977499998</v>
      </c>
    </row>
    <row r="50" spans="2:8" ht="15" thickBot="1">
      <c r="B50" s="339" t="s">
        <v>154</v>
      </c>
      <c r="C50" s="340">
        <f>+C47+C48-C49</f>
        <v>-289683919.63999999</v>
      </c>
      <c r="D50" s="340"/>
      <c r="E50" s="340"/>
      <c r="F50" s="847"/>
      <c r="G50" s="847"/>
      <c r="H50" s="340">
        <f>C50/C47</f>
        <v>-1.8105244977499999</v>
      </c>
    </row>
  </sheetData>
  <mergeCells count="11">
    <mergeCell ref="Q3:Q4"/>
    <mergeCell ref="R1:U2"/>
    <mergeCell ref="J2:N2"/>
    <mergeCell ref="I3:I4"/>
    <mergeCell ref="J3:J4"/>
    <mergeCell ref="K3:K4"/>
    <mergeCell ref="L3:L4"/>
    <mergeCell ref="M3:M4"/>
    <mergeCell ref="N3:N4"/>
    <mergeCell ref="O3:O4"/>
    <mergeCell ref="P3:P4"/>
  </mergeCells>
  <conditionalFormatting sqref="R6:R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R8:R9">
    <cfRule type="iconSet" priority="1">
      <iconSet iconSet="3Arrows">
        <cfvo type="percent" val="0"/>
        <cfvo type="percent" val="45"/>
        <cfvo type="percent" val="80"/>
      </iconSet>
    </cfRule>
  </conditionalFormatting>
  <conditionalFormatting sqref="R14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R16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R20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R22">
    <cfRule type="iconSet" priority="2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ignoredErrors>
    <ignoredError sqref="H12:Q12 H18:Q18" formula="1"/>
  </ignoredErrors>
  <drawing r:id="rId2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D065A-C8FC-4F03-B4E0-ED6387B61DB8}">
  <dimension ref="A1:D55"/>
  <sheetViews>
    <sheetView showGridLines="0" topLeftCell="A19" zoomScaleNormal="100" workbookViewId="0">
      <selection activeCell="D22" sqref="D22"/>
    </sheetView>
  </sheetViews>
  <sheetFormatPr baseColWidth="10" defaultColWidth="8" defaultRowHeight="14.4"/>
  <cols>
    <col min="1" max="1" width="1.33203125" customWidth="1"/>
    <col min="2" max="2" width="42.6640625" customWidth="1"/>
    <col min="3" max="3" width="13.33203125" customWidth="1"/>
    <col min="4" max="4" width="4.88671875" customWidth="1"/>
  </cols>
  <sheetData>
    <row r="1" spans="1:4" s="1484" customFormat="1" ht="16.649999999999999" customHeight="1">
      <c r="A1" s="447" t="s">
        <v>235</v>
      </c>
      <c r="B1" s="447"/>
      <c r="C1" s="447"/>
      <c r="D1" s="447"/>
    </row>
    <row r="2" spans="1:4" s="1485" customFormat="1" ht="14.4" customHeight="1">
      <c r="A2" s="449" t="s">
        <v>236</v>
      </c>
      <c r="B2" s="449"/>
      <c r="C2" s="449"/>
      <c r="D2" s="449"/>
    </row>
    <row r="3" spans="1:4" s="1485" customFormat="1" ht="14.4" customHeight="1">
      <c r="A3" s="449" t="s">
        <v>2041</v>
      </c>
      <c r="B3" s="449"/>
      <c r="C3" s="449"/>
      <c r="D3" s="449"/>
    </row>
    <row r="4" spans="1:4" ht="13.35" customHeight="1"/>
    <row r="5" spans="1:4" s="1486" customFormat="1" ht="12.15" customHeight="1">
      <c r="A5" s="454"/>
      <c r="B5" s="451" t="s">
        <v>238</v>
      </c>
      <c r="C5" s="452" t="s">
        <v>2081</v>
      </c>
      <c r="D5" s="452"/>
    </row>
    <row r="6" spans="1:4" ht="13.35" customHeight="1"/>
    <row r="7" spans="1:4" s="1486" customFormat="1" ht="12.15" customHeight="1">
      <c r="A7" s="454" t="s">
        <v>239</v>
      </c>
      <c r="B7" s="454"/>
      <c r="C7" s="454"/>
      <c r="D7" s="454"/>
    </row>
    <row r="8" spans="1:4" ht="10.95" customHeight="1">
      <c r="A8" s="1993"/>
      <c r="B8" s="1993" t="s">
        <v>638</v>
      </c>
      <c r="C8" s="1993"/>
      <c r="D8" s="1993"/>
    </row>
    <row r="9" spans="1:4" ht="10.95" customHeight="1">
      <c r="B9" s="459" t="s">
        <v>639</v>
      </c>
      <c r="C9" s="460">
        <v>2372111.1</v>
      </c>
      <c r="D9" s="459"/>
    </row>
    <row r="10" spans="1:4" ht="10.95" customHeight="1">
      <c r="B10" s="459" t="s">
        <v>1608</v>
      </c>
      <c r="C10" s="460">
        <v>13069476.560000001</v>
      </c>
      <c r="D10" s="459" t="s">
        <v>641</v>
      </c>
    </row>
    <row r="11" spans="1:4" ht="10.95" customHeight="1">
      <c r="B11" s="459" t="s">
        <v>640</v>
      </c>
      <c r="C11" s="460">
        <v>352485.64</v>
      </c>
      <c r="D11" s="459" t="s">
        <v>641</v>
      </c>
    </row>
    <row r="12" spans="1:4" ht="10.95" customHeight="1">
      <c r="B12" s="459" t="s">
        <v>1392</v>
      </c>
      <c r="C12" s="460">
        <v>78695919.640000001</v>
      </c>
      <c r="D12" s="459" t="s">
        <v>641</v>
      </c>
    </row>
    <row r="13" spans="1:4" ht="10.95" customHeight="1">
      <c r="B13" s="459" t="s">
        <v>1394</v>
      </c>
      <c r="C13" s="460">
        <v>6860454.2999999998</v>
      </c>
      <c r="D13" s="459"/>
    </row>
    <row r="14" spans="1:4" ht="10.95" customHeight="1">
      <c r="B14" s="459" t="s">
        <v>844</v>
      </c>
      <c r="C14" s="460">
        <v>3877340.09</v>
      </c>
      <c r="D14" s="459" t="s">
        <v>641</v>
      </c>
    </row>
    <row r="15" spans="1:4" ht="10.95" customHeight="1">
      <c r="B15" s="459" t="s">
        <v>845</v>
      </c>
      <c r="C15" s="460">
        <v>78240.94</v>
      </c>
      <c r="D15" s="459"/>
    </row>
    <row r="16" spans="1:4" ht="10.95" customHeight="1">
      <c r="B16" s="457" t="s">
        <v>642</v>
      </c>
      <c r="C16" s="458">
        <f>SUM(C9:C15)</f>
        <v>105306028.27</v>
      </c>
      <c r="D16" s="457"/>
    </row>
    <row r="17" spans="1:4" ht="10.95" customHeight="1">
      <c r="A17" s="1993"/>
      <c r="B17" s="1993" t="s">
        <v>240</v>
      </c>
      <c r="C17" s="1993"/>
      <c r="D17" s="1993"/>
    </row>
    <row r="18" spans="1:4" ht="10.95" customHeight="1">
      <c r="B18" s="459" t="s">
        <v>241</v>
      </c>
      <c r="C18" s="460">
        <v>13958578.380000001</v>
      </c>
      <c r="D18" s="459"/>
    </row>
    <row r="19" spans="1:4" ht="10.95" customHeight="1">
      <c r="B19" s="457" t="s">
        <v>242</v>
      </c>
      <c r="C19" s="458">
        <f>C18</f>
        <v>13958578.380000001</v>
      </c>
      <c r="D19" s="457"/>
    </row>
    <row r="20" spans="1:4" ht="10.95" customHeight="1">
      <c r="A20" s="1993"/>
      <c r="B20" s="1993" t="s">
        <v>243</v>
      </c>
      <c r="C20" s="1993"/>
      <c r="D20" s="1993"/>
    </row>
    <row r="21" spans="1:4" ht="10.95" customHeight="1">
      <c r="B21" s="459" t="s">
        <v>1278</v>
      </c>
      <c r="C21" s="460">
        <v>4.1900000000000004</v>
      </c>
      <c r="D21" s="459"/>
    </row>
    <row r="22" spans="1:4" ht="10.95" customHeight="1">
      <c r="B22" s="459" t="s">
        <v>800</v>
      </c>
      <c r="C22" s="460">
        <v>327953411.5</v>
      </c>
      <c r="D22" s="459"/>
    </row>
    <row r="23" spans="1:4" ht="10.95" customHeight="1">
      <c r="B23" s="459" t="s">
        <v>245</v>
      </c>
      <c r="C23" s="460">
        <v>93379204.829999998</v>
      </c>
      <c r="D23" s="459"/>
    </row>
    <row r="24" spans="1:4" ht="10.95" customHeight="1">
      <c r="B24" s="459" t="s">
        <v>801</v>
      </c>
      <c r="C24" s="460">
        <v>17725996.800000001</v>
      </c>
      <c r="D24" s="459"/>
    </row>
    <row r="25" spans="1:4" ht="10.95" customHeight="1">
      <c r="B25" s="457" t="s">
        <v>247</v>
      </c>
      <c r="C25" s="458">
        <f>SUM(C21:C24)</f>
        <v>439058617.31999999</v>
      </c>
      <c r="D25" s="457"/>
    </row>
    <row r="26" spans="1:4" ht="10.95" customHeight="1">
      <c r="A26" s="457" t="s">
        <v>248</v>
      </c>
      <c r="C26" s="458">
        <f>(0 + ((C16 + C19) + C25))</f>
        <v>558323223.97000003</v>
      </c>
      <c r="D26" s="457"/>
    </row>
    <row r="27" spans="1:4" ht="13.35" customHeight="1"/>
    <row r="28" spans="1:4" s="1486" customFormat="1" ht="12.15" customHeight="1">
      <c r="A28" s="454" t="s">
        <v>249</v>
      </c>
      <c r="B28" s="454"/>
      <c r="C28" s="454"/>
      <c r="D28" s="454"/>
    </row>
    <row r="29" spans="1:4" ht="10.95" customHeight="1">
      <c r="A29" s="1993"/>
      <c r="B29" s="1993" t="s">
        <v>250</v>
      </c>
      <c r="C29" s="1993"/>
      <c r="D29" s="1993"/>
    </row>
    <row r="30" spans="1:4" ht="10.95" customHeight="1">
      <c r="B30" s="459" t="s">
        <v>1825</v>
      </c>
      <c r="C30" s="460">
        <v>99384227.400000006</v>
      </c>
      <c r="D30" s="459"/>
    </row>
    <row r="31" spans="1:4" ht="10.95" customHeight="1">
      <c r="B31" s="459" t="s">
        <v>799</v>
      </c>
      <c r="C31" s="460">
        <v>63224.11</v>
      </c>
      <c r="D31" s="459" t="s">
        <v>641</v>
      </c>
    </row>
    <row r="32" spans="1:4" ht="10.95" customHeight="1">
      <c r="B32" s="459" t="s">
        <v>251</v>
      </c>
      <c r="C32" s="460">
        <v>24175959.609999999</v>
      </c>
      <c r="D32" s="459" t="s">
        <v>641</v>
      </c>
    </row>
    <row r="33" spans="1:4" ht="10.95" customHeight="1">
      <c r="B33" s="459" t="s">
        <v>965</v>
      </c>
      <c r="C33" s="460">
        <v>293474.90999999997</v>
      </c>
      <c r="D33" s="459"/>
    </row>
    <row r="34" spans="1:4" ht="10.95" customHeight="1">
      <c r="B34" s="459" t="s">
        <v>802</v>
      </c>
      <c r="C34" s="460">
        <v>98746035.469999999</v>
      </c>
      <c r="D34" s="459"/>
    </row>
    <row r="35" spans="1:4" ht="10.95" customHeight="1">
      <c r="B35" s="459" t="s">
        <v>1826</v>
      </c>
      <c r="C35" s="460">
        <v>824871.04</v>
      </c>
      <c r="D35" s="459"/>
    </row>
    <row r="36" spans="1:4" ht="10.95" customHeight="1">
      <c r="B36" s="459" t="s">
        <v>803</v>
      </c>
      <c r="C36" s="460">
        <v>900</v>
      </c>
      <c r="D36" s="459"/>
    </row>
    <row r="37" spans="1:4" ht="10.95" customHeight="1">
      <c r="B37" s="459" t="s">
        <v>1284</v>
      </c>
      <c r="C37" s="460">
        <v>34444.800000000003</v>
      </c>
      <c r="D37" s="459"/>
    </row>
    <row r="38" spans="1:4" ht="10.95" customHeight="1">
      <c r="B38" s="459" t="s">
        <v>804</v>
      </c>
      <c r="C38" s="460">
        <v>371994.25</v>
      </c>
      <c r="D38" s="459"/>
    </row>
    <row r="39" spans="1:4" ht="10.95" customHeight="1">
      <c r="B39" s="459" t="s">
        <v>813</v>
      </c>
      <c r="C39" s="460">
        <v>269992.96000000002</v>
      </c>
      <c r="D39" s="459"/>
    </row>
    <row r="40" spans="1:4" ht="10.95" customHeight="1">
      <c r="B40" s="459" t="s">
        <v>805</v>
      </c>
      <c r="C40" s="460">
        <v>500</v>
      </c>
      <c r="D40" s="459"/>
    </row>
    <row r="41" spans="1:4" ht="10.95" customHeight="1">
      <c r="B41" s="457" t="s">
        <v>253</v>
      </c>
      <c r="C41" s="458">
        <f>SUM(C30:C40)</f>
        <v>224165624.55000001</v>
      </c>
      <c r="D41" s="457"/>
    </row>
    <row r="42" spans="1:4" ht="10.95" customHeight="1">
      <c r="A42" s="457" t="s">
        <v>254</v>
      </c>
      <c r="C42" s="458">
        <f>(0 + C41)</f>
        <v>224165624.55000001</v>
      </c>
      <c r="D42" s="457"/>
    </row>
    <row r="43" spans="1:4" ht="13.35" customHeight="1"/>
    <row r="44" spans="1:4" ht="10.95" customHeight="1">
      <c r="B44" s="461" t="s">
        <v>255</v>
      </c>
      <c r="C44" s="462">
        <f>(C26 - C42)</f>
        <v>334157599.42000002</v>
      </c>
      <c r="D44" s="461"/>
    </row>
    <row r="45" spans="1:4" ht="13.35" customHeight="1"/>
    <row r="46" spans="1:4" s="1486" customFormat="1" ht="12.15" customHeight="1">
      <c r="A46" s="454" t="s">
        <v>256</v>
      </c>
      <c r="B46" s="454"/>
      <c r="C46" s="454"/>
      <c r="D46" s="454"/>
    </row>
    <row r="47" spans="1:4" ht="10.95" customHeight="1">
      <c r="B47" s="455" t="s">
        <v>257</v>
      </c>
      <c r="C47" s="456">
        <v>329948451.97000003</v>
      </c>
      <c r="D47" s="455"/>
    </row>
    <row r="48" spans="1:4" ht="10.95" customHeight="1">
      <c r="B48" s="459" t="s">
        <v>647</v>
      </c>
      <c r="C48" s="460">
        <v>4071308.98</v>
      </c>
      <c r="D48" s="459"/>
    </row>
    <row r="49" spans="1:3" ht="10.95" customHeight="1">
      <c r="B49" s="459" t="s">
        <v>846</v>
      </c>
      <c r="C49" s="460">
        <v>137838.47</v>
      </c>
    </row>
    <row r="50" spans="1:3" ht="10.95" customHeight="1">
      <c r="A50" s="457" t="s">
        <v>258</v>
      </c>
      <c r="C50" s="458">
        <f>SUM(C47:C49)</f>
        <v>334157599.42000008</v>
      </c>
    </row>
    <row r="51" spans="1:3" ht="13.35" customHeight="1"/>
    <row r="52" spans="1:3" ht="13.35" customHeight="1"/>
    <row r="53" spans="1:3">
      <c r="A53" s="1487" t="s">
        <v>814</v>
      </c>
    </row>
    <row r="54" spans="1:3">
      <c r="A54" s="1994" t="s">
        <v>2081</v>
      </c>
    </row>
    <row r="55" spans="1:3">
      <c r="A55" s="1487" t="s">
        <v>2082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47C85-3246-43B1-BBDE-E79409E60FDB}">
  <dimension ref="A1:C28"/>
  <sheetViews>
    <sheetView showGridLines="0" zoomScaleNormal="100" workbookViewId="0">
      <selection activeCell="D22" sqref="D22"/>
    </sheetView>
  </sheetViews>
  <sheetFormatPr baseColWidth="10" defaultColWidth="8" defaultRowHeight="11.4"/>
  <cols>
    <col min="1" max="1" width="4.33203125" style="1440" customWidth="1"/>
    <col min="2" max="2" width="44.88671875" style="1440" customWidth="1"/>
    <col min="3" max="3" width="20.109375" style="1440" customWidth="1"/>
    <col min="4" max="4" width="11.5546875" style="1440" bestFit="1" customWidth="1"/>
    <col min="5" max="16384" width="8" style="1440"/>
  </cols>
  <sheetData>
    <row r="1" spans="1:3" s="1437" customFormat="1" ht="16.649999999999999" customHeight="1">
      <c r="A1" s="2168"/>
      <c r="B1" s="2168"/>
      <c r="C1" s="2168"/>
    </row>
    <row r="2" spans="1:3" s="1439" customFormat="1" ht="15">
      <c r="A2" s="2169" t="s">
        <v>236</v>
      </c>
      <c r="B2" s="2169"/>
      <c r="C2" s="2169"/>
    </row>
    <row r="3" spans="1:3" s="1439" customFormat="1" ht="14.4" customHeight="1">
      <c r="A3" s="2170" t="s">
        <v>2083</v>
      </c>
      <c r="B3" s="2170"/>
      <c r="C3" s="2170"/>
    </row>
    <row r="4" spans="1:3" ht="13.35" customHeight="1" thickBot="1"/>
    <row r="5" spans="1:3" s="1444" customFormat="1" ht="12.15" customHeight="1">
      <c r="A5" s="1502"/>
      <c r="B5" s="1501" t="s">
        <v>2084</v>
      </c>
      <c r="C5" s="1500" t="s">
        <v>2081</v>
      </c>
    </row>
    <row r="6" spans="1:3" ht="13.35" customHeight="1">
      <c r="A6" s="1491"/>
      <c r="C6" s="1495"/>
    </row>
    <row r="7" spans="1:3" s="1444" customFormat="1" ht="12.15" customHeight="1">
      <c r="A7" s="1494" t="s">
        <v>2085</v>
      </c>
      <c r="B7" s="1445"/>
      <c r="C7" s="1493"/>
    </row>
    <row r="8" spans="1:3" ht="10.95" customHeight="1">
      <c r="A8" s="1491"/>
      <c r="B8" s="1450" t="s">
        <v>2086</v>
      </c>
      <c r="C8" s="1490">
        <v>105306028.27</v>
      </c>
    </row>
    <row r="9" spans="1:3" ht="10.95" customHeight="1">
      <c r="A9" s="1491"/>
      <c r="B9" s="1450" t="s">
        <v>241</v>
      </c>
      <c r="C9" s="1490">
        <v>13958578.380000001</v>
      </c>
    </row>
    <row r="10" spans="1:3" ht="10.95" customHeight="1">
      <c r="A10" s="1491"/>
      <c r="B10" s="1450" t="s">
        <v>2087</v>
      </c>
      <c r="C10" s="1490">
        <v>439058617.31999999</v>
      </c>
    </row>
    <row r="11" spans="1:3" ht="10.95" customHeight="1">
      <c r="A11" s="1498" t="s">
        <v>2088</v>
      </c>
      <c r="C11" s="1497">
        <f>(0 + ((C8 + C9) + C10))</f>
        <v>558323223.97000003</v>
      </c>
    </row>
    <row r="12" spans="1:3" ht="13.35" customHeight="1">
      <c r="A12" s="1491"/>
      <c r="C12" s="1495"/>
    </row>
    <row r="13" spans="1:3" s="1444" customFormat="1" ht="12.15" customHeight="1">
      <c r="A13" s="1494" t="s">
        <v>2089</v>
      </c>
      <c r="B13" s="1445"/>
      <c r="C13" s="1493"/>
    </row>
    <row r="14" spans="1:3" ht="10.95" customHeight="1">
      <c r="A14" s="1491"/>
      <c r="B14" s="1450" t="s">
        <v>1825</v>
      </c>
      <c r="C14" s="1490">
        <v>99384227.400000006</v>
      </c>
    </row>
    <row r="15" spans="1:3" ht="10.95" customHeight="1">
      <c r="A15" s="1491"/>
      <c r="B15" s="1450" t="s">
        <v>251</v>
      </c>
      <c r="C15" s="1490">
        <v>25357529.669999998</v>
      </c>
    </row>
    <row r="16" spans="1:3" ht="10.95" customHeight="1">
      <c r="A16" s="1491"/>
      <c r="B16" s="1450" t="s">
        <v>802</v>
      </c>
      <c r="C16" s="1490">
        <v>98746035.469999999</v>
      </c>
    </row>
    <row r="17" spans="1:3" ht="10.95" customHeight="1">
      <c r="A17" s="1491"/>
      <c r="B17" s="1450" t="s">
        <v>2090</v>
      </c>
      <c r="C17" s="1490">
        <v>677832.01</v>
      </c>
    </row>
    <row r="18" spans="1:3" ht="10.95" customHeight="1">
      <c r="A18" s="1498" t="s">
        <v>2091</v>
      </c>
      <c r="C18" s="1497">
        <f>SUM(C14:C17)</f>
        <v>224165624.55000001</v>
      </c>
    </row>
    <row r="19" spans="1:3" ht="13.35" customHeight="1">
      <c r="A19" s="1491"/>
      <c r="C19" s="1495"/>
    </row>
    <row r="20" spans="1:3" ht="10.95" customHeight="1">
      <c r="A20" s="1461"/>
      <c r="B20" s="1461" t="s">
        <v>2092</v>
      </c>
      <c r="C20" s="1496">
        <f>(C11 - C18)</f>
        <v>334157599.42000002</v>
      </c>
    </row>
    <row r="21" spans="1:3" ht="13.35" customHeight="1">
      <c r="A21" s="1491"/>
      <c r="C21" s="1495"/>
    </row>
    <row r="22" spans="1:3" s="1444" customFormat="1" ht="12.15" customHeight="1">
      <c r="A22" s="1494" t="s">
        <v>2093</v>
      </c>
      <c r="B22" s="1445"/>
      <c r="C22" s="1493"/>
    </row>
    <row r="23" spans="1:3" ht="10.95" customHeight="1">
      <c r="A23" s="1491"/>
      <c r="B23" s="1446" t="s">
        <v>2094</v>
      </c>
      <c r="C23" s="1492">
        <v>329948451.97000003</v>
      </c>
    </row>
    <row r="24" spans="1:3" ht="10.95" customHeight="1">
      <c r="A24" s="1491"/>
      <c r="B24" s="1450" t="s">
        <v>647</v>
      </c>
      <c r="C24" s="1490">
        <v>4071308.98</v>
      </c>
    </row>
    <row r="25" spans="1:3" ht="10.95" customHeight="1">
      <c r="A25" s="1491"/>
      <c r="B25" s="1450" t="s">
        <v>846</v>
      </c>
      <c r="C25" s="1490">
        <v>137838.47</v>
      </c>
    </row>
    <row r="26" spans="1:3" ht="10.95" customHeight="1">
      <c r="A26" s="1498" t="s">
        <v>2095</v>
      </c>
      <c r="C26" s="1497">
        <f>SUM(C23:C25)</f>
        <v>334157599.42000008</v>
      </c>
    </row>
    <row r="27" spans="1:3" ht="10.95" customHeight="1">
      <c r="A27" s="1491"/>
      <c r="B27" s="1446"/>
      <c r="C27" s="1492"/>
    </row>
    <row r="28" spans="1:3" ht="10.95" customHeight="1" thickBot="1">
      <c r="A28" s="1489"/>
      <c r="B28" s="1489" t="s">
        <v>2095</v>
      </c>
      <c r="C28" s="1488">
        <f>+C26</f>
        <v>334157599.42000008</v>
      </c>
    </row>
  </sheetData>
  <mergeCells count="3">
    <mergeCell ref="A1:C1"/>
    <mergeCell ref="A2:C2"/>
    <mergeCell ref="A3:C3"/>
  </mergeCells>
  <pageMargins left="0.7" right="0.7" top="0.75" bottom="0.75" header="0.3" footer="0.3"/>
  <pageSetup paperSize="9" fitToWidth="0" fitToHeight="0" orientation="portrait" horizontalDpi="0" verticalDpi="0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693C2-DE1E-469A-B254-C3AE0B2E7757}">
  <dimension ref="B3:I44"/>
  <sheetViews>
    <sheetView showGridLines="0" topLeftCell="A15" zoomScaleNormal="100" workbookViewId="0">
      <selection activeCell="D22" sqref="D22"/>
    </sheetView>
  </sheetViews>
  <sheetFormatPr baseColWidth="10" defaultColWidth="11.44140625" defaultRowHeight="14.4"/>
  <cols>
    <col min="1" max="1" width="2.44140625" customWidth="1"/>
    <col min="2" max="2" width="30.88671875" bestFit="1" customWidth="1"/>
    <col min="3" max="3" width="20.6640625" style="731" customWidth="1"/>
    <col min="4" max="4" width="16.6640625" style="730" bestFit="1" customWidth="1"/>
    <col min="5" max="8" width="14.109375" style="730" bestFit="1" customWidth="1"/>
    <col min="9" max="9" width="14.5546875" style="731" bestFit="1" customWidth="1"/>
    <col min="10" max="10" width="20.6640625" bestFit="1" customWidth="1"/>
    <col min="11" max="12" width="12.33203125" bestFit="1" customWidth="1"/>
  </cols>
  <sheetData>
    <row r="3" spans="2:9" hidden="1">
      <c r="B3" s="142">
        <v>160000000</v>
      </c>
    </row>
    <row r="4" spans="2:9" ht="15" hidden="1" thickBot="1">
      <c r="B4" s="284" t="s">
        <v>259</v>
      </c>
    </row>
    <row r="5" spans="2:9" ht="15" hidden="1" thickBot="1">
      <c r="B5" s="284" t="s">
        <v>260</v>
      </c>
    </row>
    <row r="6" spans="2:9" ht="15.6" hidden="1" thickTop="1" thickBot="1">
      <c r="B6" s="285" t="s">
        <v>261</v>
      </c>
    </row>
    <row r="7" spans="2:9" ht="15.6" hidden="1" thickTop="1" thickBot="1">
      <c r="B7" s="285" t="s">
        <v>149</v>
      </c>
    </row>
    <row r="8" spans="2:9" ht="15.6" hidden="1" thickTop="1" thickBot="1">
      <c r="B8" s="285" t="s">
        <v>262</v>
      </c>
    </row>
    <row r="9" spans="2:9" hidden="1"/>
    <row r="10" spans="2:9" hidden="1"/>
    <row r="11" spans="2:9" hidden="1"/>
    <row r="12" spans="2:9" hidden="1"/>
    <row r="13" spans="2:9" hidden="1"/>
    <row r="14" spans="2:9" hidden="1"/>
    <row r="15" spans="2:9" ht="15" thickBot="1">
      <c r="C15" s="1154" t="s">
        <v>1286</v>
      </c>
      <c r="F15" s="733"/>
      <c r="G15" s="733"/>
    </row>
    <row r="16" spans="2:9" ht="16.2" thickBot="1">
      <c r="B16" s="676"/>
      <c r="C16" s="734" t="s">
        <v>2096</v>
      </c>
      <c r="D16" s="735">
        <v>45962</v>
      </c>
      <c r="E16" s="735">
        <v>45992</v>
      </c>
      <c r="F16" s="735">
        <v>46023</v>
      </c>
      <c r="G16" s="735">
        <v>46054</v>
      </c>
      <c r="H16" s="735">
        <v>46082</v>
      </c>
      <c r="I16" s="807" t="s">
        <v>1290</v>
      </c>
    </row>
    <row r="17" spans="2:9" ht="16.2" thickBot="1">
      <c r="B17" s="736" t="s">
        <v>1291</v>
      </c>
      <c r="C17" s="737">
        <f>+'BCE 10-25'!C34</f>
        <v>98746035.469999999</v>
      </c>
      <c r="D17" s="737">
        <f>+'Proyección de Ventas y Comision'!F8</f>
        <v>15051382.26</v>
      </c>
      <c r="E17" s="737">
        <f>+'Proyección de Ventas y Comision'!G8</f>
        <v>17868882.98</v>
      </c>
      <c r="F17" s="737">
        <f>+'Proyección de Ventas y Comision'!H8</f>
        <v>18765790.48</v>
      </c>
      <c r="G17" s="737">
        <f>+'Proyección de Ventas y Comision'!I8</f>
        <v>20809928.620000001</v>
      </c>
      <c r="H17" s="737">
        <f>+'Proyección de Ventas y Comision'!J8</f>
        <v>21442474.32</v>
      </c>
      <c r="I17" s="808">
        <f>SUM(C17:H17)</f>
        <v>192684494.13</v>
      </c>
    </row>
    <row r="18" spans="2:9" ht="15.6" hidden="1">
      <c r="B18" s="681" t="s">
        <v>2097</v>
      </c>
      <c r="C18" s="738"/>
      <c r="D18" s="738">
        <f>+C17+D17</f>
        <v>113797417.73</v>
      </c>
      <c r="E18" s="738">
        <f>+D18+E17</f>
        <v>131666300.71000001</v>
      </c>
      <c r="F18" s="738">
        <f t="shared" ref="F18:H18" si="0">+E18+F17</f>
        <v>150432091.19</v>
      </c>
      <c r="G18" s="738">
        <f t="shared" si="0"/>
        <v>171242019.81</v>
      </c>
      <c r="H18" s="738">
        <f t="shared" si="0"/>
        <v>192684494.13</v>
      </c>
      <c r="I18" s="809"/>
    </row>
    <row r="19" spans="2:9" ht="15.6" hidden="1">
      <c r="B19" s="681"/>
      <c r="C19" s="738"/>
      <c r="D19" s="738"/>
      <c r="E19" s="738">
        <f>+E18+E26</f>
        <v>172845985.22888881</v>
      </c>
      <c r="F19" s="738">
        <f t="shared" ref="F19:H19" si="1">+F18+F26</f>
        <v>183523320.88888881</v>
      </c>
      <c r="G19" s="738">
        <f t="shared" si="1"/>
        <v>200281097.8288888</v>
      </c>
      <c r="H19" s="738">
        <f t="shared" si="1"/>
        <v>219525463.58918878</v>
      </c>
      <c r="I19" s="809"/>
    </row>
    <row r="20" spans="2:9" ht="15.6">
      <c r="B20" s="681" t="s">
        <v>1616</v>
      </c>
      <c r="C20" s="738">
        <v>330000000</v>
      </c>
      <c r="D20" s="739"/>
      <c r="E20" s="739"/>
      <c r="F20" s="739"/>
      <c r="G20" s="739"/>
      <c r="H20" s="739"/>
      <c r="I20" s="809">
        <f>SUM(C20:H20)</f>
        <v>330000000</v>
      </c>
    </row>
    <row r="21" spans="2:9" ht="15.6">
      <c r="B21" s="681" t="s">
        <v>2005</v>
      </c>
      <c r="C21" s="738">
        <f>+'Préstamos 10-25'!H6</f>
        <v>55184227.399999999</v>
      </c>
      <c r="D21" s="739">
        <v>44815773</v>
      </c>
      <c r="E21" s="739"/>
      <c r="F21" s="739"/>
      <c r="G21" s="739"/>
      <c r="H21" s="739"/>
      <c r="I21" s="809">
        <f t="shared" ref="I21:I25" si="2">SUM(C21:H21)</f>
        <v>100000000.40000001</v>
      </c>
    </row>
    <row r="22" spans="2:9" ht="15.6" hidden="1">
      <c r="B22" s="681"/>
      <c r="C22" s="738"/>
      <c r="D22" s="739">
        <f>+C21+D21</f>
        <v>100000000.40000001</v>
      </c>
      <c r="E22" s="739">
        <f>+D22+E21</f>
        <v>100000000.40000001</v>
      </c>
      <c r="F22" s="739">
        <f t="shared" ref="F22:H22" si="3">+E22+F21</f>
        <v>100000000.40000001</v>
      </c>
      <c r="G22" s="739">
        <f t="shared" si="3"/>
        <v>100000000.40000001</v>
      </c>
      <c r="H22" s="739">
        <f t="shared" si="3"/>
        <v>100000000.40000001</v>
      </c>
      <c r="I22" s="809">
        <f>+I21</f>
        <v>100000000.40000001</v>
      </c>
    </row>
    <row r="23" spans="2:9" ht="15.6">
      <c r="B23" s="681" t="s">
        <v>1617</v>
      </c>
      <c r="C23" s="738">
        <f>+'Préstamos 10-25'!H4+'Préstamos 10-25'!H5</f>
        <v>49200000</v>
      </c>
      <c r="D23" s="739"/>
      <c r="E23" s="739"/>
      <c r="F23" s="739"/>
      <c r="G23" s="738"/>
      <c r="H23" s="739"/>
      <c r="I23" s="809">
        <f t="shared" si="2"/>
        <v>49200000</v>
      </c>
    </row>
    <row r="24" spans="2:9" ht="15.6">
      <c r="B24" s="681" t="s">
        <v>1618</v>
      </c>
      <c r="C24" s="738">
        <f>+'Préstamos 10-25'!J4+'Préstamos 10-25'!J5</f>
        <v>-5000000</v>
      </c>
      <c r="D24" s="739"/>
      <c r="E24" s="739">
        <v>-44200000</v>
      </c>
      <c r="F24" s="739"/>
      <c r="G24" s="738"/>
      <c r="H24" s="739"/>
      <c r="I24" s="809">
        <f t="shared" si="2"/>
        <v>-49200000</v>
      </c>
    </row>
    <row r="25" spans="2:9" ht="15.6" hidden="1">
      <c r="B25" s="681"/>
      <c r="C25" s="738"/>
      <c r="D25" s="739">
        <f>+C23+D23+D20+C24</f>
        <v>44200000</v>
      </c>
      <c r="E25" s="739">
        <f>+D25+E20+D24</f>
        <v>44200000</v>
      </c>
      <c r="F25" s="739">
        <f>+E25+F20+F24</f>
        <v>44200000</v>
      </c>
      <c r="G25" s="739">
        <f>+F25+G23+G24</f>
        <v>44200000</v>
      </c>
      <c r="H25" s="739"/>
      <c r="I25" s="809">
        <f t="shared" si="2"/>
        <v>176800000</v>
      </c>
    </row>
    <row r="26" spans="2:9" ht="15.6">
      <c r="B26" s="681" t="s">
        <v>266</v>
      </c>
      <c r="C26" s="738">
        <f>+C20+C21+C23-C27+C24</f>
        <v>1513533.7099999189</v>
      </c>
      <c r="D26" s="739">
        <f>+C26+D21+D24-D27</f>
        <v>755699.17999991775</v>
      </c>
      <c r="E26" s="739">
        <f>+D26+E21+E24-E27+C17+D17+E17</f>
        <v>41179684.518888801</v>
      </c>
      <c r="F26" s="739">
        <f>+E26+F21+F24-F27+F17</f>
        <v>33091229.698888801</v>
      </c>
      <c r="G26" s="739">
        <f t="shared" ref="G26:H26" si="4">+F26+G21+G24-G27+G17</f>
        <v>29039078.018888801</v>
      </c>
      <c r="H26" s="739">
        <f t="shared" si="4"/>
        <v>26840969.4591888</v>
      </c>
      <c r="I26" s="809">
        <f>+H26</f>
        <v>26840969.4591888</v>
      </c>
    </row>
    <row r="27" spans="2:9" ht="15.6">
      <c r="B27" s="740" t="s">
        <v>267</v>
      </c>
      <c r="C27" s="741">
        <f>SUM(C28:C44)</f>
        <v>427870693.69000006</v>
      </c>
      <c r="D27" s="741">
        <f>SUM(D28:D44)</f>
        <v>45573607.530000001</v>
      </c>
      <c r="E27" s="741">
        <f>SUM(E28:E44)</f>
        <v>47042315.37111111</v>
      </c>
      <c r="F27" s="741">
        <f>SUM(F28:F44)</f>
        <v>26854245.300000001</v>
      </c>
      <c r="G27" s="741">
        <f t="shared" ref="G27:H27" si="5">SUM(G28:G44)</f>
        <v>24862080.300000001</v>
      </c>
      <c r="H27" s="741">
        <f t="shared" si="5"/>
        <v>23640582.879700001</v>
      </c>
      <c r="I27" s="810">
        <f>SUM(C27:H27)</f>
        <v>595843525.07081103</v>
      </c>
    </row>
    <row r="28" spans="2:9" ht="15.6">
      <c r="B28" s="694" t="s">
        <v>259</v>
      </c>
      <c r="C28" s="743">
        <f>+'PRESENTACIÓN 10-25'!O5</f>
        <v>264445080.15999997</v>
      </c>
      <c r="D28" s="742">
        <v>0</v>
      </c>
      <c r="E28" s="742">
        <f>+'CXP MMHB'!I9</f>
        <v>0</v>
      </c>
      <c r="F28" s="742">
        <f>+'CXP MMHB'!J9</f>
        <v>0</v>
      </c>
      <c r="G28" s="742">
        <f>+'CXP MMHB'!K9</f>
        <v>0</v>
      </c>
      <c r="H28" s="742">
        <f>+'CXP MMHB'!L9</f>
        <v>0</v>
      </c>
      <c r="I28" s="811">
        <f t="shared" ref="I28:I44" si="6">SUM(C28:H28)</f>
        <v>264445080.15999997</v>
      </c>
    </row>
    <row r="29" spans="2:9" ht="15.6">
      <c r="B29" s="697" t="s">
        <v>260</v>
      </c>
      <c r="C29" s="738">
        <f>+'PRESENTACIÓN 10-25'!O20</f>
        <v>22244236.050000001</v>
      </c>
      <c r="D29" s="739">
        <f>+'Compromisos 10-25'!H14</f>
        <v>206500</v>
      </c>
      <c r="E29" s="739">
        <f>+'Compromisos 10-25'!I14</f>
        <v>1571847.5699999998</v>
      </c>
      <c r="F29" s="739">
        <f>+'Compromisos 10-25'!J14</f>
        <v>0</v>
      </c>
      <c r="G29" s="739">
        <f>+'Compromisos 10-25'!K14</f>
        <v>0</v>
      </c>
      <c r="H29" s="739">
        <f>+'Compromisos 10-25'!L14</f>
        <v>0</v>
      </c>
      <c r="I29" s="809">
        <f t="shared" si="6"/>
        <v>24022583.620000001</v>
      </c>
    </row>
    <row r="30" spans="2:9" ht="15.6">
      <c r="B30" s="697" t="s">
        <v>1292</v>
      </c>
      <c r="C30" s="743">
        <f>+'PRESENTACIÓN 10-25'!O19</f>
        <v>17298798.919999994</v>
      </c>
      <c r="D30" s="742">
        <f>+'Compromisos 10-25'!H138</f>
        <v>838904.76</v>
      </c>
      <c r="E30" s="742">
        <f>+'Compromisos 10-25'!I138</f>
        <v>2091958.99</v>
      </c>
      <c r="F30" s="742">
        <f>+'Compromisos 10-25'!J138</f>
        <v>357835</v>
      </c>
      <c r="G30" s="742">
        <f>+'Compromisos 10-25'!K138</f>
        <v>715670</v>
      </c>
      <c r="H30" s="742">
        <f>+'Compromisos 10-25'!L138</f>
        <v>0</v>
      </c>
      <c r="I30" s="811">
        <f t="shared" si="6"/>
        <v>21303167.669999994</v>
      </c>
    </row>
    <row r="31" spans="2:9" ht="15.6">
      <c r="B31" s="697" t="s">
        <v>271</v>
      </c>
      <c r="C31" s="738">
        <f>+'PRESENTACIÓN 10-25'!O6</f>
        <v>29538942.520000003</v>
      </c>
      <c r="D31" s="739">
        <f>+'Compromisos 10-25'!H25</f>
        <v>2020761.58</v>
      </c>
      <c r="E31" s="739">
        <f>+'Compromisos 10-25'!I25</f>
        <v>3050000</v>
      </c>
      <c r="F31" s="739">
        <f>+'Compromisos 10-25'!J25</f>
        <v>3100000</v>
      </c>
      <c r="G31" s="739">
        <f>+'Compromisos 10-25'!K25</f>
        <v>2300000</v>
      </c>
      <c r="H31" s="739">
        <f>+'Compromisos 10-25'!L25</f>
        <v>800000</v>
      </c>
      <c r="I31" s="809">
        <f t="shared" si="6"/>
        <v>40809704.100000001</v>
      </c>
    </row>
    <row r="32" spans="2:9" ht="15.6">
      <c r="B32" s="697" t="s">
        <v>681</v>
      </c>
      <c r="C32" s="738">
        <f>+'PRESENTACIÓN 10-25'!O7</f>
        <v>0</v>
      </c>
      <c r="D32" s="739">
        <f>+'Compromisos 10-25'!H30</f>
        <v>0</v>
      </c>
      <c r="E32" s="739">
        <f>+'Compromisos 10-25'!I30</f>
        <v>3050000</v>
      </c>
      <c r="F32" s="739">
        <f>+'Compromisos 10-25'!J30</f>
        <v>5700000</v>
      </c>
      <c r="G32" s="739">
        <f>+'Compromisos 10-25'!K30</f>
        <v>4150000</v>
      </c>
      <c r="H32" s="739">
        <f>+'Compromisos 10-25'!L30</f>
        <v>150000</v>
      </c>
      <c r="I32" s="809">
        <f t="shared" si="6"/>
        <v>13050000</v>
      </c>
    </row>
    <row r="33" spans="2:9" ht="15.6">
      <c r="B33" s="697" t="s">
        <v>682</v>
      </c>
      <c r="C33" s="738">
        <f>+'PRESENTACIÓN 10-25'!O10</f>
        <v>336663.74</v>
      </c>
      <c r="D33" s="739">
        <f>+'Compromisos 10-25'!H43</f>
        <v>332947.20000000001</v>
      </c>
      <c r="E33" s="739">
        <f>+'Compromisos 10-25'!I43</f>
        <v>250000</v>
      </c>
      <c r="F33" s="739">
        <f>+'Compromisos 10-25'!J43</f>
        <v>250000</v>
      </c>
      <c r="G33" s="739">
        <f>+'Compromisos 10-25'!K43</f>
        <v>250000</v>
      </c>
      <c r="H33" s="739">
        <f>+'Compromisos 10-25'!L43</f>
        <v>250000</v>
      </c>
      <c r="I33" s="809">
        <f>SUM(C33:H33)</f>
        <v>1669610.94</v>
      </c>
    </row>
    <row r="34" spans="2:9" ht="15.6">
      <c r="B34" s="697" t="s">
        <v>449</v>
      </c>
      <c r="C34" s="743">
        <f>+'PRESENTACIÓN 10-25'!O16</f>
        <v>22073606.099999998</v>
      </c>
      <c r="D34" s="742">
        <f>+'Compromisos 10-25'!H92+'Compromisos 10-25'!H98+'Compromisos 10-25'!H105+'Compromisos 10-25'!H110+'Compromisos 10-25'!H120+'Compromisos 10-25'!H125</f>
        <v>2217866.1799999997</v>
      </c>
      <c r="E34" s="742">
        <f>+'Compromisos 10-25'!I92+'Compromisos 10-25'!I98+'Compromisos 10-25'!I105+'Compromisos 10-25'!I110+'Compromisos 10-25'!I120+'Compromisos 10-25'!I125</f>
        <v>836900</v>
      </c>
      <c r="F34" s="742">
        <f>+'Compromisos 10-25'!J92+'Compromisos 10-25'!J98+'Compromisos 10-25'!J105+'Compromisos 10-25'!J110+'Compromisos 10-25'!J120+'Compromisos 10-25'!J125</f>
        <v>836900</v>
      </c>
      <c r="G34" s="742">
        <f>+'Compromisos 10-25'!K92+'Compromisos 10-25'!K98+'Compromisos 10-25'!K105+'Compromisos 10-25'!K110+'Compromisos 10-25'!K120+'Compromisos 10-25'!K125</f>
        <v>836900</v>
      </c>
      <c r="H34" s="742">
        <f>+'Compromisos 10-25'!L92+'Compromisos 10-25'!L98+'Compromisos 10-25'!L105+'Compromisos 10-25'!L110+'Compromisos 10-25'!L120+'Compromisos 10-25'!L125</f>
        <v>836900</v>
      </c>
      <c r="I34" s="811">
        <f t="shared" si="6"/>
        <v>27639072.279999997</v>
      </c>
    </row>
    <row r="35" spans="2:9" s="747" customFormat="1" ht="15.6">
      <c r="B35" s="744" t="s">
        <v>810</v>
      </c>
      <c r="C35" s="746">
        <f>+'PRESENTACIÓN 10-25'!O15</f>
        <v>2262725.8099999996</v>
      </c>
      <c r="D35" s="745">
        <f>+'Compromisos 10-25'!H58</f>
        <v>250000</v>
      </c>
      <c r="E35" s="745">
        <f>+'Compromisos 10-25'!I58</f>
        <v>250000</v>
      </c>
      <c r="F35" s="745">
        <f>+'Compromisos 10-25'!J58</f>
        <v>250000</v>
      </c>
      <c r="G35" s="745">
        <f>+'Compromisos 10-25'!K58</f>
        <v>250000</v>
      </c>
      <c r="H35" s="745">
        <f>+'Compromisos 10-25'!L58</f>
        <v>250000</v>
      </c>
      <c r="I35" s="812">
        <f t="shared" si="6"/>
        <v>3512725.8099999996</v>
      </c>
    </row>
    <row r="36" spans="2:9" s="747" customFormat="1" ht="15.6">
      <c r="B36" s="703" t="s">
        <v>767</v>
      </c>
      <c r="C36" s="749">
        <f>+'PRESENTACIÓN 10-25'!O8</f>
        <v>18418081.100000001</v>
      </c>
      <c r="D36" s="750">
        <f>+'Compromisos 10-25'!H36</f>
        <v>5220000</v>
      </c>
      <c r="E36" s="750">
        <f>+'Compromisos 10-25'!I36</f>
        <v>2360000</v>
      </c>
      <c r="F36" s="750">
        <f>+'Compromisos 10-25'!J36</f>
        <v>2360000</v>
      </c>
      <c r="G36" s="750">
        <f>+'Compromisos 10-25'!K36</f>
        <v>2360000</v>
      </c>
      <c r="H36" s="750">
        <f>+'Compromisos 10-25'!L36</f>
        <v>2360000</v>
      </c>
      <c r="I36" s="813">
        <f t="shared" si="6"/>
        <v>33078081.100000001</v>
      </c>
    </row>
    <row r="37" spans="2:9" s="747" customFormat="1" ht="15.6">
      <c r="B37" s="703" t="s">
        <v>1607</v>
      </c>
      <c r="C37" s="749">
        <f>+'PRESENTACIÓN 10-25'!O9</f>
        <v>429630.76</v>
      </c>
      <c r="D37" s="750">
        <f>+'Compromisos 10-25'!H49</f>
        <v>1091262.1399999999</v>
      </c>
      <c r="E37" s="750">
        <f>+'Compromisos 10-25'!I49</f>
        <v>506964.3</v>
      </c>
      <c r="F37" s="750">
        <f>+'Compromisos 10-25'!J49</f>
        <v>506964.3</v>
      </c>
      <c r="G37" s="750">
        <f>+'Compromisos 10-25'!K49</f>
        <v>506964.3</v>
      </c>
      <c r="H37" s="750">
        <f>+'Compromisos 10-25'!L49</f>
        <v>506964.3</v>
      </c>
      <c r="I37" s="814">
        <f>SUM(C37:H37)</f>
        <v>3548750.0999999996</v>
      </c>
    </row>
    <row r="38" spans="2:9" s="747" customFormat="1" ht="15.6">
      <c r="B38" s="703" t="s">
        <v>768</v>
      </c>
      <c r="C38" s="748">
        <f>+'PRESENTACIÓN 10-25'!O13</f>
        <v>10781175.969999999</v>
      </c>
      <c r="D38" s="751">
        <f>+'Compromisos 10-25'!H54</f>
        <v>3540000</v>
      </c>
      <c r="E38" s="751">
        <f>+'Compromisos 10-25'!I54</f>
        <v>1770000</v>
      </c>
      <c r="F38" s="751">
        <f>+'Compromisos 10-25'!J54</f>
        <v>1770000</v>
      </c>
      <c r="G38" s="751">
        <f>+'Compromisos 10-25'!K54</f>
        <v>1770000</v>
      </c>
      <c r="H38" s="751">
        <f>+'Compromisos 10-25'!L54</f>
        <v>1770000</v>
      </c>
      <c r="I38" s="814">
        <f t="shared" si="6"/>
        <v>21401175.969999999</v>
      </c>
    </row>
    <row r="39" spans="2:9" s="747" customFormat="1" ht="15.6">
      <c r="B39" s="703" t="s">
        <v>1451</v>
      </c>
      <c r="C39" s="749">
        <f>+'Costos a Oct-25'!N29+'Costos a Oct-25'!N30-'CXP 10-25'!F59-'CXP 10-25'!F52</f>
        <v>7284019.9700000007</v>
      </c>
      <c r="D39" s="750">
        <f>+'Compromisos 10-25'!H78+'Compromisos 10-25'!H87</f>
        <v>2678794.79</v>
      </c>
      <c r="E39" s="750">
        <f>+'Compromisos 10-25'!I78+'Compromisos 10-25'!I87</f>
        <v>1400000</v>
      </c>
      <c r="F39" s="750">
        <f>+'Compromisos 10-25'!J78+'Compromisos 10-25'!J87</f>
        <v>1400000</v>
      </c>
      <c r="G39" s="750">
        <f>+'Compromisos 10-25'!K78+'Compromisos 10-25'!K87</f>
        <v>1400000</v>
      </c>
      <c r="H39" s="750">
        <f>+'Compromisos 10-25'!L78+'Compromisos 10-25'!L87</f>
        <v>1400000</v>
      </c>
      <c r="I39" s="813">
        <f t="shared" si="6"/>
        <v>15562814.760000002</v>
      </c>
    </row>
    <row r="40" spans="2:9" s="747" customFormat="1" ht="18" customHeight="1">
      <c r="B40" s="752" t="s">
        <v>962</v>
      </c>
      <c r="C40" s="748">
        <f>+'Costos a Oct-25'!N28-'CXP 10-25'!F48</f>
        <v>4602000</v>
      </c>
      <c r="D40" s="751">
        <f>+'Compromisos 10-25'!H73</f>
        <v>1534000</v>
      </c>
      <c r="E40" s="751">
        <f>+'Compromisos 10-25'!I73</f>
        <v>767000</v>
      </c>
      <c r="F40" s="751">
        <f>+'Compromisos 10-25'!J73</f>
        <v>767000</v>
      </c>
      <c r="G40" s="751">
        <f>+'Compromisos 10-25'!K73</f>
        <v>767000</v>
      </c>
      <c r="H40" s="751">
        <f>+'Compromisos 10-25'!L73</f>
        <v>767000</v>
      </c>
      <c r="I40" s="814">
        <f t="shared" si="6"/>
        <v>9204000</v>
      </c>
    </row>
    <row r="41" spans="2:9" ht="15.6">
      <c r="B41" s="752" t="s">
        <v>770</v>
      </c>
      <c r="C41" s="743">
        <f>+'Costos a Oct-25'!N27-'CXP 10-25'!F44-'CXP MMHB 10-25'!E15</f>
        <v>28155732.590000004</v>
      </c>
      <c r="D41" s="742">
        <f>+'Compromisos 10-25'!H68</f>
        <v>25642570.879999999</v>
      </c>
      <c r="E41" s="742">
        <f>+'Proyección de Ventas y Comision'!F14+'Proyección de Ventas y Comision'!G14</f>
        <v>24513993.399999999</v>
      </c>
      <c r="F41" s="742">
        <f>+'Proyección de Ventas y Comision'!H14</f>
        <v>9555546</v>
      </c>
      <c r="G41" s="742">
        <f>+'Proyección de Ventas y Comision'!I14</f>
        <v>9555546</v>
      </c>
      <c r="H41" s="742">
        <f>+'Proyección de Ventas y Comision'!J14</f>
        <v>9555546</v>
      </c>
      <c r="I41" s="811">
        <f t="shared" si="6"/>
        <v>106978934.87</v>
      </c>
    </row>
    <row r="42" spans="2:9" ht="15.6" hidden="1">
      <c r="B42" s="753"/>
      <c r="C42" s="755"/>
      <c r="D42" s="739"/>
      <c r="E42" s="739"/>
      <c r="F42" s="739"/>
      <c r="G42" s="739"/>
      <c r="H42" s="739"/>
      <c r="I42" s="811">
        <f t="shared" si="6"/>
        <v>0</v>
      </c>
    </row>
    <row r="43" spans="2:9" ht="15.6" hidden="1">
      <c r="B43" s="753"/>
      <c r="C43" s="755"/>
      <c r="D43" s="739"/>
      <c r="E43" s="739"/>
      <c r="F43" s="739"/>
      <c r="G43" s="739"/>
      <c r="H43" s="739"/>
      <c r="I43" s="811">
        <f t="shared" si="6"/>
        <v>0</v>
      </c>
    </row>
    <row r="44" spans="2:9" ht="16.2" thickBot="1">
      <c r="B44" s="756" t="s">
        <v>50</v>
      </c>
      <c r="C44" s="758">
        <f>+'PRESENTACIÓN 07-25'!O21</f>
        <v>0</v>
      </c>
      <c r="D44" s="1397"/>
      <c r="E44" s="1397">
        <f>+'Intereses Prestamos'!W13</f>
        <v>4623651.111111111</v>
      </c>
      <c r="F44" s="1397"/>
      <c r="G44" s="1397"/>
      <c r="H44" s="1397">
        <f>+'Intereses Prestamos'!W14+'Intereses Prestamos'!W15</f>
        <v>4994172.5796999997</v>
      </c>
      <c r="I44" s="816">
        <f t="shared" si="6"/>
        <v>9617823.6908111107</v>
      </c>
    </row>
  </sheetData>
  <pageMargins left="0.7" right="0.7" top="0.75" bottom="0.75" header="0.3" footer="0.3"/>
  <ignoredErrors>
    <ignoredError sqref="I26" formula="1"/>
  </ignoredError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929F2-6771-4953-BF83-AF3E339ADFD8}">
  <dimension ref="B2:J18"/>
  <sheetViews>
    <sheetView zoomScale="110" zoomScaleNormal="110" workbookViewId="0">
      <selection activeCell="E10" sqref="E10"/>
    </sheetView>
  </sheetViews>
  <sheetFormatPr baseColWidth="10" defaultColWidth="11.44140625" defaultRowHeight="14.4"/>
  <cols>
    <col min="2" max="2" width="24.33203125" bestFit="1" customWidth="1"/>
    <col min="3" max="3" width="14.109375" bestFit="1" customWidth="1"/>
    <col min="5" max="5" width="37.109375" bestFit="1" customWidth="1"/>
    <col min="6" max="6" width="15.6640625" bestFit="1" customWidth="1"/>
    <col min="7" max="7" width="16.88671875" bestFit="1" customWidth="1"/>
    <col min="8" max="10" width="15.6640625" bestFit="1" customWidth="1"/>
  </cols>
  <sheetData>
    <row r="2" spans="2:10">
      <c r="E2" t="s">
        <v>2098</v>
      </c>
      <c r="F2" s="110">
        <v>12</v>
      </c>
      <c r="G2" s="110">
        <v>12</v>
      </c>
      <c r="H2" s="110">
        <v>12</v>
      </c>
      <c r="I2" s="110">
        <v>12</v>
      </c>
      <c r="J2" s="110">
        <v>12</v>
      </c>
    </row>
    <row r="3" spans="2:10" ht="15" thickBot="1">
      <c r="E3" t="s">
        <v>2099</v>
      </c>
      <c r="F3">
        <f>+F2</f>
        <v>12</v>
      </c>
      <c r="G3">
        <f>+F3+G2</f>
        <v>24</v>
      </c>
      <c r="H3">
        <f t="shared" ref="H3:J3" si="0">+G3+H2</f>
        <v>36</v>
      </c>
      <c r="I3">
        <f t="shared" si="0"/>
        <v>48</v>
      </c>
      <c r="J3">
        <f t="shared" si="0"/>
        <v>60</v>
      </c>
    </row>
    <row r="4" spans="2:10" ht="16.2" thickBot="1">
      <c r="F4" s="735">
        <v>46023</v>
      </c>
      <c r="G4" s="735">
        <v>46054</v>
      </c>
      <c r="H4" s="735">
        <v>46082</v>
      </c>
      <c r="I4" s="735">
        <v>46113</v>
      </c>
      <c r="J4" s="735">
        <v>46143</v>
      </c>
    </row>
    <row r="5" spans="2:10">
      <c r="B5" s="1476" t="s">
        <v>2100</v>
      </c>
      <c r="C5" s="1481">
        <v>150500</v>
      </c>
      <c r="E5" t="s">
        <v>2101</v>
      </c>
      <c r="F5" s="370">
        <f>+(+F2*$C$6)*62</f>
        <v>11197200</v>
      </c>
      <c r="G5" s="370">
        <f t="shared" ref="G5:J5" si="1">+(+G2*$C$6)*62</f>
        <v>11197200</v>
      </c>
      <c r="H5" s="370">
        <f t="shared" si="1"/>
        <v>11197200</v>
      </c>
      <c r="I5" s="370">
        <f t="shared" si="1"/>
        <v>11197200</v>
      </c>
      <c r="J5" s="370">
        <f t="shared" si="1"/>
        <v>11197200</v>
      </c>
    </row>
    <row r="6" spans="2:10" ht="15" thickBot="1">
      <c r="B6" s="1477" t="s">
        <v>2102</v>
      </c>
      <c r="C6" s="1478">
        <f>+C5*0.1</f>
        <v>15050</v>
      </c>
      <c r="E6" t="s">
        <v>2103</v>
      </c>
      <c r="F6" s="370">
        <v>0</v>
      </c>
      <c r="G6" s="370">
        <f>+(+F3*$C$8)*62</f>
        <v>744000</v>
      </c>
      <c r="H6" s="370">
        <f t="shared" ref="H6:J6" si="2">+(+G3*$C$8)*62</f>
        <v>1488000</v>
      </c>
      <c r="I6" s="370">
        <f t="shared" si="2"/>
        <v>2232000</v>
      </c>
      <c r="J6" s="370">
        <f t="shared" si="2"/>
        <v>2976000</v>
      </c>
    </row>
    <row r="7" spans="2:10">
      <c r="C7" s="1479"/>
      <c r="E7" t="s">
        <v>2104</v>
      </c>
      <c r="F7" s="370">
        <f>+F18</f>
        <v>3854182.26</v>
      </c>
      <c r="G7" s="370">
        <f t="shared" ref="G7:J7" si="3">+G18</f>
        <v>5927682.9799999995</v>
      </c>
      <c r="H7" s="370">
        <f t="shared" si="3"/>
        <v>6080590.4799999995</v>
      </c>
      <c r="I7" s="370">
        <f t="shared" si="3"/>
        <v>7380728.6200000001</v>
      </c>
      <c r="J7" s="370">
        <f t="shared" si="3"/>
        <v>7269274.3200000003</v>
      </c>
    </row>
    <row r="8" spans="2:10">
      <c r="B8" t="s">
        <v>2105</v>
      </c>
      <c r="C8" s="1480">
        <v>1000</v>
      </c>
      <c r="E8" s="433" t="s">
        <v>2106</v>
      </c>
      <c r="F8" s="1174">
        <f>SUM(F5:F7)</f>
        <v>15051382.26</v>
      </c>
      <c r="G8" s="1174">
        <f>SUM(G5:G7)</f>
        <v>17868882.98</v>
      </c>
      <c r="H8" s="1174">
        <f>SUM(H5:H7)</f>
        <v>18765790.48</v>
      </c>
      <c r="I8" s="1174">
        <f>SUM(I5:I7)</f>
        <v>20809928.620000001</v>
      </c>
      <c r="J8" s="1174">
        <f>SUM(J5:J7)</f>
        <v>21442474.32</v>
      </c>
    </row>
    <row r="9" spans="2:10">
      <c r="F9" s="370">
        <v>16000000</v>
      </c>
      <c r="G9" s="370">
        <v>17000000</v>
      </c>
      <c r="H9" s="370">
        <v>18000000</v>
      </c>
      <c r="I9" s="370">
        <v>19000000</v>
      </c>
      <c r="J9" s="370">
        <v>20000000</v>
      </c>
    </row>
    <row r="11" spans="2:10" hidden="1"/>
    <row r="12" spans="2:10" hidden="1">
      <c r="E12" t="s">
        <v>2107</v>
      </c>
      <c r="G12" s="1482">
        <f>((51773+18669)*1.18)*65</f>
        <v>5402901.3999999994</v>
      </c>
    </row>
    <row r="13" spans="2:10" hidden="1">
      <c r="E13" t="s">
        <v>2108</v>
      </c>
      <c r="F13" s="1482">
        <f>((+F2*$C$5)*8.14%)*65</f>
        <v>9555546</v>
      </c>
      <c r="G13" s="1482">
        <f t="shared" ref="G13:J13" si="4">((+G2*$C$5)*8.14%)*65</f>
        <v>9555546</v>
      </c>
      <c r="H13" s="1482">
        <f t="shared" si="4"/>
        <v>9555546</v>
      </c>
      <c r="I13" s="1482">
        <f t="shared" si="4"/>
        <v>9555546</v>
      </c>
      <c r="J13" s="1482">
        <f t="shared" si="4"/>
        <v>9555546</v>
      </c>
    </row>
    <row r="14" spans="2:10" hidden="1">
      <c r="F14" s="1483">
        <f>SUM(F12:F13)</f>
        <v>9555546</v>
      </c>
      <c r="G14" s="1483">
        <f t="shared" ref="G14:J14" si="5">SUM(G12:G13)</f>
        <v>14958447.399999999</v>
      </c>
      <c r="H14" s="1483">
        <f t="shared" si="5"/>
        <v>9555546</v>
      </c>
      <c r="I14" s="1483">
        <f t="shared" si="5"/>
        <v>9555546</v>
      </c>
      <c r="J14" s="1483">
        <f t="shared" si="5"/>
        <v>9555546</v>
      </c>
    </row>
    <row r="16" spans="2:10">
      <c r="F16" s="370">
        <f>60501.53+1662.7</f>
        <v>62164.229999999996</v>
      </c>
      <c r="G16" s="370">
        <v>95607.79</v>
      </c>
      <c r="H16" s="370">
        <v>98074.04</v>
      </c>
      <c r="I16" s="370">
        <v>119044.01</v>
      </c>
      <c r="J16" s="370">
        <v>117246.36</v>
      </c>
    </row>
    <row r="17" spans="6:10">
      <c r="F17" s="370">
        <v>62</v>
      </c>
      <c r="G17" s="370">
        <v>62</v>
      </c>
      <c r="H17" s="370">
        <v>62</v>
      </c>
      <c r="I17" s="370">
        <v>62</v>
      </c>
      <c r="J17" s="370">
        <v>62</v>
      </c>
    </row>
    <row r="18" spans="6:10">
      <c r="F18" s="370">
        <f>+F16*F17</f>
        <v>3854182.26</v>
      </c>
      <c r="G18" s="370">
        <f t="shared" ref="G18:J18" si="6">+G16*G17</f>
        <v>5927682.9799999995</v>
      </c>
      <c r="H18" s="370">
        <f t="shared" si="6"/>
        <v>6080590.4799999995</v>
      </c>
      <c r="I18" s="370">
        <f t="shared" si="6"/>
        <v>7380728.6200000001</v>
      </c>
      <c r="J18" s="370">
        <f t="shared" si="6"/>
        <v>7269274.3200000003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A6C28-8A1F-4ECA-95CA-A164254FBB0D}">
  <dimension ref="A3:AA21"/>
  <sheetViews>
    <sheetView showGridLines="0" workbookViewId="0">
      <selection activeCell="D22" sqref="D22"/>
    </sheetView>
  </sheetViews>
  <sheetFormatPr baseColWidth="10" defaultColWidth="11.44140625" defaultRowHeight="14.4"/>
  <cols>
    <col min="1" max="1" width="24.5546875" customWidth="1"/>
    <col min="2" max="2" width="11.5546875" hidden="1" customWidth="1"/>
    <col min="3" max="3" width="14.6640625" bestFit="1" customWidth="1"/>
    <col min="4" max="4" width="9.33203125" style="181" customWidth="1"/>
    <col min="5" max="6" width="11.5546875" hidden="1" customWidth="1"/>
    <col min="7" max="7" width="11.5546875" customWidth="1"/>
    <col min="8" max="8" width="13.109375" hidden="1" customWidth="1"/>
    <col min="9" max="9" width="4.6640625" hidden="1" customWidth="1"/>
    <col min="10" max="15" width="8.88671875" customWidth="1"/>
    <col min="16" max="17" width="10.33203125" customWidth="1"/>
    <col min="18" max="22" width="10.44140625" bestFit="1" customWidth="1"/>
    <col min="23" max="23" width="11.88671875" customWidth="1"/>
    <col min="24" max="24" width="13" hidden="1" customWidth="1"/>
  </cols>
  <sheetData>
    <row r="3" spans="1:27" ht="15.6">
      <c r="A3" s="1508" t="s">
        <v>2109</v>
      </c>
      <c r="B3" s="1505"/>
      <c r="C3" s="1505"/>
      <c r="D3" s="1506"/>
      <c r="E3" s="1505"/>
      <c r="F3" s="1505"/>
      <c r="G3" s="1505"/>
      <c r="H3" s="1505"/>
      <c r="I3" s="1505"/>
      <c r="J3" s="1505"/>
      <c r="X3" s="1507"/>
    </row>
    <row r="4" spans="1:27">
      <c r="A4" s="1509"/>
      <c r="B4" s="1510"/>
      <c r="C4" s="1510"/>
      <c r="D4" s="1511"/>
      <c r="E4" s="1510"/>
      <c r="F4" s="1510"/>
      <c r="G4" s="1510"/>
      <c r="H4" s="1510"/>
      <c r="I4" s="1510"/>
      <c r="J4" s="1510"/>
      <c r="X4" s="1507"/>
    </row>
    <row r="5" spans="1:27" ht="15" thickBot="1">
      <c r="A5" s="1504"/>
      <c r="B5" s="1510"/>
      <c r="C5" s="1510"/>
      <c r="D5" s="1511"/>
      <c r="E5" s="1510"/>
      <c r="F5" s="1510"/>
      <c r="G5" s="1510"/>
      <c r="H5" s="1510"/>
      <c r="I5" s="1510"/>
      <c r="J5" s="1510"/>
      <c r="X5" s="1512"/>
    </row>
    <row r="6" spans="1:27" s="455" customFormat="1" ht="28.8">
      <c r="A6" s="1545" t="s">
        <v>2110</v>
      </c>
      <c r="B6" s="1546" t="s">
        <v>2111</v>
      </c>
      <c r="C6" s="1546" t="s">
        <v>2112</v>
      </c>
      <c r="D6" s="1546" t="s">
        <v>1298</v>
      </c>
      <c r="E6" s="1546" t="s">
        <v>2113</v>
      </c>
      <c r="F6" s="1546" t="s">
        <v>2114</v>
      </c>
      <c r="G6" s="1546" t="s">
        <v>2115</v>
      </c>
      <c r="H6" s="1546" t="s">
        <v>2116</v>
      </c>
      <c r="I6" s="1546" t="s">
        <v>2117</v>
      </c>
      <c r="J6" s="1547">
        <v>45748</v>
      </c>
      <c r="K6" s="1547">
        <v>45778</v>
      </c>
      <c r="L6" s="1547">
        <v>45809</v>
      </c>
      <c r="M6" s="1547">
        <v>45839</v>
      </c>
      <c r="N6" s="1547">
        <v>45870</v>
      </c>
      <c r="O6" s="1547">
        <v>45901</v>
      </c>
      <c r="P6" s="1547">
        <v>45931</v>
      </c>
      <c r="Q6" s="1548" t="s">
        <v>2118</v>
      </c>
      <c r="R6" s="1547">
        <v>45962</v>
      </c>
      <c r="S6" s="1547">
        <v>45992</v>
      </c>
      <c r="T6" s="1547">
        <v>46023</v>
      </c>
      <c r="U6" s="1547">
        <v>46054</v>
      </c>
      <c r="V6" s="1547">
        <v>46082</v>
      </c>
      <c r="W6" s="1549" t="s">
        <v>2119</v>
      </c>
      <c r="X6" s="1534" t="s">
        <v>2120</v>
      </c>
    </row>
    <row r="7" spans="1:27" s="455" customFormat="1">
      <c r="A7" s="1535" t="s">
        <v>1786</v>
      </c>
      <c r="B7" s="1536" t="s">
        <v>2121</v>
      </c>
      <c r="C7" s="1537">
        <f>11000000-5000000</f>
        <v>6000000</v>
      </c>
      <c r="D7" s="1538">
        <v>0.19</v>
      </c>
      <c r="E7" s="1537">
        <f t="shared" ref="E7:E12" si="0">+C7*D7/360*30</f>
        <v>95000</v>
      </c>
      <c r="F7" s="1539">
        <v>45847</v>
      </c>
      <c r="G7" s="1539">
        <v>45854</v>
      </c>
      <c r="H7" s="1539">
        <v>45869</v>
      </c>
      <c r="I7" s="1540">
        <f t="shared" ref="I7:I10" si="1">+H7-G7</f>
        <v>15</v>
      </c>
      <c r="J7" s="1540"/>
      <c r="K7" s="630"/>
      <c r="L7" s="630"/>
      <c r="M7" s="630">
        <v>87083.333333333328</v>
      </c>
      <c r="N7" s="630">
        <v>174166.66666666666</v>
      </c>
      <c r="O7" s="630">
        <v>174166.66666666666</v>
      </c>
      <c r="P7" s="630">
        <f>+C7*D7/360*24+(((11000000*19%)/360)*7)</f>
        <v>116638.88888888889</v>
      </c>
      <c r="Q7" s="1554">
        <f>SUM(J7:P7)</f>
        <v>552055.5555555555</v>
      </c>
      <c r="R7" s="630">
        <v>116638.88888888889</v>
      </c>
      <c r="S7" s="630">
        <v>116638.88888888889</v>
      </c>
      <c r="T7" s="630"/>
      <c r="U7" s="630"/>
      <c r="V7" s="630"/>
      <c r="W7" s="1552">
        <f>SUM(Q7:V7)</f>
        <v>785333.33333333326</v>
      </c>
      <c r="X7" s="1513">
        <v>45939</v>
      </c>
    </row>
    <row r="8" spans="1:27" s="455" customFormat="1">
      <c r="A8" s="1535" t="s">
        <v>1786</v>
      </c>
      <c r="B8" s="1536" t="s">
        <v>2121</v>
      </c>
      <c r="C8" s="1537">
        <v>2815000</v>
      </c>
      <c r="D8" s="1538">
        <v>0.19</v>
      </c>
      <c r="E8" s="1537">
        <f t="shared" si="0"/>
        <v>44570.833333333328</v>
      </c>
      <c r="F8" s="1539">
        <v>45847</v>
      </c>
      <c r="G8" s="1539">
        <v>45862</v>
      </c>
      <c r="H8" s="1539">
        <v>45869</v>
      </c>
      <c r="I8" s="1540">
        <f t="shared" si="1"/>
        <v>7</v>
      </c>
      <c r="J8" s="1540"/>
      <c r="K8" s="630"/>
      <c r="L8" s="630"/>
      <c r="M8" s="630">
        <f>+C8*D8/360*I8</f>
        <v>10399.861111111109</v>
      </c>
      <c r="N8" s="630">
        <f t="shared" ref="N8:N9" si="2">+E8</f>
        <v>44570.833333333328</v>
      </c>
      <c r="O8" s="630">
        <f t="shared" ref="O8:P12" si="3">+N8</f>
        <v>44570.833333333328</v>
      </c>
      <c r="P8" s="630">
        <f t="shared" si="3"/>
        <v>44570.833333333328</v>
      </c>
      <c r="Q8" s="1554">
        <f t="shared" ref="Q8:Q12" si="4">SUM(J8:P8)</f>
        <v>144112.36111111109</v>
      </c>
      <c r="R8" s="630">
        <v>44570.833333333328</v>
      </c>
      <c r="S8" s="630">
        <v>44570.833333333328</v>
      </c>
      <c r="T8" s="630"/>
      <c r="U8" s="630"/>
      <c r="V8" s="630"/>
      <c r="W8" s="1552">
        <f t="shared" ref="W8:W12" si="5">SUM(Q8:V8)</f>
        <v>233254.02777777775</v>
      </c>
      <c r="X8" s="1513">
        <v>45939</v>
      </c>
      <c r="AA8" s="455">
        <f>250-85</f>
        <v>165</v>
      </c>
    </row>
    <row r="9" spans="1:27" s="455" customFormat="1">
      <c r="A9" s="1535" t="s">
        <v>1786</v>
      </c>
      <c r="B9" s="1536" t="s">
        <v>2121</v>
      </c>
      <c r="C9" s="1537">
        <v>1185000</v>
      </c>
      <c r="D9" s="1538">
        <v>0.19</v>
      </c>
      <c r="E9" s="1537">
        <f t="shared" si="0"/>
        <v>18762.5</v>
      </c>
      <c r="F9" s="1539">
        <v>45847</v>
      </c>
      <c r="G9" s="1539">
        <v>45862</v>
      </c>
      <c r="H9" s="1539">
        <v>45869</v>
      </c>
      <c r="I9" s="1540">
        <f t="shared" si="1"/>
        <v>7</v>
      </c>
      <c r="J9" s="1540"/>
      <c r="K9" s="630"/>
      <c r="L9" s="630"/>
      <c r="M9" s="630">
        <f>+C9*D9/360*I9</f>
        <v>4377.9166666666661</v>
      </c>
      <c r="N9" s="630">
        <f t="shared" si="2"/>
        <v>18762.5</v>
      </c>
      <c r="O9" s="630">
        <f t="shared" si="3"/>
        <v>18762.5</v>
      </c>
      <c r="P9" s="630">
        <f t="shared" si="3"/>
        <v>18762.5</v>
      </c>
      <c r="Q9" s="1554">
        <f t="shared" si="4"/>
        <v>60665.416666666664</v>
      </c>
      <c r="R9" s="630">
        <v>18762.5</v>
      </c>
      <c r="S9" s="630">
        <v>18762.5</v>
      </c>
      <c r="T9" s="630"/>
      <c r="U9" s="630"/>
      <c r="V9" s="630"/>
      <c r="W9" s="1552">
        <f t="shared" si="5"/>
        <v>98190.416666666657</v>
      </c>
      <c r="X9" s="1513">
        <v>45939</v>
      </c>
      <c r="AA9" s="455">
        <f>320-160</f>
        <v>160</v>
      </c>
    </row>
    <row r="10" spans="1:27" s="455" customFormat="1">
      <c r="A10" s="1535" t="s">
        <v>1786</v>
      </c>
      <c r="B10" s="1536" t="s">
        <v>2122</v>
      </c>
      <c r="C10" s="1537">
        <v>12000000</v>
      </c>
      <c r="D10" s="1538">
        <v>0.1595</v>
      </c>
      <c r="E10" s="1537">
        <f t="shared" si="0"/>
        <v>159500</v>
      </c>
      <c r="F10" s="1539">
        <v>45820</v>
      </c>
      <c r="G10" s="1539">
        <v>45820</v>
      </c>
      <c r="H10" s="1539">
        <v>45838</v>
      </c>
      <c r="I10" s="1540">
        <f t="shared" si="1"/>
        <v>18</v>
      </c>
      <c r="J10" s="1540"/>
      <c r="K10" s="630"/>
      <c r="L10" s="630">
        <f>+C10*D10/360*I10</f>
        <v>95700</v>
      </c>
      <c r="M10" s="630">
        <f>+C10*D10/360*31</f>
        <v>164816.66666666669</v>
      </c>
      <c r="N10" s="630">
        <f>+M10</f>
        <v>164816.66666666669</v>
      </c>
      <c r="O10" s="630">
        <f t="shared" si="3"/>
        <v>164816.66666666669</v>
      </c>
      <c r="P10" s="630">
        <f t="shared" si="3"/>
        <v>164816.66666666669</v>
      </c>
      <c r="Q10" s="1554">
        <f t="shared" si="4"/>
        <v>754966.66666666674</v>
      </c>
      <c r="R10" s="630">
        <v>164816.66666666669</v>
      </c>
      <c r="S10" s="630">
        <v>164816.66666666669</v>
      </c>
      <c r="T10" s="630"/>
      <c r="U10" s="630"/>
      <c r="V10" s="630"/>
      <c r="W10" s="1552">
        <f t="shared" si="5"/>
        <v>1084600.0000000002</v>
      </c>
      <c r="X10" s="1513">
        <v>45923</v>
      </c>
      <c r="AA10" s="455">
        <f>250-85</f>
        <v>165</v>
      </c>
    </row>
    <row r="11" spans="1:27" s="455" customFormat="1">
      <c r="A11" s="1535" t="s">
        <v>1786</v>
      </c>
      <c r="B11" s="1536" t="s">
        <v>2122</v>
      </c>
      <c r="C11" s="1537">
        <v>15000000</v>
      </c>
      <c r="D11" s="1538">
        <v>0.1595</v>
      </c>
      <c r="E11" s="1537">
        <f t="shared" si="0"/>
        <v>199375</v>
      </c>
      <c r="F11" s="1539">
        <v>45757</v>
      </c>
      <c r="G11" s="1539">
        <v>45761</v>
      </c>
      <c r="H11" s="1539">
        <v>45777</v>
      </c>
      <c r="I11" s="1540">
        <f>+H11-G11</f>
        <v>16</v>
      </c>
      <c r="J11" s="1540">
        <f>+C11*D11/360*I11</f>
        <v>106333.33333333333</v>
      </c>
      <c r="K11" s="630">
        <f>+E11</f>
        <v>199375</v>
      </c>
      <c r="L11" s="630">
        <f>+K11</f>
        <v>199375</v>
      </c>
      <c r="M11" s="630">
        <f t="shared" ref="M11:N11" si="6">+L11</f>
        <v>199375</v>
      </c>
      <c r="N11" s="630">
        <f t="shared" si="6"/>
        <v>199375</v>
      </c>
      <c r="O11" s="630">
        <f t="shared" si="3"/>
        <v>199375</v>
      </c>
      <c r="P11" s="630">
        <f t="shared" si="3"/>
        <v>199375</v>
      </c>
      <c r="Q11" s="1554">
        <f t="shared" si="4"/>
        <v>1302583.3333333333</v>
      </c>
      <c r="R11" s="630">
        <v>199375</v>
      </c>
      <c r="S11" s="630">
        <v>199375</v>
      </c>
      <c r="T11" s="630"/>
      <c r="U11" s="630"/>
      <c r="V11" s="630"/>
      <c r="W11" s="1552">
        <f t="shared" si="5"/>
        <v>1701333.3333333333</v>
      </c>
      <c r="X11" s="1513">
        <v>45923</v>
      </c>
    </row>
    <row r="12" spans="1:27" s="455" customFormat="1">
      <c r="A12" s="1535" t="s">
        <v>1786</v>
      </c>
      <c r="B12" s="1536" t="s">
        <v>2122</v>
      </c>
      <c r="C12" s="1537">
        <v>7200000</v>
      </c>
      <c r="D12" s="1538">
        <v>0.1595</v>
      </c>
      <c r="E12" s="1537">
        <f t="shared" si="0"/>
        <v>95700</v>
      </c>
      <c r="F12" s="1539">
        <v>45792</v>
      </c>
      <c r="G12" s="1539">
        <v>45792</v>
      </c>
      <c r="H12" s="1539">
        <v>45808</v>
      </c>
      <c r="I12" s="1540">
        <f>+H12-G12</f>
        <v>16</v>
      </c>
      <c r="J12" s="1540"/>
      <c r="K12" s="630">
        <f>+C12*D12/360*I12</f>
        <v>51040</v>
      </c>
      <c r="L12" s="630">
        <f>+E12</f>
        <v>95700</v>
      </c>
      <c r="M12" s="630">
        <f>+E12</f>
        <v>95700</v>
      </c>
      <c r="N12" s="630">
        <f>+E12</f>
        <v>95700</v>
      </c>
      <c r="O12" s="630">
        <f t="shared" si="3"/>
        <v>95700</v>
      </c>
      <c r="P12" s="630">
        <f>+O12</f>
        <v>95700</v>
      </c>
      <c r="Q12" s="1554">
        <f t="shared" si="4"/>
        <v>529540</v>
      </c>
      <c r="R12" s="630">
        <v>95700</v>
      </c>
      <c r="S12" s="630">
        <v>95700</v>
      </c>
      <c r="T12" s="630"/>
      <c r="U12" s="630"/>
      <c r="V12" s="630"/>
      <c r="W12" s="1552">
        <f t="shared" si="5"/>
        <v>720940</v>
      </c>
      <c r="X12" s="1513">
        <v>45923</v>
      </c>
    </row>
    <row r="13" spans="1:27" s="1472" customFormat="1" ht="18" customHeight="1">
      <c r="A13" s="1556" t="s">
        <v>1790</v>
      </c>
      <c r="B13" s="1557"/>
      <c r="C13" s="1558">
        <f>SUM(C7:C12)</f>
        <v>44200000</v>
      </c>
      <c r="D13" s="1559"/>
      <c r="E13" s="1558">
        <f>SUM(E7:E12)</f>
        <v>612908.33333333326</v>
      </c>
      <c r="F13" s="1557"/>
      <c r="G13" s="1557"/>
      <c r="H13" s="1557"/>
      <c r="I13" s="1557"/>
      <c r="J13" s="1550">
        <f>SUM(J7:J12)</f>
        <v>106333.33333333333</v>
      </c>
      <c r="K13" s="1550">
        <f t="shared" ref="K13:N13" si="7">SUM(K7:K12)</f>
        <v>250415</v>
      </c>
      <c r="L13" s="1550">
        <f t="shared" si="7"/>
        <v>390775</v>
      </c>
      <c r="M13" s="1550">
        <f t="shared" si="7"/>
        <v>561752.77777777775</v>
      </c>
      <c r="N13" s="1550">
        <f t="shared" si="7"/>
        <v>697391.66666666674</v>
      </c>
      <c r="O13" s="1550">
        <f>SUM(O7:O12)</f>
        <v>697391.66666666674</v>
      </c>
      <c r="P13" s="1550">
        <f>SUM(P7:P12)</f>
        <v>639863.88888888888</v>
      </c>
      <c r="Q13" s="1550">
        <f>SUM(Q7:Q12)</f>
        <v>3343923.333333333</v>
      </c>
      <c r="R13" s="1550">
        <f t="shared" ref="R13:V13" si="8">SUM(R7:R12)</f>
        <v>639863.88888888888</v>
      </c>
      <c r="S13" s="1550">
        <f t="shared" si="8"/>
        <v>639863.88888888888</v>
      </c>
      <c r="T13" s="1550">
        <f t="shared" si="8"/>
        <v>0</v>
      </c>
      <c r="U13" s="1550">
        <f t="shared" si="8"/>
        <v>0</v>
      </c>
      <c r="V13" s="1550">
        <f t="shared" si="8"/>
        <v>0</v>
      </c>
      <c r="W13" s="1551">
        <f>SUM(W7:W12)</f>
        <v>4623651.111111111</v>
      </c>
    </row>
    <row r="14" spans="1:27" s="455" customFormat="1">
      <c r="A14" s="1535" t="s">
        <v>2123</v>
      </c>
      <c r="B14" s="1536"/>
      <c r="C14" s="1537">
        <v>25000000</v>
      </c>
      <c r="D14" s="1538">
        <v>0.18</v>
      </c>
      <c r="E14" s="1537"/>
      <c r="F14" s="1539"/>
      <c r="G14" s="1539"/>
      <c r="H14" s="1539"/>
      <c r="I14" s="1540"/>
      <c r="J14" s="1540"/>
      <c r="K14" s="630"/>
      <c r="L14" s="630"/>
      <c r="M14" s="630"/>
      <c r="N14" s="630"/>
      <c r="O14" s="630"/>
      <c r="P14" s="630">
        <v>377083.33333333331</v>
      </c>
      <c r="Q14" s="1554">
        <f>SUM(J14:P14)</f>
        <v>377083.33333333331</v>
      </c>
      <c r="R14" s="630">
        <v>377083.33333333331</v>
      </c>
      <c r="S14" s="630">
        <v>377083.33333333331</v>
      </c>
      <c r="T14" s="630">
        <v>377083.33333333331</v>
      </c>
      <c r="U14" s="630">
        <v>377083.33333333331</v>
      </c>
      <c r="V14" s="630">
        <v>377083.33333333331</v>
      </c>
      <c r="W14" s="1552">
        <f>SUM(Q14:V14)</f>
        <v>2262500</v>
      </c>
      <c r="X14" s="1513"/>
    </row>
    <row r="15" spans="1:27" s="455" customFormat="1">
      <c r="A15" s="1535" t="s">
        <v>2123</v>
      </c>
      <c r="B15" s="1536"/>
      <c r="C15" s="1537">
        <v>30184227.399999999</v>
      </c>
      <c r="D15" s="1538">
        <v>0.18</v>
      </c>
      <c r="E15" s="1537"/>
      <c r="F15" s="1539"/>
      <c r="G15" s="1539"/>
      <c r="H15" s="1539"/>
      <c r="I15" s="1540"/>
      <c r="J15" s="1540"/>
      <c r="K15" s="630"/>
      <c r="L15" s="630"/>
      <c r="M15" s="630"/>
      <c r="N15" s="630"/>
      <c r="O15" s="630"/>
      <c r="P15" s="630">
        <v>455278.76328333328</v>
      </c>
      <c r="Q15" s="1554">
        <f t="shared" ref="Q15:Q17" si="9">SUM(J15:P15)</f>
        <v>455278.76328333328</v>
      </c>
      <c r="R15" s="630">
        <v>455278.76328333328</v>
      </c>
      <c r="S15" s="630">
        <v>455278.76328333328</v>
      </c>
      <c r="T15" s="630">
        <v>455278.76328333328</v>
      </c>
      <c r="U15" s="630">
        <v>455278.76328333328</v>
      </c>
      <c r="V15" s="630">
        <v>455278.76328333328</v>
      </c>
      <c r="W15" s="1552">
        <f t="shared" ref="W15:W17" si="10">SUM(Q15:V15)</f>
        <v>2731672.5796999997</v>
      </c>
      <c r="X15" s="1513"/>
    </row>
    <row r="16" spans="1:27" s="455" customFormat="1">
      <c r="A16" s="1535" t="s">
        <v>2123</v>
      </c>
      <c r="B16" s="1541"/>
      <c r="C16" s="1537">
        <v>22000000</v>
      </c>
      <c r="D16" s="1538">
        <v>0.18</v>
      </c>
      <c r="E16" s="1537"/>
      <c r="F16" s="1539"/>
      <c r="G16" s="1539"/>
      <c r="H16" s="1539"/>
      <c r="I16" s="1540"/>
      <c r="J16" s="1540"/>
      <c r="K16" s="630"/>
      <c r="L16" s="630"/>
      <c r="M16" s="630"/>
      <c r="N16" s="630"/>
      <c r="O16" s="630"/>
      <c r="P16" s="630"/>
      <c r="Q16" s="1554">
        <f t="shared" si="9"/>
        <v>0</v>
      </c>
      <c r="R16" s="630">
        <v>331833.33333333331</v>
      </c>
      <c r="S16" s="630">
        <v>331833.33333333331</v>
      </c>
      <c r="T16" s="630">
        <v>331833.33333333331</v>
      </c>
      <c r="U16" s="630">
        <v>331833.33333333331</v>
      </c>
      <c r="V16" s="630">
        <v>331833.33333333331</v>
      </c>
      <c r="W16" s="1552">
        <f t="shared" si="10"/>
        <v>1659166.6666666665</v>
      </c>
      <c r="X16" s="1513"/>
    </row>
    <row r="17" spans="1:24" s="455" customFormat="1">
      <c r="A17" s="1535" t="s">
        <v>2123</v>
      </c>
      <c r="B17" s="1541"/>
      <c r="C17" s="1537">
        <v>22815773</v>
      </c>
      <c r="D17" s="1538">
        <v>0.18</v>
      </c>
      <c r="E17" s="1537"/>
      <c r="F17" s="1539"/>
      <c r="G17" s="1539"/>
      <c r="H17" s="1539"/>
      <c r="I17" s="1540"/>
      <c r="J17" s="1540"/>
      <c r="K17" s="630"/>
      <c r="L17" s="630"/>
      <c r="M17" s="630"/>
      <c r="N17" s="630"/>
      <c r="O17" s="630"/>
      <c r="P17" s="630"/>
      <c r="Q17" s="1554">
        <f t="shared" si="9"/>
        <v>0</v>
      </c>
      <c r="R17" s="630"/>
      <c r="S17" s="630">
        <v>344137.90941666666</v>
      </c>
      <c r="T17" s="630">
        <v>344137.90941666666</v>
      </c>
      <c r="U17" s="630">
        <v>344137.90941666666</v>
      </c>
      <c r="V17" s="630">
        <v>344137.90941666666</v>
      </c>
      <c r="W17" s="1552">
        <f t="shared" si="10"/>
        <v>1376551.6376666666</v>
      </c>
      <c r="X17" s="1513"/>
    </row>
    <row r="18" spans="1:24" s="1472" customFormat="1" ht="18.600000000000001" customHeight="1">
      <c r="A18" s="1556" t="s">
        <v>2124</v>
      </c>
      <c r="B18" s="1557"/>
      <c r="C18" s="1558">
        <f>SUM(C14:C17)</f>
        <v>100000000.40000001</v>
      </c>
      <c r="D18" s="1558"/>
      <c r="E18" s="1558">
        <f t="shared" ref="E18:V18" si="11">SUM(E14:E17)</f>
        <v>0</v>
      </c>
      <c r="F18" s="1558">
        <f t="shared" si="11"/>
        <v>0</v>
      </c>
      <c r="G18" s="1558">
        <f t="shared" si="11"/>
        <v>0</v>
      </c>
      <c r="H18" s="1558">
        <f t="shared" si="11"/>
        <v>0</v>
      </c>
      <c r="I18" s="1558">
        <f t="shared" si="11"/>
        <v>0</v>
      </c>
      <c r="J18" s="1550">
        <f t="shared" si="11"/>
        <v>0</v>
      </c>
      <c r="K18" s="1550">
        <f t="shared" si="11"/>
        <v>0</v>
      </c>
      <c r="L18" s="1550">
        <f t="shared" si="11"/>
        <v>0</v>
      </c>
      <c r="M18" s="1550">
        <f t="shared" si="11"/>
        <v>0</v>
      </c>
      <c r="N18" s="1550">
        <f t="shared" si="11"/>
        <v>0</v>
      </c>
      <c r="O18" s="1550">
        <f t="shared" si="11"/>
        <v>0</v>
      </c>
      <c r="P18" s="1550">
        <f t="shared" si="11"/>
        <v>832362.09661666653</v>
      </c>
      <c r="Q18" s="1550">
        <f t="shared" si="11"/>
        <v>832362.09661666653</v>
      </c>
      <c r="R18" s="1550">
        <f t="shared" si="11"/>
        <v>1164195.4299499998</v>
      </c>
      <c r="S18" s="1550">
        <f t="shared" si="11"/>
        <v>1508333.3393666665</v>
      </c>
      <c r="T18" s="1550">
        <f t="shared" si="11"/>
        <v>1508333.3393666665</v>
      </c>
      <c r="U18" s="1550">
        <f t="shared" si="11"/>
        <v>1508333.3393666665</v>
      </c>
      <c r="V18" s="1550">
        <f t="shared" si="11"/>
        <v>1508333.3393666665</v>
      </c>
      <c r="W18" s="1551">
        <f>SUM(W14:W17)</f>
        <v>8029890.8840333335</v>
      </c>
    </row>
    <row r="19" spans="1:24" s="455" customFormat="1">
      <c r="A19" s="1542"/>
      <c r="D19" s="1543"/>
      <c r="L19" s="1544"/>
      <c r="Q19" s="1555"/>
      <c r="W19" s="1553"/>
    </row>
    <row r="20" spans="1:24" s="1472" customFormat="1" ht="27.6" customHeight="1" thickBot="1">
      <c r="A20" s="1560" t="s">
        <v>2125</v>
      </c>
      <c r="B20" s="1561"/>
      <c r="C20" s="1562">
        <f>+C13+C18</f>
        <v>144200000.40000001</v>
      </c>
      <c r="D20" s="1562">
        <f t="shared" ref="D20:W20" si="12">+D13+D18</f>
        <v>0</v>
      </c>
      <c r="E20" s="1562">
        <f t="shared" si="12"/>
        <v>612908.33333333326</v>
      </c>
      <c r="F20" s="1562">
        <f t="shared" si="12"/>
        <v>0</v>
      </c>
      <c r="G20" s="1562">
        <f t="shared" si="12"/>
        <v>0</v>
      </c>
      <c r="H20" s="1562">
        <f t="shared" si="12"/>
        <v>0</v>
      </c>
      <c r="I20" s="1562">
        <f t="shared" si="12"/>
        <v>0</v>
      </c>
      <c r="J20" s="1563">
        <f t="shared" si="12"/>
        <v>106333.33333333333</v>
      </c>
      <c r="K20" s="1563">
        <f t="shared" si="12"/>
        <v>250415</v>
      </c>
      <c r="L20" s="1563">
        <f t="shared" si="12"/>
        <v>390775</v>
      </c>
      <c r="M20" s="1563">
        <f t="shared" si="12"/>
        <v>561752.77777777775</v>
      </c>
      <c r="N20" s="1563">
        <f t="shared" si="12"/>
        <v>697391.66666666674</v>
      </c>
      <c r="O20" s="1563">
        <f t="shared" si="12"/>
        <v>697391.66666666674</v>
      </c>
      <c r="P20" s="1563">
        <f t="shared" si="12"/>
        <v>1472225.9855055553</v>
      </c>
      <c r="Q20" s="1563">
        <f t="shared" si="12"/>
        <v>4176285.4299499998</v>
      </c>
      <c r="R20" s="1563">
        <f t="shared" si="12"/>
        <v>1804059.3188388888</v>
      </c>
      <c r="S20" s="1563">
        <f t="shared" si="12"/>
        <v>2148197.2282555555</v>
      </c>
      <c r="T20" s="1563">
        <f t="shared" si="12"/>
        <v>1508333.3393666665</v>
      </c>
      <c r="U20" s="1563">
        <f t="shared" si="12"/>
        <v>1508333.3393666665</v>
      </c>
      <c r="V20" s="1563">
        <f t="shared" si="12"/>
        <v>1508333.3393666665</v>
      </c>
      <c r="W20" s="1564">
        <f t="shared" si="12"/>
        <v>12653541.995144445</v>
      </c>
    </row>
    <row r="21" spans="1:24">
      <c r="C21" s="368">
        <f>+C20-C16-C17</f>
        <v>99384227.400000006</v>
      </c>
    </row>
  </sheetData>
  <pageMargins left="0.7" right="0.7" top="0.75" bottom="0.75" header="0.3" footer="0.3"/>
  <pageSetup orientation="portrait" r:id="rId1"/>
  <ignoredErrors>
    <ignoredError sqref="Q13 W13" formula="1"/>
    <ignoredError sqref="R13 S13:V13" formula="1" formulaRange="1"/>
  </ignoredErrors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385EA-AC16-487F-82FD-1F01BE3D2E13}">
  <dimension ref="A1:G22"/>
  <sheetViews>
    <sheetView zoomScale="85" zoomScaleNormal="85" workbookViewId="0">
      <selection activeCell="N11" sqref="N11"/>
    </sheetView>
  </sheetViews>
  <sheetFormatPr baseColWidth="10" defaultColWidth="11.5546875" defaultRowHeight="14.4"/>
  <cols>
    <col min="1" max="1" width="37.109375" style="455" bestFit="1" customWidth="1"/>
    <col min="2" max="2" width="23.6640625" style="1470" customWidth="1"/>
    <col min="3" max="3" width="22.33203125" style="1470" customWidth="1"/>
    <col min="4" max="4" width="26.44140625" style="1470" bestFit="1" customWidth="1"/>
    <col min="5" max="5" width="15.33203125" style="1470" bestFit="1" customWidth="1"/>
    <col min="6" max="6" width="16.33203125" style="1470" customWidth="1"/>
    <col min="7" max="7" width="17.109375" style="1470" bestFit="1" customWidth="1"/>
    <col min="8" max="16384" width="11.5546875" style="455"/>
  </cols>
  <sheetData>
    <row r="1" spans="1:6" ht="19.95" customHeight="1">
      <c r="A1" s="1408" t="s">
        <v>458</v>
      </c>
      <c r="B1" s="1469" t="s">
        <v>849</v>
      </c>
      <c r="C1" s="1469" t="s">
        <v>850</v>
      </c>
      <c r="D1" s="1469" t="s">
        <v>851</v>
      </c>
      <c r="E1" s="1469"/>
    </row>
    <row r="2" spans="1:6" s="1472" customFormat="1" ht="19.95" customHeight="1">
      <c r="A2" s="455" t="s">
        <v>65</v>
      </c>
      <c r="B2" s="1471">
        <v>106933000</v>
      </c>
      <c r="C2" s="1471">
        <v>264445080.16</v>
      </c>
      <c r="D2" s="1471">
        <v>264445081.16</v>
      </c>
      <c r="E2" s="1471"/>
      <c r="F2" s="1473"/>
    </row>
    <row r="3" spans="1:6" ht="19.95" customHeight="1">
      <c r="A3" s="455" t="s">
        <v>1662</v>
      </c>
      <c r="B3" s="1471">
        <v>25000000</v>
      </c>
      <c r="C3" s="1471">
        <v>24416648.699999999</v>
      </c>
      <c r="D3" s="1471">
        <v>23981165.699999999</v>
      </c>
      <c r="E3" s="1471"/>
      <c r="F3" s="1470">
        <v>278099.52</v>
      </c>
    </row>
    <row r="4" spans="1:6" ht="19.95" customHeight="1">
      <c r="A4" s="455" t="s">
        <v>78</v>
      </c>
      <c r="B4" s="1471">
        <v>469787395.51000005</v>
      </c>
      <c r="C4" s="1471">
        <v>43099036.450000003</v>
      </c>
      <c r="D4" s="1471">
        <v>32895674.530000001</v>
      </c>
      <c r="E4" s="1471"/>
      <c r="F4" s="1470">
        <v>14291211.33</v>
      </c>
    </row>
    <row r="5" spans="1:6" ht="19.95" customHeight="1">
      <c r="A5" s="455" t="s">
        <v>90</v>
      </c>
      <c r="B5" s="1471">
        <v>1517615075.7500005</v>
      </c>
      <c r="C5" s="1471">
        <v>711013.02</v>
      </c>
      <c r="D5" s="1471">
        <v>0</v>
      </c>
      <c r="E5" s="1471"/>
    </row>
    <row r="6" spans="1:6" ht="19.95" customHeight="1">
      <c r="A6" s="455" t="s">
        <v>105</v>
      </c>
      <c r="B6" s="1471">
        <v>198740247.96000001</v>
      </c>
      <c r="C6" s="1471">
        <v>24078093.649999999</v>
      </c>
      <c r="D6" s="1471">
        <v>24061306.359999999</v>
      </c>
      <c r="E6" s="1471"/>
    </row>
    <row r="7" spans="1:6" ht="19.95" customHeight="1">
      <c r="A7" s="455" t="s">
        <v>108</v>
      </c>
      <c r="B7" s="1471">
        <v>47896399.740000002</v>
      </c>
      <c r="C7" s="1471">
        <v>852299.65</v>
      </c>
      <c r="D7" s="1471">
        <v>852299.65</v>
      </c>
      <c r="E7" s="1471"/>
    </row>
    <row r="8" spans="1:6" ht="19.95" customHeight="1">
      <c r="A8" s="455" t="s">
        <v>816</v>
      </c>
      <c r="B8" s="1471">
        <v>39748049.590000004</v>
      </c>
      <c r="C8" s="1471">
        <v>0</v>
      </c>
      <c r="D8" s="1471">
        <v>0</v>
      </c>
      <c r="E8" s="1471"/>
    </row>
    <row r="9" spans="1:6" ht="19.95" customHeight="1">
      <c r="A9" s="455" t="s">
        <v>1458</v>
      </c>
      <c r="B9" s="1471">
        <v>17866748.260000002</v>
      </c>
      <c r="C9" s="1471">
        <v>1520892.9</v>
      </c>
      <c r="D9" s="1471">
        <v>1520892.9</v>
      </c>
      <c r="E9" s="1471"/>
    </row>
    <row r="10" spans="1:6" ht="19.95" customHeight="1">
      <c r="A10" s="455" t="s">
        <v>112</v>
      </c>
      <c r="B10" s="1471">
        <v>158992198.37</v>
      </c>
      <c r="C10" s="1471">
        <v>14321175.970000001</v>
      </c>
      <c r="D10" s="1471">
        <v>14321175.970000001</v>
      </c>
      <c r="E10" s="1471"/>
    </row>
    <row r="11" spans="1:6" ht="19.95" customHeight="1">
      <c r="A11" s="455" t="s">
        <v>115</v>
      </c>
      <c r="B11" s="1471">
        <v>329908811.24000001</v>
      </c>
      <c r="C11" s="1471">
        <v>70331613.25</v>
      </c>
      <c r="D11" s="1471">
        <v>70317189.689999998</v>
      </c>
      <c r="E11" s="1471"/>
    </row>
    <row r="12" spans="1:6" ht="19.95" customHeight="1">
      <c r="A12" s="455" t="s">
        <v>119</v>
      </c>
      <c r="B12" s="1471">
        <v>80207886.760000005</v>
      </c>
      <c r="C12" s="1471">
        <v>2374295.34</v>
      </c>
      <c r="D12" s="1471">
        <v>2374295.34</v>
      </c>
      <c r="E12" s="1471"/>
    </row>
    <row r="13" spans="1:6" ht="19.95" customHeight="1">
      <c r="A13" s="455" t="s">
        <v>122</v>
      </c>
      <c r="B13" s="1471">
        <v>69559086.769999996</v>
      </c>
      <c r="C13" s="1471">
        <v>25311900.93</v>
      </c>
      <c r="D13" s="1471">
        <v>24396731.859999999</v>
      </c>
      <c r="E13" s="1471"/>
    </row>
    <row r="14" spans="1:6" ht="19.95" customHeight="1">
      <c r="A14" s="455" t="s">
        <v>126</v>
      </c>
      <c r="B14" s="1471">
        <v>19874021.48</v>
      </c>
      <c r="C14" s="1471">
        <v>0</v>
      </c>
      <c r="D14" s="1471">
        <v>0</v>
      </c>
      <c r="E14" s="1471"/>
    </row>
    <row r="15" spans="1:6" ht="19.95" customHeight="1">
      <c r="A15" s="455" t="s">
        <v>193</v>
      </c>
      <c r="B15" s="1471">
        <v>30500000</v>
      </c>
      <c r="C15" s="1471">
        <v>20971798.77</v>
      </c>
      <c r="D15" s="1471">
        <v>18065836.449999999</v>
      </c>
      <c r="E15" s="1471"/>
    </row>
    <row r="16" spans="1:6" ht="19.95" customHeight="1">
      <c r="A16" s="455" t="s">
        <v>136</v>
      </c>
      <c r="B16" s="1471">
        <v>229165392.31</v>
      </c>
      <c r="C16" s="1475">
        <v>3968048.34</v>
      </c>
      <c r="D16" s="1471">
        <v>3968048.34</v>
      </c>
      <c r="E16" s="1471"/>
      <c r="F16" s="1470">
        <v>3349823.34</v>
      </c>
    </row>
    <row r="17" spans="1:6" ht="19.95" customHeight="1">
      <c r="A17" s="455" t="s">
        <v>1663</v>
      </c>
      <c r="B17" s="1471">
        <v>19874024.48</v>
      </c>
      <c r="C17" s="1471">
        <v>0</v>
      </c>
      <c r="D17" s="1471">
        <v>0</v>
      </c>
      <c r="E17" s="1471"/>
    </row>
    <row r="18" spans="1:6" ht="19.95" customHeight="1">
      <c r="A18" s="1408" t="s">
        <v>1982</v>
      </c>
      <c r="B18" s="1473">
        <f>SUM(B2:B17)</f>
        <v>3361668338.2200003</v>
      </c>
      <c r="C18" s="1473">
        <f>SUM(C2:C17)</f>
        <v>496401897.12999988</v>
      </c>
      <c r="D18" s="1473">
        <f>SUM(D2:D17)</f>
        <v>481199697.94999993</v>
      </c>
      <c r="E18" s="1473">
        <f t="shared" ref="E18:F18" si="0">SUM(E2:E17)</f>
        <v>0</v>
      </c>
      <c r="F18" s="1473">
        <f t="shared" si="0"/>
        <v>17919134.189999998</v>
      </c>
    </row>
    <row r="19" spans="1:6" ht="19.95" customHeight="1">
      <c r="C19" s="1470">
        <v>472266346</v>
      </c>
      <c r="D19" s="1470">
        <v>456769976.79000002</v>
      </c>
      <c r="E19" s="1473">
        <f>+'PRESENTACIÓN 10-25'!J24</f>
        <v>439052713.13</v>
      </c>
      <c r="F19" s="1473">
        <f>+D18-E19</f>
        <v>42146984.819999933</v>
      </c>
    </row>
    <row r="20" spans="1:6" ht="19.95" customHeight="1">
      <c r="C20" s="1470">
        <f>+C18-C19</f>
        <v>24135551.129999876</v>
      </c>
      <c r="D20" s="1470">
        <f>+D18-D19</f>
        <v>24429721.159999907</v>
      </c>
      <c r="F20" s="1470">
        <f>+F18-F19</f>
        <v>-24227850.629999936</v>
      </c>
    </row>
    <row r="21" spans="1:6" ht="19.95" customHeight="1">
      <c r="D21" s="1474">
        <v>102302.41</v>
      </c>
    </row>
    <row r="22" spans="1:6" ht="19.95" customHeight="1">
      <c r="D22" s="1474">
        <v>99569.07</v>
      </c>
    </row>
  </sheetData>
  <autoFilter ref="A1:D17" xr:uid="{33E5389C-C572-4585-A645-EB85C8057B2A}"/>
  <pageMargins left="0.7" right="0.7" top="0.75" bottom="0.75" header="0.3" footer="0.3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0750D-1D9C-4F44-97F2-84DE0A071F23}">
  <dimension ref="A1:M28"/>
  <sheetViews>
    <sheetView showGridLines="0" topLeftCell="A4" zoomScaleNormal="100" workbookViewId="0">
      <selection activeCell="B15" sqref="B15"/>
    </sheetView>
  </sheetViews>
  <sheetFormatPr baseColWidth="10" defaultColWidth="8" defaultRowHeight="11.4"/>
  <cols>
    <col min="1" max="1" width="13.88671875" style="408" customWidth="1"/>
    <col min="2" max="2" width="30.5546875" style="528" customWidth="1"/>
    <col min="3" max="3" width="12" style="408" bestFit="1" customWidth="1"/>
    <col min="4" max="4" width="11.44140625" style="408" bestFit="1" customWidth="1"/>
    <col min="5" max="5" width="13.6640625" style="408" customWidth="1"/>
    <col min="6" max="6" width="29.33203125" style="408" bestFit="1" customWidth="1"/>
    <col min="7" max="7" width="13.44140625" style="408" bestFit="1" customWidth="1"/>
    <col min="8" max="8" width="11" style="408" bestFit="1" customWidth="1"/>
    <col min="9" max="9" width="11.33203125" style="408" bestFit="1" customWidth="1"/>
    <col min="10" max="10" width="8.6640625" style="408" bestFit="1" customWidth="1"/>
    <col min="11" max="11" width="11.6640625" style="408" bestFit="1" customWidth="1"/>
    <col min="12" max="12" width="8" style="408"/>
    <col min="13" max="13" width="9.6640625" style="408" bestFit="1" customWidth="1"/>
    <col min="14" max="16384" width="8" style="408"/>
  </cols>
  <sheetData>
    <row r="1" spans="1:13" s="405" customFormat="1" ht="16.649999999999999" customHeight="1">
      <c r="A1" s="404" t="s">
        <v>1771</v>
      </c>
      <c r="B1" s="526"/>
      <c r="C1" s="404"/>
      <c r="D1" s="404"/>
      <c r="E1" s="404"/>
      <c r="F1" s="408"/>
      <c r="G1" s="408"/>
      <c r="H1" s="408"/>
      <c r="I1" s="408"/>
      <c r="J1" s="408"/>
      <c r="K1" s="408"/>
      <c r="L1" s="408"/>
      <c r="M1" s="408"/>
    </row>
    <row r="2" spans="1:13" s="407" customFormat="1" ht="14.4" customHeight="1">
      <c r="A2" s="406" t="s">
        <v>236</v>
      </c>
      <c r="B2" s="527"/>
      <c r="C2" s="406"/>
      <c r="D2" s="406"/>
      <c r="E2" s="406"/>
      <c r="F2" s="408"/>
      <c r="G2" s="408"/>
      <c r="H2" s="408"/>
      <c r="I2" s="408"/>
      <c r="J2" s="408"/>
      <c r="K2" s="408"/>
      <c r="L2" s="408"/>
      <c r="M2" s="408"/>
    </row>
    <row r="3" spans="1:13" ht="13.35" customHeight="1">
      <c r="F3" s="1256" t="s">
        <v>1772</v>
      </c>
      <c r="G3" s="1249" t="s">
        <v>1773</v>
      </c>
      <c r="H3" s="1249" t="s">
        <v>1774</v>
      </c>
      <c r="I3" s="1249" t="s">
        <v>1775</v>
      </c>
      <c r="J3" s="1249" t="s">
        <v>1776</v>
      </c>
      <c r="K3" s="1249" t="s">
        <v>1777</v>
      </c>
      <c r="L3" s="1249" t="s">
        <v>1298</v>
      </c>
      <c r="M3" s="1249" t="s">
        <v>1778</v>
      </c>
    </row>
    <row r="4" spans="1:13" ht="13.35" customHeight="1">
      <c r="F4" s="1250" t="s">
        <v>1779</v>
      </c>
      <c r="G4" s="1251">
        <v>34200000</v>
      </c>
      <c r="H4" s="1251">
        <f>+E19+E20+E21</f>
        <v>34200000</v>
      </c>
      <c r="I4" s="1251">
        <f>+G4-H4</f>
        <v>0</v>
      </c>
      <c r="J4" s="1251">
        <f>-D25</f>
        <v>-5000000</v>
      </c>
      <c r="K4" s="1251">
        <f>+H4+J4</f>
        <v>29200000</v>
      </c>
      <c r="L4" s="1253">
        <v>0.1595</v>
      </c>
      <c r="M4" s="1254">
        <v>45923</v>
      </c>
    </row>
    <row r="5" spans="1:13" ht="13.35" customHeight="1">
      <c r="F5" s="1250" t="s">
        <v>1779</v>
      </c>
      <c r="G5" s="1251">
        <v>15000000</v>
      </c>
      <c r="H5" s="1251">
        <f>+E23+E24+E22</f>
        <v>15000000</v>
      </c>
      <c r="I5" s="1251"/>
      <c r="J5" s="1251"/>
      <c r="K5" s="1251">
        <f>+H5+J5</f>
        <v>15000000</v>
      </c>
      <c r="L5" s="1253">
        <v>0.19</v>
      </c>
      <c r="M5" s="1254">
        <v>45939</v>
      </c>
    </row>
    <row r="6" spans="1:13" ht="13.35" customHeight="1">
      <c r="F6" s="1250" t="s">
        <v>1780</v>
      </c>
      <c r="G6" s="1251">
        <v>100000000</v>
      </c>
      <c r="H6" s="1251">
        <f>+E16</f>
        <v>100000000</v>
      </c>
      <c r="I6" s="1251">
        <f>+G6-H6</f>
        <v>0</v>
      </c>
      <c r="J6" s="1251">
        <v>0</v>
      </c>
      <c r="K6" s="1251">
        <f>+H6+J6</f>
        <v>100000000</v>
      </c>
      <c r="L6" s="1253">
        <v>0.18</v>
      </c>
      <c r="M6" s="1254">
        <v>46274</v>
      </c>
    </row>
    <row r="7" spans="1:13" ht="13.35" customHeight="1">
      <c r="F7" s="1248" t="s">
        <v>1781</v>
      </c>
      <c r="G7" s="1255">
        <f>SUM(G4:G6)</f>
        <v>149200000</v>
      </c>
      <c r="H7" s="1255">
        <f t="shared" ref="H7:K7" si="0">SUM(H4:H6)</f>
        <v>149200000</v>
      </c>
      <c r="I7" s="1255">
        <f t="shared" si="0"/>
        <v>0</v>
      </c>
      <c r="J7" s="1255">
        <f t="shared" si="0"/>
        <v>-5000000</v>
      </c>
      <c r="K7" s="1255">
        <f t="shared" si="0"/>
        <v>144200000</v>
      </c>
      <c r="L7" s="1255"/>
      <c r="M7" s="1255"/>
    </row>
    <row r="8" spans="1:13" ht="13.35" customHeight="1"/>
    <row r="9" spans="1:13" s="412" customFormat="1" ht="12.15" customHeight="1">
      <c r="A9" s="410" t="s">
        <v>1485</v>
      </c>
      <c r="B9" s="529" t="s">
        <v>817</v>
      </c>
      <c r="C9" s="410" t="s">
        <v>691</v>
      </c>
      <c r="D9" s="411" t="s">
        <v>665</v>
      </c>
      <c r="E9" s="411" t="s">
        <v>666</v>
      </c>
      <c r="F9" s="408"/>
      <c r="G9" s="408"/>
      <c r="H9" s="408"/>
      <c r="I9" s="408"/>
      <c r="J9" s="408"/>
      <c r="K9" s="408"/>
      <c r="L9" s="408"/>
      <c r="M9" s="408"/>
    </row>
    <row r="10" spans="1:13" ht="13.35" customHeight="1"/>
    <row r="11" spans="1:13" s="412" customFormat="1" ht="12.15" customHeight="1">
      <c r="A11" s="409" t="s">
        <v>1782</v>
      </c>
      <c r="B11" s="530"/>
      <c r="C11" s="409"/>
      <c r="D11" s="409"/>
      <c r="E11" s="409"/>
    </row>
    <row r="12" spans="1:13" ht="22.8">
      <c r="A12" s="429">
        <v>45909</v>
      </c>
      <c r="B12" s="531" t="s">
        <v>1783</v>
      </c>
      <c r="C12" s="421" t="s">
        <v>1784</v>
      </c>
      <c r="D12" s="422">
        <v>0</v>
      </c>
      <c r="E12" s="422">
        <v>25000000</v>
      </c>
    </row>
    <row r="13" spans="1:13" ht="22.8">
      <c r="A13" s="430">
        <v>45926</v>
      </c>
      <c r="B13" s="533" t="s">
        <v>1783</v>
      </c>
      <c r="C13" s="414" t="s">
        <v>1784</v>
      </c>
      <c r="D13" s="415">
        <v>0</v>
      </c>
      <c r="E13" s="415">
        <v>30184227.399999999</v>
      </c>
      <c r="F13" s="412"/>
      <c r="G13" s="412"/>
      <c r="H13" s="412"/>
      <c r="I13" s="412"/>
      <c r="J13" s="412"/>
      <c r="K13" s="412"/>
      <c r="L13" s="412"/>
      <c r="M13" s="412"/>
    </row>
    <row r="14" spans="1:13" ht="22.8">
      <c r="A14" s="430">
        <v>45966</v>
      </c>
      <c r="B14" s="533" t="s">
        <v>1783</v>
      </c>
      <c r="C14" s="414" t="s">
        <v>1784</v>
      </c>
      <c r="D14" s="415">
        <v>0</v>
      </c>
      <c r="E14" s="415">
        <v>22000000</v>
      </c>
      <c r="F14" s="412"/>
      <c r="G14" s="412"/>
      <c r="H14" s="412"/>
      <c r="I14" s="412"/>
      <c r="J14" s="412"/>
      <c r="K14" s="412"/>
      <c r="L14" s="412"/>
      <c r="M14" s="412"/>
    </row>
    <row r="15" spans="1:13" ht="22.8">
      <c r="A15" s="430">
        <v>45989</v>
      </c>
      <c r="B15" s="533" t="s">
        <v>1783</v>
      </c>
      <c r="C15" s="414" t="s">
        <v>1784</v>
      </c>
      <c r="D15" s="415">
        <v>0</v>
      </c>
      <c r="E15" s="415">
        <v>22815772.600000001</v>
      </c>
      <c r="F15" s="412"/>
      <c r="G15" s="412"/>
      <c r="H15" s="412"/>
      <c r="I15" s="412"/>
      <c r="J15" s="412"/>
      <c r="K15" s="412"/>
      <c r="L15" s="412"/>
      <c r="M15" s="412"/>
    </row>
    <row r="16" spans="1:13" ht="10.95" customHeight="1">
      <c r="A16" s="416" t="s">
        <v>1785</v>
      </c>
      <c r="B16" s="532"/>
      <c r="C16" s="416"/>
      <c r="D16" s="417">
        <f>SUM(D12:D13)</f>
        <v>0</v>
      </c>
      <c r="E16" s="417">
        <f>SUM(E12:E15)</f>
        <v>100000000</v>
      </c>
    </row>
    <row r="18" spans="1:5" s="412" customFormat="1" ht="12.15" customHeight="1">
      <c r="A18" s="409" t="s">
        <v>1786</v>
      </c>
      <c r="B18" s="530"/>
      <c r="C18" s="409"/>
      <c r="D18" s="409"/>
      <c r="E18" s="409"/>
    </row>
    <row r="19" spans="1:5" ht="10.95" customHeight="1">
      <c r="A19" s="429">
        <v>45761</v>
      </c>
      <c r="B19" s="531" t="s">
        <v>1787</v>
      </c>
      <c r="C19" s="414" t="s">
        <v>1788</v>
      </c>
      <c r="D19" s="422">
        <v>0</v>
      </c>
      <c r="E19" s="422">
        <v>15000000</v>
      </c>
    </row>
    <row r="20" spans="1:5" ht="10.95" customHeight="1">
      <c r="A20" s="430">
        <v>45792</v>
      </c>
      <c r="B20" s="531" t="s">
        <v>1787</v>
      </c>
      <c r="C20" s="414" t="s">
        <v>1788</v>
      </c>
      <c r="D20" s="415">
        <v>0</v>
      </c>
      <c r="E20" s="415">
        <v>7200000</v>
      </c>
    </row>
    <row r="21" spans="1:5" ht="10.95" customHeight="1">
      <c r="A21" s="430">
        <v>45820</v>
      </c>
      <c r="B21" s="531" t="s">
        <v>1787</v>
      </c>
      <c r="C21" s="414" t="s">
        <v>1788</v>
      </c>
      <c r="D21" s="415">
        <v>0</v>
      </c>
      <c r="E21" s="415">
        <v>12000000</v>
      </c>
    </row>
    <row r="22" spans="1:5" ht="34.200000000000003">
      <c r="A22" s="430">
        <v>45853</v>
      </c>
      <c r="B22" s="533" t="s">
        <v>1789</v>
      </c>
      <c r="C22" s="414" t="s">
        <v>1788</v>
      </c>
      <c r="D22" s="415">
        <v>0</v>
      </c>
      <c r="E22" s="415">
        <v>1185000</v>
      </c>
    </row>
    <row r="23" spans="1:5" ht="10.95" customHeight="1">
      <c r="A23" s="430">
        <v>45854</v>
      </c>
      <c r="B23" s="531" t="s">
        <v>1787</v>
      </c>
      <c r="C23" s="414" t="s">
        <v>1788</v>
      </c>
      <c r="D23" s="415">
        <v>0</v>
      </c>
      <c r="E23" s="415">
        <v>11000000</v>
      </c>
    </row>
    <row r="24" spans="1:5" ht="10.95" customHeight="1">
      <c r="A24" s="430">
        <v>45862</v>
      </c>
      <c r="B24" s="531" t="s">
        <v>1787</v>
      </c>
      <c r="C24" s="414" t="s">
        <v>1788</v>
      </c>
      <c r="D24" s="415">
        <v>0</v>
      </c>
      <c r="E24" s="415">
        <v>2815000</v>
      </c>
    </row>
    <row r="25" spans="1:5" ht="10.95" customHeight="1">
      <c r="A25" s="430">
        <v>45937</v>
      </c>
      <c r="B25" s="531" t="s">
        <v>2017</v>
      </c>
      <c r="C25" s="414" t="s">
        <v>1788</v>
      </c>
      <c r="D25" s="415">
        <v>5000000</v>
      </c>
      <c r="E25" s="415">
        <v>0</v>
      </c>
    </row>
    <row r="26" spans="1:5" ht="10.95" customHeight="1">
      <c r="A26" s="416" t="s">
        <v>1790</v>
      </c>
      <c r="B26" s="532"/>
      <c r="C26" s="416"/>
      <c r="D26" s="417">
        <f>SUM(D19:D25)</f>
        <v>5000000</v>
      </c>
      <c r="E26" s="417">
        <f>SUM(E19:E25)</f>
        <v>49200000</v>
      </c>
    </row>
    <row r="27" spans="1:5" ht="13.35" customHeight="1"/>
    <row r="28" spans="1:5" ht="10.95" customHeight="1">
      <c r="A28" s="419" t="s">
        <v>164</v>
      </c>
      <c r="B28" s="534"/>
      <c r="C28" s="419"/>
      <c r="D28" s="420">
        <f>SUM(D16,D26)</f>
        <v>5000000</v>
      </c>
      <c r="E28" s="420">
        <f>SUM(E16,E26)</f>
        <v>149200000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47024-C7A9-46BE-B857-58DDF07997FD}">
  <dimension ref="A3:AC22"/>
  <sheetViews>
    <sheetView showGridLines="0" workbookViewId="0">
      <selection activeCell="O18" sqref="O18"/>
    </sheetView>
  </sheetViews>
  <sheetFormatPr baseColWidth="10" defaultColWidth="11.44140625" defaultRowHeight="14.4"/>
  <cols>
    <col min="1" max="1" width="24.6640625" customWidth="1"/>
    <col min="2" max="2" width="11.5546875" hidden="1" customWidth="1"/>
    <col min="3" max="3" width="14.6640625" hidden="1" customWidth="1"/>
    <col min="4" max="4" width="13.44140625" hidden="1" customWidth="1"/>
    <col min="5" max="5" width="14.109375" bestFit="1" customWidth="1"/>
    <col min="6" max="6" width="8.88671875" style="181" customWidth="1"/>
    <col min="7" max="8" width="11.5546875" hidden="1" customWidth="1"/>
    <col min="9" max="9" width="10.5546875" customWidth="1"/>
    <col min="10" max="10" width="13.109375" customWidth="1"/>
    <col min="11" max="11" width="4.6640625" customWidth="1"/>
    <col min="12" max="16" width="8.88671875" customWidth="1"/>
    <col min="17" max="17" width="10.44140625" customWidth="1"/>
    <col min="18" max="18" width="10.33203125" customWidth="1"/>
    <col min="19" max="20" width="10.44140625" customWidth="1"/>
    <col min="21" max="24" width="10.44140625" bestFit="1" customWidth="1"/>
    <col min="25" max="25" width="11.88671875" customWidth="1"/>
    <col min="26" max="26" width="13" hidden="1" customWidth="1"/>
  </cols>
  <sheetData>
    <row r="3" spans="1:29" ht="15.6">
      <c r="A3" s="1508" t="s">
        <v>2109</v>
      </c>
      <c r="B3" s="1505"/>
      <c r="C3" s="1505"/>
      <c r="D3" s="1505"/>
      <c r="E3" s="1505"/>
      <c r="F3" s="1506"/>
      <c r="G3" s="1505"/>
      <c r="H3" s="1505"/>
      <c r="I3" s="1505"/>
      <c r="J3" s="1505"/>
      <c r="K3" s="1505"/>
      <c r="L3" s="1505"/>
      <c r="Z3" s="1507"/>
    </row>
    <row r="4" spans="1:29">
      <c r="A4" s="1509"/>
      <c r="B4" s="1510"/>
      <c r="C4" s="1510"/>
      <c r="D4" s="1510"/>
      <c r="E4" s="1510"/>
      <c r="F4" s="1511"/>
      <c r="G4" s="1510"/>
      <c r="H4" s="1510"/>
      <c r="I4" s="1510"/>
      <c r="J4" s="1510"/>
      <c r="K4" s="1510"/>
      <c r="L4" s="1510"/>
      <c r="Z4" s="1507"/>
    </row>
    <row r="5" spans="1:29" ht="15" thickBot="1">
      <c r="A5" s="1504"/>
      <c r="B5" s="1510"/>
      <c r="C5" s="1510"/>
      <c r="D5" s="1510"/>
      <c r="E5" s="1510"/>
      <c r="F5" s="1511"/>
      <c r="G5" s="1510"/>
      <c r="H5" s="1510"/>
      <c r="I5" s="1510"/>
      <c r="J5" s="1510"/>
      <c r="K5" s="1510"/>
      <c r="L5" s="1510"/>
      <c r="Z5" s="1512"/>
    </row>
    <row r="6" spans="1:29" s="455" customFormat="1" ht="28.8">
      <c r="A6" s="1545" t="s">
        <v>2110</v>
      </c>
      <c r="B6" s="1546" t="s">
        <v>2111</v>
      </c>
      <c r="C6" s="1579" t="s">
        <v>2126</v>
      </c>
      <c r="D6" s="1579" t="s">
        <v>2127</v>
      </c>
      <c r="E6" s="1579" t="s">
        <v>2112</v>
      </c>
      <c r="F6" s="1546" t="s">
        <v>1298</v>
      </c>
      <c r="G6" s="1546" t="s">
        <v>2113</v>
      </c>
      <c r="H6" s="1546" t="s">
        <v>2114</v>
      </c>
      <c r="I6" s="1619" t="s">
        <v>2115</v>
      </c>
      <c r="J6" s="1546" t="s">
        <v>2116</v>
      </c>
      <c r="K6" s="1546" t="s">
        <v>2117</v>
      </c>
      <c r="L6" s="1547">
        <v>45748</v>
      </c>
      <c r="M6" s="1547">
        <v>45778</v>
      </c>
      <c r="N6" s="1547">
        <v>45809</v>
      </c>
      <c r="O6" s="1547">
        <v>45839</v>
      </c>
      <c r="P6" s="1547">
        <v>45870</v>
      </c>
      <c r="Q6" s="1547">
        <v>45901</v>
      </c>
      <c r="R6" s="1547">
        <v>45931</v>
      </c>
      <c r="S6" s="1547">
        <v>45962</v>
      </c>
      <c r="T6" s="1548" t="s">
        <v>2128</v>
      </c>
      <c r="U6" s="1547">
        <v>45992</v>
      </c>
      <c r="V6" s="1547">
        <v>46023</v>
      </c>
      <c r="W6" s="1547">
        <v>46054</v>
      </c>
      <c r="X6" s="1547">
        <v>46082</v>
      </c>
      <c r="Y6" s="1549" t="s">
        <v>168</v>
      </c>
      <c r="Z6" s="1534" t="s">
        <v>2120</v>
      </c>
    </row>
    <row r="7" spans="1:29" s="455" customFormat="1">
      <c r="A7" s="1535" t="s">
        <v>1786</v>
      </c>
      <c r="B7" s="1536" t="s">
        <v>2122</v>
      </c>
      <c r="C7" s="1540">
        <v>15000000</v>
      </c>
      <c r="D7" s="1540">
        <v>0</v>
      </c>
      <c r="E7" s="1540">
        <v>15000000</v>
      </c>
      <c r="F7" s="1538">
        <v>0.1595</v>
      </c>
      <c r="G7" s="1537">
        <f t="shared" ref="G7:G13" si="0">+E7*F7/360*30</f>
        <v>199375</v>
      </c>
      <c r="H7" s="1539">
        <v>45757</v>
      </c>
      <c r="I7" s="1539">
        <v>45761</v>
      </c>
      <c r="J7" s="1539">
        <v>45777</v>
      </c>
      <c r="K7" s="1540">
        <f t="shared" ref="K7:K13" si="1">+J7-I7</f>
        <v>16</v>
      </c>
      <c r="L7" s="1540">
        <f>+E7*F7/360*K7</f>
        <v>106333.33333333333</v>
      </c>
      <c r="M7" s="630">
        <f>+G7</f>
        <v>199375</v>
      </c>
      <c r="N7" s="630">
        <f>+M7</f>
        <v>199375</v>
      </c>
      <c r="O7" s="630">
        <f>+N7</f>
        <v>199375</v>
      </c>
      <c r="P7" s="630">
        <f>+O7</f>
        <v>199375</v>
      </c>
      <c r="Q7" s="630">
        <f>+P7</f>
        <v>199375</v>
      </c>
      <c r="R7" s="630">
        <f>+Q7</f>
        <v>199375</v>
      </c>
      <c r="S7" s="630">
        <v>199375</v>
      </c>
      <c r="T7" s="630">
        <f>SUM(K7:S7)</f>
        <v>1501974.3333333333</v>
      </c>
      <c r="U7" s="768">
        <f>((+(E7*F7)/12)/30)*15</f>
        <v>99687.5</v>
      </c>
      <c r="V7" s="630"/>
      <c r="W7" s="630"/>
      <c r="X7" s="630"/>
      <c r="Y7" s="1552">
        <f>SUM(T7:X7)</f>
        <v>1601661.8333333333</v>
      </c>
      <c r="Z7" s="1513">
        <v>45939</v>
      </c>
    </row>
    <row r="8" spans="1:29" s="455" customFormat="1">
      <c r="A8" s="1535" t="s">
        <v>1786</v>
      </c>
      <c r="B8" s="1536" t="s">
        <v>2122</v>
      </c>
      <c r="C8" s="1540">
        <v>7200000</v>
      </c>
      <c r="D8" s="1540">
        <v>0</v>
      </c>
      <c r="E8" s="1540">
        <v>7200000</v>
      </c>
      <c r="F8" s="1538">
        <v>0.1595</v>
      </c>
      <c r="G8" s="1537">
        <f t="shared" si="0"/>
        <v>95700</v>
      </c>
      <c r="H8" s="1539">
        <v>45792</v>
      </c>
      <c r="I8" s="1539">
        <v>45792</v>
      </c>
      <c r="J8" s="1539">
        <v>45808</v>
      </c>
      <c r="K8" s="1540">
        <f t="shared" si="1"/>
        <v>16</v>
      </c>
      <c r="L8" s="1540"/>
      <c r="M8" s="630">
        <f>+E8*F8/360*K8</f>
        <v>51040</v>
      </c>
      <c r="N8" s="630">
        <f>+G8</f>
        <v>95700</v>
      </c>
      <c r="O8" s="630">
        <f>+G8</f>
        <v>95700</v>
      </c>
      <c r="P8" s="630">
        <f>+G8</f>
        <v>95700</v>
      </c>
      <c r="Q8" s="630">
        <f>+P8</f>
        <v>95700</v>
      </c>
      <c r="R8" s="630">
        <f>+Q8</f>
        <v>95700</v>
      </c>
      <c r="S8" s="630">
        <v>95700</v>
      </c>
      <c r="T8" s="630">
        <f t="shared" ref="T8:T13" si="2">SUM(K8:S8)</f>
        <v>625256</v>
      </c>
      <c r="U8" s="768">
        <f>((+(E8*F8)/12)/30)*5</f>
        <v>15950</v>
      </c>
      <c r="V8" s="630"/>
      <c r="W8" s="630"/>
      <c r="X8" s="630"/>
      <c r="Y8" s="1552">
        <f t="shared" ref="Y8:Y13" si="3">SUM(T8:X8)</f>
        <v>641206</v>
      </c>
      <c r="Z8" s="1513">
        <v>45939</v>
      </c>
      <c r="AC8" s="455">
        <f>250-85</f>
        <v>165</v>
      </c>
    </row>
    <row r="9" spans="1:29" s="455" customFormat="1">
      <c r="A9" s="1535" t="s">
        <v>1786</v>
      </c>
      <c r="B9" s="1536" t="s">
        <v>2122</v>
      </c>
      <c r="C9" s="1540">
        <v>12000000</v>
      </c>
      <c r="D9" s="1540">
        <v>0</v>
      </c>
      <c r="E9" s="1540">
        <v>12000000</v>
      </c>
      <c r="F9" s="1538">
        <v>0.1595</v>
      </c>
      <c r="G9" s="1537">
        <f t="shared" si="0"/>
        <v>159500</v>
      </c>
      <c r="H9" s="1539">
        <v>45820</v>
      </c>
      <c r="I9" s="1539">
        <v>45820</v>
      </c>
      <c r="J9" s="1539">
        <v>45838</v>
      </c>
      <c r="K9" s="1540">
        <f t="shared" si="1"/>
        <v>18</v>
      </c>
      <c r="L9" s="1540"/>
      <c r="M9" s="630"/>
      <c r="N9" s="630">
        <f>+E9*F9/360*K9</f>
        <v>95700</v>
      </c>
      <c r="O9" s="630">
        <f>+E9*F9/360*31</f>
        <v>164816.66666666669</v>
      </c>
      <c r="P9" s="630">
        <f>+O9</f>
        <v>164816.66666666669</v>
      </c>
      <c r="Q9" s="630">
        <f>+P9</f>
        <v>164816.66666666669</v>
      </c>
      <c r="R9" s="630">
        <f>+Q9</f>
        <v>164816.66666666669</v>
      </c>
      <c r="S9" s="630">
        <v>164816.66666666669</v>
      </c>
      <c r="T9" s="630">
        <f t="shared" si="2"/>
        <v>919801.33333333349</v>
      </c>
      <c r="U9" s="768">
        <f>((+(E9*F9)/12)/30)*15</f>
        <v>79750</v>
      </c>
      <c r="V9" s="630"/>
      <c r="W9" s="630"/>
      <c r="X9" s="630"/>
      <c r="Y9" s="1552">
        <f t="shared" si="3"/>
        <v>999551.33333333349</v>
      </c>
      <c r="Z9" s="1513">
        <v>45939</v>
      </c>
      <c r="AC9" s="455">
        <f>320-160</f>
        <v>160</v>
      </c>
    </row>
    <row r="10" spans="1:29" s="455" customFormat="1">
      <c r="A10" s="1535" t="s">
        <v>1786</v>
      </c>
      <c r="B10" s="1536" t="s">
        <v>2121</v>
      </c>
      <c r="C10" s="1540">
        <f>11000000</f>
        <v>11000000</v>
      </c>
      <c r="D10" s="1540">
        <v>5000000</v>
      </c>
      <c r="E10" s="1540">
        <f>+C10-D10</f>
        <v>6000000</v>
      </c>
      <c r="F10" s="1538">
        <v>0.19</v>
      </c>
      <c r="G10" s="1537">
        <f t="shared" si="0"/>
        <v>95000</v>
      </c>
      <c r="H10" s="1539">
        <v>45847</v>
      </c>
      <c r="I10" s="1539">
        <v>45854</v>
      </c>
      <c r="J10" s="1539">
        <v>45869</v>
      </c>
      <c r="K10" s="1540">
        <f t="shared" si="1"/>
        <v>15</v>
      </c>
      <c r="L10" s="1540"/>
      <c r="M10" s="630"/>
      <c r="N10" s="630"/>
      <c r="O10" s="630">
        <v>87083.33</v>
      </c>
      <c r="P10" s="630">
        <v>174166.67</v>
      </c>
      <c r="Q10" s="630">
        <v>174166.67</v>
      </c>
      <c r="R10" s="630">
        <f>((11000000*19%)/360)*7+((6000000*19%)/360)*23</f>
        <v>113472.22222222222</v>
      </c>
      <c r="S10" s="630">
        <f>+E10*F10/12</f>
        <v>95000</v>
      </c>
      <c r="T10" s="630">
        <f t="shared" si="2"/>
        <v>643903.89222222229</v>
      </c>
      <c r="U10" s="768">
        <f>((+(E10*F10)/12)/30)*15</f>
        <v>47500</v>
      </c>
      <c r="V10" s="630"/>
      <c r="W10" s="630"/>
      <c r="X10" s="630"/>
      <c r="Y10" s="1552">
        <f t="shared" si="3"/>
        <v>691403.89222222229</v>
      </c>
      <c r="Z10" s="1513">
        <v>45923</v>
      </c>
      <c r="AC10" s="455">
        <f>250-85</f>
        <v>165</v>
      </c>
    </row>
    <row r="11" spans="1:29" s="455" customFormat="1" hidden="1">
      <c r="A11" s="1535" t="s">
        <v>1786</v>
      </c>
      <c r="B11" s="1536" t="s">
        <v>2121</v>
      </c>
      <c r="C11" s="1540"/>
      <c r="D11" s="1540"/>
      <c r="E11" s="1540"/>
      <c r="F11" s="1538">
        <v>0.19</v>
      </c>
      <c r="G11" s="1537">
        <f t="shared" si="0"/>
        <v>0</v>
      </c>
      <c r="H11" s="1539">
        <v>45847</v>
      </c>
      <c r="I11" s="1539">
        <v>45937</v>
      </c>
      <c r="J11" s="1539">
        <v>45869</v>
      </c>
      <c r="K11" s="1540">
        <f t="shared" si="1"/>
        <v>-68</v>
      </c>
      <c r="L11" s="1540"/>
      <c r="M11" s="630"/>
      <c r="N11" s="630"/>
      <c r="O11" s="630"/>
      <c r="P11" s="630"/>
      <c r="Q11" s="630"/>
      <c r="R11" s="630">
        <f>((6000000*19%)/360)*23</f>
        <v>72833.333333333328</v>
      </c>
      <c r="T11" s="630">
        <f t="shared" si="2"/>
        <v>72765.333333333328</v>
      </c>
      <c r="V11" s="630"/>
      <c r="W11" s="630"/>
      <c r="X11" s="630"/>
      <c r="Y11" s="1552">
        <f t="shared" si="3"/>
        <v>72765.333333333328</v>
      </c>
      <c r="Z11" s="1513">
        <v>45923</v>
      </c>
    </row>
    <row r="12" spans="1:29" s="455" customFormat="1">
      <c r="A12" s="1535" t="s">
        <v>1786</v>
      </c>
      <c r="B12" s="1536" t="s">
        <v>2121</v>
      </c>
      <c r="C12" s="1540">
        <v>2815000</v>
      </c>
      <c r="D12" s="1540"/>
      <c r="E12" s="1540">
        <v>2815000</v>
      </c>
      <c r="F12" s="1538">
        <v>0.19</v>
      </c>
      <c r="G12" s="1537">
        <f t="shared" si="0"/>
        <v>44570.833333333328</v>
      </c>
      <c r="H12" s="1539">
        <v>45847</v>
      </c>
      <c r="I12" s="1539">
        <v>45862</v>
      </c>
      <c r="J12" s="1539">
        <v>45869</v>
      </c>
      <c r="K12" s="1540">
        <f t="shared" si="1"/>
        <v>7</v>
      </c>
      <c r="L12" s="1540"/>
      <c r="M12" s="630"/>
      <c r="N12" s="630"/>
      <c r="O12" s="630">
        <f>+E12*F12/360*K12</f>
        <v>10399.861111111109</v>
      </c>
      <c r="P12" s="630">
        <f>+G12</f>
        <v>44570.833333333328</v>
      </c>
      <c r="Q12" s="630">
        <f>+P12</f>
        <v>44570.833333333328</v>
      </c>
      <c r="R12" s="630">
        <f>+Q12</f>
        <v>44570.833333333328</v>
      </c>
      <c r="S12" s="630">
        <v>44570.833333333328</v>
      </c>
      <c r="T12" s="630">
        <f t="shared" si="2"/>
        <v>188690.19444444444</v>
      </c>
      <c r="U12" s="768">
        <f>((+(E12*F12)/12)/30)*15</f>
        <v>22285.416666666668</v>
      </c>
      <c r="V12" s="630"/>
      <c r="W12" s="630"/>
      <c r="X12" s="630"/>
      <c r="Y12" s="1552">
        <f t="shared" si="3"/>
        <v>210975.61111111109</v>
      </c>
      <c r="Z12" s="1513">
        <v>45923</v>
      </c>
    </row>
    <row r="13" spans="1:29" s="455" customFormat="1">
      <c r="A13" s="1535" t="s">
        <v>1786</v>
      </c>
      <c r="B13" s="1536" t="s">
        <v>2121</v>
      </c>
      <c r="C13" s="1540">
        <v>1185000</v>
      </c>
      <c r="D13" s="1540"/>
      <c r="E13" s="1540">
        <v>1185000</v>
      </c>
      <c r="F13" s="1538">
        <v>0.19</v>
      </c>
      <c r="G13" s="1537">
        <f t="shared" si="0"/>
        <v>18762.5</v>
      </c>
      <c r="H13" s="1539">
        <v>45847</v>
      </c>
      <c r="I13" s="1539">
        <v>45862</v>
      </c>
      <c r="J13" s="1539">
        <v>45869</v>
      </c>
      <c r="K13" s="1540">
        <f t="shared" si="1"/>
        <v>7</v>
      </c>
      <c r="L13" s="1540"/>
      <c r="M13" s="630"/>
      <c r="N13" s="630"/>
      <c r="O13" s="630">
        <f>+E13*F13/360*K13</f>
        <v>4377.9166666666661</v>
      </c>
      <c r="P13" s="630">
        <f>+G13</f>
        <v>18762.5</v>
      </c>
      <c r="Q13" s="630">
        <f>+P13</f>
        <v>18762.5</v>
      </c>
      <c r="R13" s="630">
        <f>+Q13</f>
        <v>18762.5</v>
      </c>
      <c r="S13" s="630">
        <v>18762.5</v>
      </c>
      <c r="T13" s="630">
        <f t="shared" si="2"/>
        <v>79434.916666666657</v>
      </c>
      <c r="U13" s="768">
        <f>((+(E13*F13)/12)/30)*15</f>
        <v>9381.25</v>
      </c>
      <c r="V13" s="630"/>
      <c r="W13" s="630"/>
      <c r="X13" s="630"/>
      <c r="Y13" s="1552">
        <f t="shared" si="3"/>
        <v>88816.166666666657</v>
      </c>
      <c r="Z13" s="1513"/>
    </row>
    <row r="14" spans="1:29" s="1472" customFormat="1" ht="18" customHeight="1" thickBot="1">
      <c r="A14" s="1580" t="s">
        <v>1790</v>
      </c>
      <c r="B14" s="1581"/>
      <c r="C14" s="1582">
        <f>SUM(C7:C13)</f>
        <v>49200000</v>
      </c>
      <c r="D14" s="1582">
        <f t="shared" ref="D14:E14" si="4">SUM(D7:D13)</f>
        <v>5000000</v>
      </c>
      <c r="E14" s="1582">
        <f t="shared" si="4"/>
        <v>44200000</v>
      </c>
      <c r="F14" s="1583"/>
      <c r="G14" s="1584">
        <f>SUM(G7:G13)</f>
        <v>612908.33333333337</v>
      </c>
      <c r="H14" s="1581"/>
      <c r="I14" s="1581"/>
      <c r="J14" s="1581"/>
      <c r="K14" s="1581"/>
      <c r="L14" s="1582">
        <f t="shared" ref="L14:X14" si="5">SUM(L7:L13)</f>
        <v>106333.33333333333</v>
      </c>
      <c r="M14" s="1582">
        <f t="shared" si="5"/>
        <v>250415</v>
      </c>
      <c r="N14" s="1582">
        <f t="shared" si="5"/>
        <v>390775</v>
      </c>
      <c r="O14" s="1582">
        <f t="shared" si="5"/>
        <v>561752.77444444445</v>
      </c>
      <c r="P14" s="1582">
        <f t="shared" si="5"/>
        <v>697391.67</v>
      </c>
      <c r="Q14" s="1582">
        <f t="shared" si="5"/>
        <v>697391.67</v>
      </c>
      <c r="R14" s="1582">
        <f t="shared" si="5"/>
        <v>709530.55555555562</v>
      </c>
      <c r="S14" s="1582">
        <f t="shared" si="5"/>
        <v>618225.00000000012</v>
      </c>
      <c r="T14" s="1582">
        <f t="shared" si="5"/>
        <v>4031826.0033333334</v>
      </c>
      <c r="U14" s="1582">
        <f t="shared" si="5"/>
        <v>274554.16666666669</v>
      </c>
      <c r="V14" s="1582">
        <f t="shared" si="5"/>
        <v>0</v>
      </c>
      <c r="W14" s="1582">
        <f t="shared" si="5"/>
        <v>0</v>
      </c>
      <c r="X14" s="1582">
        <f t="shared" si="5"/>
        <v>0</v>
      </c>
      <c r="Y14" s="1551">
        <f>SUM(Y7:Y13)</f>
        <v>4306380.1700000009</v>
      </c>
    </row>
    <row r="15" spans="1:29" s="455" customFormat="1">
      <c r="A15" s="1535" t="s">
        <v>2123</v>
      </c>
      <c r="B15" s="1536"/>
      <c r="C15" s="1537">
        <v>25000000</v>
      </c>
      <c r="D15" s="1537"/>
      <c r="E15" s="1620">
        <f>+C15-D15</f>
        <v>25000000</v>
      </c>
      <c r="F15" s="1538">
        <v>0.18</v>
      </c>
      <c r="G15" s="1537"/>
      <c r="H15" s="1539"/>
      <c r="I15" s="1539">
        <v>45905</v>
      </c>
      <c r="J15" s="1539"/>
      <c r="K15" s="1540"/>
      <c r="L15" s="1540"/>
      <c r="M15" s="630"/>
      <c r="N15" s="630"/>
      <c r="O15" s="630"/>
      <c r="P15" s="630"/>
      <c r="Q15" s="630">
        <f>(($C15*$F15)/360)*25</f>
        <v>312500</v>
      </c>
      <c r="R15" s="630">
        <f>(($C15*$F15)/360)*30</f>
        <v>375000</v>
      </c>
      <c r="S15" s="630">
        <f t="shared" ref="S15:X18" si="6">(($C15*$F15)/360)*30</f>
        <v>375000</v>
      </c>
      <c r="T15" s="630">
        <f>SUM(Q15:S15)</f>
        <v>1062500</v>
      </c>
      <c r="U15" s="630">
        <f t="shared" si="6"/>
        <v>375000</v>
      </c>
      <c r="V15" s="630">
        <f t="shared" si="6"/>
        <v>375000</v>
      </c>
      <c r="W15" s="630">
        <f t="shared" si="6"/>
        <v>375000</v>
      </c>
      <c r="X15" s="630">
        <f t="shared" si="6"/>
        <v>375000</v>
      </c>
      <c r="Y15" s="1552">
        <f>SUM(T15:X15)</f>
        <v>2562500</v>
      </c>
      <c r="Z15" s="1513"/>
    </row>
    <row r="16" spans="1:29" s="455" customFormat="1">
      <c r="A16" s="1535" t="s">
        <v>2123</v>
      </c>
      <c r="B16" s="1536"/>
      <c r="C16" s="1537">
        <v>30184227.399999999</v>
      </c>
      <c r="D16" s="1537"/>
      <c r="E16" s="1620">
        <f t="shared" ref="E16:E18" si="7">+C16-D16</f>
        <v>30184227.399999999</v>
      </c>
      <c r="F16" s="1538">
        <v>0.18</v>
      </c>
      <c r="G16" s="1537"/>
      <c r="H16" s="1539"/>
      <c r="I16" s="1539">
        <v>45926</v>
      </c>
      <c r="J16" s="1539"/>
      <c r="K16" s="1540"/>
      <c r="L16" s="1540"/>
      <c r="M16" s="630"/>
      <c r="N16" s="630"/>
      <c r="O16" s="630"/>
      <c r="P16" s="630"/>
      <c r="Q16" s="630">
        <f>(($C16*$F16)/360)*4</f>
        <v>60368.454799999992</v>
      </c>
      <c r="R16" s="630">
        <f>(($C16*$F16)/360)*30</f>
        <v>452763.41099999996</v>
      </c>
      <c r="S16" s="630">
        <f t="shared" si="6"/>
        <v>452763.41099999996</v>
      </c>
      <c r="T16" s="630">
        <f t="shared" ref="T16:T18" si="8">SUM(Q16:S16)</f>
        <v>965895.27679999988</v>
      </c>
      <c r="U16" s="630">
        <f t="shared" si="6"/>
        <v>452763.41099999996</v>
      </c>
      <c r="V16" s="630">
        <f t="shared" si="6"/>
        <v>452763.41099999996</v>
      </c>
      <c r="W16" s="630">
        <f t="shared" si="6"/>
        <v>452763.41099999996</v>
      </c>
      <c r="X16" s="630">
        <f t="shared" si="6"/>
        <v>452763.41099999996</v>
      </c>
      <c r="Y16" s="1552">
        <f t="shared" ref="Y16:Y18" si="9">SUM(T16:X16)</f>
        <v>2776948.9207999995</v>
      </c>
      <c r="Z16" s="1513"/>
    </row>
    <row r="17" spans="1:26" s="455" customFormat="1">
      <c r="A17" s="1535" t="s">
        <v>2123</v>
      </c>
      <c r="B17" s="1541"/>
      <c r="C17" s="1537">
        <v>22000000</v>
      </c>
      <c r="D17" s="1537"/>
      <c r="E17" s="1620">
        <f t="shared" si="7"/>
        <v>22000000</v>
      </c>
      <c r="F17" s="1538">
        <v>0.18</v>
      </c>
      <c r="G17" s="1537"/>
      <c r="H17" s="1539"/>
      <c r="I17" s="1539">
        <v>45966</v>
      </c>
      <c r="J17" s="1539"/>
      <c r="K17" s="1540"/>
      <c r="L17" s="1540"/>
      <c r="M17" s="630"/>
      <c r="N17" s="630"/>
      <c r="O17" s="630"/>
      <c r="P17" s="630"/>
      <c r="Q17" s="630"/>
      <c r="R17" s="630"/>
      <c r="S17" s="630">
        <f>(($C17*$F17)/360)*25</f>
        <v>275000</v>
      </c>
      <c r="T17" s="630">
        <f t="shared" si="8"/>
        <v>275000</v>
      </c>
      <c r="U17" s="630">
        <f t="shared" si="6"/>
        <v>330000</v>
      </c>
      <c r="V17" s="630">
        <f t="shared" si="6"/>
        <v>330000</v>
      </c>
      <c r="W17" s="630">
        <f t="shared" si="6"/>
        <v>330000</v>
      </c>
      <c r="X17" s="630">
        <f t="shared" si="6"/>
        <v>330000</v>
      </c>
      <c r="Y17" s="1552">
        <f t="shared" si="9"/>
        <v>1595000</v>
      </c>
      <c r="Z17" s="1513"/>
    </row>
    <row r="18" spans="1:26" s="455" customFormat="1">
      <c r="A18" s="1535" t="s">
        <v>2123</v>
      </c>
      <c r="B18" s="1541"/>
      <c r="C18" s="1537">
        <v>22815773</v>
      </c>
      <c r="D18" s="1537"/>
      <c r="E18" s="1620">
        <f t="shared" si="7"/>
        <v>22815773</v>
      </c>
      <c r="F18" s="1538">
        <v>0.18</v>
      </c>
      <c r="G18" s="1537"/>
      <c r="H18" s="1539"/>
      <c r="I18" s="1539">
        <v>45989</v>
      </c>
      <c r="J18" s="1539"/>
      <c r="K18" s="1540"/>
      <c r="L18" s="1540"/>
      <c r="M18" s="630"/>
      <c r="N18" s="630"/>
      <c r="O18" s="630"/>
      <c r="P18" s="630"/>
      <c r="Q18" s="630"/>
      <c r="R18" s="630"/>
      <c r="S18" s="630">
        <f>(($C18*$F18)/360)*2</f>
        <v>22815.772999999997</v>
      </c>
      <c r="T18" s="630">
        <f t="shared" si="8"/>
        <v>22815.772999999997</v>
      </c>
      <c r="U18" s="630">
        <f t="shared" si="6"/>
        <v>342236.59499999997</v>
      </c>
      <c r="V18" s="630">
        <f t="shared" si="6"/>
        <v>342236.59499999997</v>
      </c>
      <c r="W18" s="630">
        <f t="shared" si="6"/>
        <v>342236.59499999997</v>
      </c>
      <c r="X18" s="630">
        <f t="shared" si="6"/>
        <v>342236.59499999997</v>
      </c>
      <c r="Y18" s="1552">
        <f t="shared" si="9"/>
        <v>1391762.1529999999</v>
      </c>
      <c r="Z18" s="1513"/>
    </row>
    <row r="19" spans="1:26" s="1472" customFormat="1" ht="18.600000000000001" customHeight="1">
      <c r="A19" s="1556" t="s">
        <v>2124</v>
      </c>
      <c r="B19" s="1557"/>
      <c r="C19" s="1558">
        <f>SUM(C15:C18)</f>
        <v>100000000.40000001</v>
      </c>
      <c r="D19" s="1558">
        <f t="shared" ref="D19:E19" si="10">SUM(D15:D18)</f>
        <v>0</v>
      </c>
      <c r="E19" s="1616">
        <f t="shared" si="10"/>
        <v>100000000.40000001</v>
      </c>
      <c r="F19" s="1558"/>
      <c r="G19" s="1558">
        <f t="shared" ref="G19:X19" si="11">SUM(G15:G18)</f>
        <v>0</v>
      </c>
      <c r="H19" s="1558">
        <f t="shared" si="11"/>
        <v>0</v>
      </c>
      <c r="I19" s="1616"/>
      <c r="J19" s="1558">
        <f t="shared" si="11"/>
        <v>0</v>
      </c>
      <c r="K19" s="1558">
        <f t="shared" si="11"/>
        <v>0</v>
      </c>
      <c r="L19" s="1550">
        <f t="shared" si="11"/>
        <v>0</v>
      </c>
      <c r="M19" s="1550">
        <f t="shared" si="11"/>
        <v>0</v>
      </c>
      <c r="N19" s="1550">
        <f t="shared" si="11"/>
        <v>0</v>
      </c>
      <c r="O19" s="1550">
        <f t="shared" si="11"/>
        <v>0</v>
      </c>
      <c r="P19" s="1550">
        <f t="shared" si="11"/>
        <v>0</v>
      </c>
      <c r="Q19" s="1550">
        <f t="shared" si="11"/>
        <v>372868.45480000001</v>
      </c>
      <c r="R19" s="1550">
        <f t="shared" si="11"/>
        <v>827763.41099999996</v>
      </c>
      <c r="S19" s="1550">
        <f t="shared" si="11"/>
        <v>1125579.1839999999</v>
      </c>
      <c r="T19" s="1550">
        <f t="shared" si="11"/>
        <v>2326211.0498000002</v>
      </c>
      <c r="U19" s="1550">
        <f t="shared" si="11"/>
        <v>1500000.0059999998</v>
      </c>
      <c r="V19" s="1550">
        <f t="shared" si="11"/>
        <v>1500000.0059999998</v>
      </c>
      <c r="W19" s="1550">
        <f t="shared" si="11"/>
        <v>1500000.0059999998</v>
      </c>
      <c r="X19" s="1550">
        <f t="shared" si="11"/>
        <v>1500000.0059999998</v>
      </c>
      <c r="Y19" s="1551">
        <f>SUM(Y15:Y18)</f>
        <v>8326211.0737999994</v>
      </c>
    </row>
    <row r="20" spans="1:26" s="455" customFormat="1">
      <c r="A20" s="1542"/>
      <c r="F20" s="1543"/>
      <c r="N20" s="1544"/>
      <c r="Y20" s="1618"/>
    </row>
    <row r="21" spans="1:26" s="1472" customFormat="1" ht="29.4" thickBot="1">
      <c r="A21" s="1617" t="s">
        <v>2125</v>
      </c>
      <c r="B21" s="1561"/>
      <c r="C21" s="1562">
        <f>+C14+C19</f>
        <v>149200000.40000001</v>
      </c>
      <c r="D21" s="1562"/>
      <c r="E21" s="1562">
        <f>+E14+E19</f>
        <v>144200000.40000001</v>
      </c>
      <c r="F21" s="1562"/>
      <c r="G21" s="1562">
        <f t="shared" ref="G21:Y21" si="12">+G14+G19</f>
        <v>612908.33333333337</v>
      </c>
      <c r="H21" s="1562">
        <f t="shared" si="12"/>
        <v>0</v>
      </c>
      <c r="I21" s="1562"/>
      <c r="J21" s="1562">
        <f t="shared" si="12"/>
        <v>0</v>
      </c>
      <c r="K21" s="1562">
        <f t="shared" si="12"/>
        <v>0</v>
      </c>
      <c r="L21" s="1563">
        <f t="shared" si="12"/>
        <v>106333.33333333333</v>
      </c>
      <c r="M21" s="1563">
        <f t="shared" si="12"/>
        <v>250415</v>
      </c>
      <c r="N21" s="1563">
        <f t="shared" si="12"/>
        <v>390775</v>
      </c>
      <c r="O21" s="1563">
        <f t="shared" si="12"/>
        <v>561752.77444444445</v>
      </c>
      <c r="P21" s="1563">
        <f t="shared" si="12"/>
        <v>697391.67</v>
      </c>
      <c r="Q21" s="1563">
        <f t="shared" si="12"/>
        <v>1070260.1248000001</v>
      </c>
      <c r="R21" s="1563">
        <f t="shared" si="12"/>
        <v>1537293.9665555556</v>
      </c>
      <c r="S21" s="1563">
        <f t="shared" si="12"/>
        <v>1743804.1839999999</v>
      </c>
      <c r="T21" s="1563">
        <f t="shared" si="12"/>
        <v>6358037.0531333331</v>
      </c>
      <c r="U21" s="1563">
        <f t="shared" si="12"/>
        <v>1774554.1726666666</v>
      </c>
      <c r="V21" s="1563">
        <f t="shared" si="12"/>
        <v>1500000.0059999998</v>
      </c>
      <c r="W21" s="1563">
        <f t="shared" si="12"/>
        <v>1500000.0059999998</v>
      </c>
      <c r="X21" s="1563">
        <f t="shared" si="12"/>
        <v>1500000.0059999998</v>
      </c>
      <c r="Y21" s="1564">
        <f t="shared" si="12"/>
        <v>12632591.243799999</v>
      </c>
    </row>
    <row r="22" spans="1:26">
      <c r="C22" s="368">
        <f>+C21-C17-C18</f>
        <v>104384227.40000001</v>
      </c>
      <c r="D22" s="368"/>
      <c r="E22" s="368"/>
    </row>
  </sheetData>
  <pageMargins left="0.7" right="0.7" top="0.75" bottom="0.75" header="0.3" footer="0.3"/>
  <pageSetup orientation="portrait" r:id="rId1"/>
  <ignoredErrors>
    <ignoredError sqref="U8 T15:T16 Y14" formula="1"/>
    <ignoredError sqref="V14:X14" formulaRange="1"/>
  </ignoredError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16B91-9350-48B6-9D08-55E77EBE6FE6}">
  <dimension ref="A3:AB22"/>
  <sheetViews>
    <sheetView showGridLines="0" workbookViewId="0">
      <selection activeCell="T19" sqref="T19"/>
    </sheetView>
  </sheetViews>
  <sheetFormatPr baseColWidth="10" defaultColWidth="11.44140625" defaultRowHeight="14.4"/>
  <cols>
    <col min="1" max="1" width="19.109375" customWidth="1"/>
    <col min="2" max="2" width="11.5546875" hidden="1" customWidth="1"/>
    <col min="3" max="3" width="14.6640625" hidden="1" customWidth="1"/>
    <col min="4" max="4" width="13.44140625" hidden="1" customWidth="1"/>
    <col min="5" max="5" width="14.109375" bestFit="1" customWidth="1"/>
    <col min="6" max="6" width="8.88671875" style="181" customWidth="1"/>
    <col min="7" max="8" width="11.5546875" hidden="1" customWidth="1"/>
    <col min="9" max="9" width="10.5546875" customWidth="1"/>
    <col min="10" max="10" width="13.109375" hidden="1" customWidth="1"/>
    <col min="11" max="11" width="4.6640625" hidden="1" customWidth="1"/>
    <col min="12" max="16" width="8.88671875" customWidth="1"/>
    <col min="17" max="17" width="10.44140625" bestFit="1" customWidth="1"/>
    <col min="18" max="18" width="10.33203125" customWidth="1"/>
    <col min="19" max="23" width="10.44140625" bestFit="1" customWidth="1"/>
    <col min="24" max="24" width="11.88671875" customWidth="1"/>
    <col min="25" max="25" width="13" hidden="1" customWidth="1"/>
  </cols>
  <sheetData>
    <row r="3" spans="1:28" ht="15.6">
      <c r="A3" s="1508" t="s">
        <v>2109</v>
      </c>
      <c r="B3" s="1505"/>
      <c r="C3" s="1505"/>
      <c r="D3" s="1505"/>
      <c r="E3" s="1505"/>
      <c r="F3" s="1506"/>
      <c r="G3" s="1505"/>
      <c r="H3" s="1505"/>
      <c r="I3" s="1505"/>
      <c r="J3" s="1505"/>
      <c r="K3" s="1505"/>
      <c r="L3" s="1505"/>
      <c r="Y3" s="1507"/>
    </row>
    <row r="4" spans="1:28">
      <c r="A4" s="1509"/>
      <c r="B4" s="1510"/>
      <c r="C4" s="1510"/>
      <c r="D4" s="1510"/>
      <c r="E4" s="1510"/>
      <c r="F4" s="1511"/>
      <c r="G4" s="1510"/>
      <c r="H4" s="1510"/>
      <c r="I4" s="1510"/>
      <c r="J4" s="1510"/>
      <c r="K4" s="1510"/>
      <c r="L4" s="1510"/>
      <c r="Y4" s="1507"/>
    </row>
    <row r="5" spans="1:28" ht="15" thickBot="1">
      <c r="A5" s="1504"/>
      <c r="B5" s="1510"/>
      <c r="C5" s="1510"/>
      <c r="D5" s="1510"/>
      <c r="E5" s="1510"/>
      <c r="F5" s="1511"/>
      <c r="G5" s="1510"/>
      <c r="H5" s="1510"/>
      <c r="I5" s="1510"/>
      <c r="J5" s="1510"/>
      <c r="K5" s="1510"/>
      <c r="L5" s="1510"/>
      <c r="Y5" s="1512"/>
    </row>
    <row r="6" spans="1:28" s="455" customFormat="1" ht="28.8">
      <c r="A6" s="1545" t="s">
        <v>2110</v>
      </c>
      <c r="B6" s="1546" t="s">
        <v>2111</v>
      </c>
      <c r="C6" s="1579" t="s">
        <v>2126</v>
      </c>
      <c r="D6" s="1579" t="s">
        <v>2127</v>
      </c>
      <c r="E6" s="1579" t="s">
        <v>2112</v>
      </c>
      <c r="F6" s="1546" t="s">
        <v>1298</v>
      </c>
      <c r="G6" s="1546" t="s">
        <v>2113</v>
      </c>
      <c r="H6" s="1546" t="s">
        <v>2114</v>
      </c>
      <c r="I6" s="1546" t="s">
        <v>2115</v>
      </c>
      <c r="J6" s="1546" t="s">
        <v>2116</v>
      </c>
      <c r="K6" s="1546" t="s">
        <v>2117</v>
      </c>
      <c r="L6" s="1547">
        <v>45748</v>
      </c>
      <c r="M6" s="1547">
        <v>45778</v>
      </c>
      <c r="N6" s="1547">
        <v>45809</v>
      </c>
      <c r="O6" s="1547">
        <v>45839</v>
      </c>
      <c r="P6" s="1547">
        <v>45870</v>
      </c>
      <c r="Q6" s="1547">
        <v>45901</v>
      </c>
      <c r="R6" s="1547">
        <v>45931</v>
      </c>
      <c r="S6" s="1547">
        <v>45962</v>
      </c>
      <c r="T6" s="1547">
        <v>45992</v>
      </c>
      <c r="U6" s="1547">
        <v>46023</v>
      </c>
      <c r="V6" s="1547">
        <v>46054</v>
      </c>
      <c r="W6" s="1547">
        <v>46082</v>
      </c>
      <c r="X6" s="1549" t="s">
        <v>168</v>
      </c>
      <c r="Y6" s="1534" t="s">
        <v>2120</v>
      </c>
    </row>
    <row r="7" spans="1:28" s="455" customFormat="1">
      <c r="A7" s="1535" t="s">
        <v>1786</v>
      </c>
      <c r="B7" s="1536" t="s">
        <v>2122</v>
      </c>
      <c r="C7" s="1540">
        <v>15000000</v>
      </c>
      <c r="D7" s="1540">
        <v>0</v>
      </c>
      <c r="E7" s="1540">
        <v>15000000</v>
      </c>
      <c r="F7" s="1538">
        <v>0.1595</v>
      </c>
      <c r="G7" s="1537">
        <f t="shared" ref="G7:G13" si="0">+E7*F7/360*30</f>
        <v>199375</v>
      </c>
      <c r="H7" s="1539">
        <v>45757</v>
      </c>
      <c r="I7" s="1539">
        <v>45761</v>
      </c>
      <c r="J7" s="1539">
        <v>45777</v>
      </c>
      <c r="K7" s="1540">
        <f t="shared" ref="K7:K13" si="1">+J7-I7</f>
        <v>16</v>
      </c>
      <c r="L7" s="1540">
        <f>+E7*F7/360*K7</f>
        <v>106333.33333333333</v>
      </c>
      <c r="M7" s="630">
        <f>+G7</f>
        <v>199375</v>
      </c>
      <c r="N7" s="630">
        <f>+M7</f>
        <v>199375</v>
      </c>
      <c r="O7" s="630">
        <f>+N7</f>
        <v>199375</v>
      </c>
      <c r="P7" s="630">
        <f>+O7</f>
        <v>199375</v>
      </c>
      <c r="Q7" s="630">
        <f>+P7</f>
        <v>199375</v>
      </c>
      <c r="R7" s="630">
        <f>+Q7</f>
        <v>199375</v>
      </c>
      <c r="S7" s="630">
        <v>199375</v>
      </c>
      <c r="T7" s="768">
        <f>((+(E7*F7)/12)/30)*15</f>
        <v>99687.5</v>
      </c>
      <c r="U7" s="630"/>
      <c r="V7" s="630"/>
      <c r="W7" s="630"/>
      <c r="X7" s="1552">
        <f>SUM(K7:W7)</f>
        <v>1601661.8333333333</v>
      </c>
      <c r="Y7" s="1513">
        <v>45939</v>
      </c>
    </row>
    <row r="8" spans="1:28" s="455" customFormat="1">
      <c r="A8" s="1535" t="s">
        <v>1786</v>
      </c>
      <c r="B8" s="1536" t="s">
        <v>2122</v>
      </c>
      <c r="C8" s="1540">
        <v>7200000</v>
      </c>
      <c r="D8" s="1540">
        <v>0</v>
      </c>
      <c r="E8" s="1540">
        <v>7200000</v>
      </c>
      <c r="F8" s="1538">
        <v>0.1595</v>
      </c>
      <c r="G8" s="1537">
        <f t="shared" si="0"/>
        <v>95700</v>
      </c>
      <c r="H8" s="1539">
        <v>45792</v>
      </c>
      <c r="I8" s="1539">
        <v>45792</v>
      </c>
      <c r="J8" s="1539">
        <v>45808</v>
      </c>
      <c r="K8" s="1540">
        <f t="shared" si="1"/>
        <v>16</v>
      </c>
      <c r="L8" s="1540"/>
      <c r="M8" s="630">
        <f>+E8*F8/360*K8</f>
        <v>51040</v>
      </c>
      <c r="N8" s="630">
        <f>+G8</f>
        <v>95700</v>
      </c>
      <c r="O8" s="630">
        <f>+G8</f>
        <v>95700</v>
      </c>
      <c r="P8" s="630">
        <f>+G8</f>
        <v>95700</v>
      </c>
      <c r="Q8" s="630">
        <f>+P8</f>
        <v>95700</v>
      </c>
      <c r="R8" s="630">
        <f>+Q8</f>
        <v>95700</v>
      </c>
      <c r="S8" s="630">
        <v>95700</v>
      </c>
      <c r="T8" s="768">
        <f>((+(E8*F8)/12)/30)*5</f>
        <v>15950</v>
      </c>
      <c r="U8" s="630"/>
      <c r="V8" s="630"/>
      <c r="W8" s="630"/>
      <c r="X8" s="1552">
        <f t="shared" ref="X8:X13" si="2">SUM(K8:W8)</f>
        <v>641206</v>
      </c>
      <c r="Y8" s="1513">
        <v>45939</v>
      </c>
      <c r="AB8" s="455">
        <f>250-85</f>
        <v>165</v>
      </c>
    </row>
    <row r="9" spans="1:28" s="455" customFormat="1">
      <c r="A9" s="1585" t="s">
        <v>1786</v>
      </c>
      <c r="B9" s="1536" t="s">
        <v>2122</v>
      </c>
      <c r="C9" s="1540">
        <v>12000000</v>
      </c>
      <c r="D9" s="1540">
        <v>0</v>
      </c>
      <c r="E9" s="1540">
        <v>12000000</v>
      </c>
      <c r="F9" s="1538">
        <v>0.1595</v>
      </c>
      <c r="G9" s="1537">
        <f t="shared" si="0"/>
        <v>159500</v>
      </c>
      <c r="H9" s="1539">
        <v>45820</v>
      </c>
      <c r="I9" s="1539">
        <v>45820</v>
      </c>
      <c r="J9" s="1539">
        <v>45838</v>
      </c>
      <c r="K9" s="1540">
        <f t="shared" si="1"/>
        <v>18</v>
      </c>
      <c r="L9" s="1540"/>
      <c r="M9" s="630"/>
      <c r="N9" s="630">
        <f>+E9*F9/360*K9</f>
        <v>95700</v>
      </c>
      <c r="O9" s="630">
        <f>+E9*F9/360*31</f>
        <v>164816.66666666669</v>
      </c>
      <c r="P9" s="630">
        <f>+O9</f>
        <v>164816.66666666669</v>
      </c>
      <c r="Q9" s="630">
        <f>+P9</f>
        <v>164816.66666666669</v>
      </c>
      <c r="R9" s="630">
        <f>+Q9</f>
        <v>164816.66666666669</v>
      </c>
      <c r="S9" s="630">
        <v>164816.66666666669</v>
      </c>
      <c r="T9" s="768">
        <f>((+(E9*F9)/12)/30)*15</f>
        <v>79750</v>
      </c>
      <c r="U9" s="630"/>
      <c r="V9" s="630"/>
      <c r="W9" s="630"/>
      <c r="X9" s="1552">
        <f t="shared" si="2"/>
        <v>999551.33333333349</v>
      </c>
      <c r="Y9" s="1513">
        <v>45939</v>
      </c>
      <c r="AB9" s="455">
        <f>320-160</f>
        <v>160</v>
      </c>
    </row>
    <row r="10" spans="1:28" s="455" customFormat="1">
      <c r="A10" s="1585" t="s">
        <v>1786</v>
      </c>
      <c r="B10" s="1536" t="s">
        <v>2121</v>
      </c>
      <c r="C10" s="1540">
        <f>11000000</f>
        <v>11000000</v>
      </c>
      <c r="D10" s="1540">
        <v>5000000</v>
      </c>
      <c r="E10" s="1540">
        <f>+C10-D10</f>
        <v>6000000</v>
      </c>
      <c r="F10" s="1538">
        <v>0.19</v>
      </c>
      <c r="G10" s="1537">
        <f t="shared" si="0"/>
        <v>95000</v>
      </c>
      <c r="H10" s="1539">
        <v>45847</v>
      </c>
      <c r="I10" s="1539">
        <v>45854</v>
      </c>
      <c r="J10" s="1539">
        <v>45869</v>
      </c>
      <c r="K10" s="1540">
        <f t="shared" si="1"/>
        <v>15</v>
      </c>
      <c r="L10" s="1540"/>
      <c r="M10" s="630"/>
      <c r="N10" s="630"/>
      <c r="O10" s="630">
        <v>87083.33</v>
      </c>
      <c r="P10" s="630">
        <v>174166.67</v>
      </c>
      <c r="Q10" s="630">
        <v>174166.67</v>
      </c>
      <c r="R10" s="630">
        <f>((11000000*19%)/360)*7+((6000000*19%)/360)*23</f>
        <v>113472.22222222222</v>
      </c>
      <c r="S10" s="630">
        <f>+E10*F10/12</f>
        <v>95000</v>
      </c>
      <c r="T10" s="768">
        <f>((+(E10*F10)/12)/30)*15</f>
        <v>47500</v>
      </c>
      <c r="U10" s="630"/>
      <c r="V10" s="630"/>
      <c r="W10" s="630"/>
      <c r="X10" s="1552">
        <f t="shared" si="2"/>
        <v>691403.89222222229</v>
      </c>
      <c r="Y10" s="1513">
        <v>45923</v>
      </c>
      <c r="AB10" s="455">
        <f>250-85</f>
        <v>165</v>
      </c>
    </row>
    <row r="11" spans="1:28" s="455" customFormat="1" hidden="1">
      <c r="A11" s="1585" t="s">
        <v>1786</v>
      </c>
      <c r="B11" s="1536" t="s">
        <v>2121</v>
      </c>
      <c r="C11" s="1540"/>
      <c r="D11" s="1540"/>
      <c r="E11" s="1540"/>
      <c r="F11" s="1538">
        <v>0.19</v>
      </c>
      <c r="G11" s="1537">
        <f t="shared" si="0"/>
        <v>0</v>
      </c>
      <c r="H11" s="1539">
        <v>45847</v>
      </c>
      <c r="I11" s="1539">
        <v>45937</v>
      </c>
      <c r="J11" s="1539">
        <v>45869</v>
      </c>
      <c r="K11" s="1540">
        <f t="shared" si="1"/>
        <v>-68</v>
      </c>
      <c r="L11" s="1540"/>
      <c r="M11" s="630"/>
      <c r="N11" s="630"/>
      <c r="O11" s="630"/>
      <c r="P11" s="630"/>
      <c r="Q11" s="630"/>
      <c r="R11" s="630">
        <f>((6000000*19%)/360)*23</f>
        <v>72833.333333333328</v>
      </c>
      <c r="U11" s="630"/>
      <c r="V11" s="630"/>
      <c r="W11" s="630"/>
      <c r="X11" s="1552">
        <f t="shared" si="2"/>
        <v>72765.333333333328</v>
      </c>
      <c r="Y11" s="1513">
        <v>45923</v>
      </c>
    </row>
    <row r="12" spans="1:28" s="455" customFormat="1">
      <c r="A12" s="1585" t="s">
        <v>1786</v>
      </c>
      <c r="B12" s="1536" t="s">
        <v>2121</v>
      </c>
      <c r="C12" s="1540">
        <v>2815000</v>
      </c>
      <c r="D12" s="1540"/>
      <c r="E12" s="1540">
        <v>2815000</v>
      </c>
      <c r="F12" s="1538">
        <v>0.19</v>
      </c>
      <c r="G12" s="1537">
        <f t="shared" si="0"/>
        <v>44570.833333333328</v>
      </c>
      <c r="H12" s="1539">
        <v>45847</v>
      </c>
      <c r="I12" s="1539">
        <v>45862</v>
      </c>
      <c r="J12" s="1539">
        <v>45869</v>
      </c>
      <c r="K12" s="1540">
        <f t="shared" si="1"/>
        <v>7</v>
      </c>
      <c r="L12" s="1540"/>
      <c r="M12" s="630"/>
      <c r="N12" s="630"/>
      <c r="O12" s="630">
        <f>+E12*F12/360*K12</f>
        <v>10399.861111111109</v>
      </c>
      <c r="P12" s="630">
        <f>+G12</f>
        <v>44570.833333333328</v>
      </c>
      <c r="Q12" s="630">
        <f>+P12</f>
        <v>44570.833333333328</v>
      </c>
      <c r="R12" s="630">
        <f>+Q12</f>
        <v>44570.833333333328</v>
      </c>
      <c r="S12" s="630">
        <v>44570.833333333328</v>
      </c>
      <c r="T12" s="768">
        <f>((+(E12*F12)/12)/30)*15</f>
        <v>22285.416666666668</v>
      </c>
      <c r="U12" s="630"/>
      <c r="V12" s="630"/>
      <c r="W12" s="630"/>
      <c r="X12" s="1552">
        <f t="shared" si="2"/>
        <v>210975.61111111109</v>
      </c>
      <c r="Y12" s="1513">
        <v>45923</v>
      </c>
    </row>
    <row r="13" spans="1:28" s="455" customFormat="1">
      <c r="A13" s="1535" t="s">
        <v>1786</v>
      </c>
      <c r="B13" s="1536" t="s">
        <v>2121</v>
      </c>
      <c r="C13" s="1540">
        <v>1185000</v>
      </c>
      <c r="D13" s="1540"/>
      <c r="E13" s="1540">
        <v>1185000</v>
      </c>
      <c r="F13" s="1538">
        <v>0.19</v>
      </c>
      <c r="G13" s="1537">
        <f t="shared" si="0"/>
        <v>18762.5</v>
      </c>
      <c r="H13" s="1539">
        <v>45847</v>
      </c>
      <c r="I13" s="1539">
        <v>45862</v>
      </c>
      <c r="J13" s="1539">
        <v>45869</v>
      </c>
      <c r="K13" s="1540">
        <f t="shared" si="1"/>
        <v>7</v>
      </c>
      <c r="L13" s="1540"/>
      <c r="M13" s="630"/>
      <c r="N13" s="630"/>
      <c r="O13" s="630">
        <f>+E13*F13/360*K13</f>
        <v>4377.9166666666661</v>
      </c>
      <c r="P13" s="630">
        <f>+G13</f>
        <v>18762.5</v>
      </c>
      <c r="Q13" s="630">
        <f>+P13</f>
        <v>18762.5</v>
      </c>
      <c r="R13" s="630">
        <f>+Q13</f>
        <v>18762.5</v>
      </c>
      <c r="S13" s="630">
        <v>18762.5</v>
      </c>
      <c r="T13" s="768">
        <f>((+(E13*F13)/12)/30)*15</f>
        <v>9381.25</v>
      </c>
      <c r="U13" s="630"/>
      <c r="V13" s="630"/>
      <c r="W13" s="630"/>
      <c r="X13" s="1552">
        <f t="shared" si="2"/>
        <v>88816.166666666657</v>
      </c>
      <c r="Y13" s="1513"/>
    </row>
    <row r="14" spans="1:28" s="1472" customFormat="1" ht="18" customHeight="1" thickBot="1">
      <c r="A14" s="1580" t="s">
        <v>1790</v>
      </c>
      <c r="B14" s="1581"/>
      <c r="C14" s="1582">
        <f>SUM(C7:C13)</f>
        <v>49200000</v>
      </c>
      <c r="D14" s="1582">
        <f t="shared" ref="D14:E14" si="3">SUM(D7:D13)</f>
        <v>5000000</v>
      </c>
      <c r="E14" s="1582">
        <f t="shared" si="3"/>
        <v>44200000</v>
      </c>
      <c r="F14" s="1583"/>
      <c r="G14" s="1584">
        <f>SUM(G7:G13)</f>
        <v>612908.33333333337</v>
      </c>
      <c r="H14" s="1581"/>
      <c r="I14" s="1581"/>
      <c r="J14" s="1581"/>
      <c r="K14" s="1581"/>
      <c r="L14" s="1582">
        <f t="shared" ref="L14:T14" si="4">SUM(L7:L13)</f>
        <v>106333.33333333333</v>
      </c>
      <c r="M14" s="1582">
        <f t="shared" si="4"/>
        <v>250415</v>
      </c>
      <c r="N14" s="1582">
        <f t="shared" si="4"/>
        <v>390775</v>
      </c>
      <c r="O14" s="1582">
        <f t="shared" si="4"/>
        <v>561752.77444444445</v>
      </c>
      <c r="P14" s="1582">
        <f t="shared" si="4"/>
        <v>697391.67</v>
      </c>
      <c r="Q14" s="1582">
        <f t="shared" si="4"/>
        <v>697391.67</v>
      </c>
      <c r="R14" s="1582">
        <f t="shared" si="4"/>
        <v>709530.55555555562</v>
      </c>
      <c r="S14" s="1582">
        <f t="shared" si="4"/>
        <v>618225.00000000012</v>
      </c>
      <c r="T14" s="1582">
        <f t="shared" si="4"/>
        <v>274554.16666666669</v>
      </c>
      <c r="U14" s="1582">
        <f t="shared" ref="U14" si="5">SUM(U7:U13)</f>
        <v>0</v>
      </c>
      <c r="V14" s="1582">
        <f t="shared" ref="V14" si="6">SUM(V7:V13)</f>
        <v>0</v>
      </c>
      <c r="W14" s="1582">
        <f t="shared" ref="W14" si="7">SUM(W7:W13)</f>
        <v>0</v>
      </c>
      <c r="X14" s="1551">
        <f>SUM(X7:X13)</f>
        <v>4306380.1700000009</v>
      </c>
    </row>
    <row r="15" spans="1:28" s="455" customFormat="1">
      <c r="A15" s="1535" t="s">
        <v>2123</v>
      </c>
      <c r="B15" s="1536"/>
      <c r="C15" s="1537">
        <v>25000000</v>
      </c>
      <c r="D15" s="1537"/>
      <c r="E15" s="1537">
        <f>+C15-D15</f>
        <v>25000000</v>
      </c>
      <c r="F15" s="1538">
        <v>0.18</v>
      </c>
      <c r="G15" s="1537"/>
      <c r="H15" s="1539"/>
      <c r="I15" s="1539">
        <v>45905</v>
      </c>
      <c r="J15" s="1539"/>
      <c r="K15" s="1540"/>
      <c r="L15" s="1540"/>
      <c r="M15" s="630"/>
      <c r="N15" s="630"/>
      <c r="O15" s="630"/>
      <c r="P15" s="630"/>
      <c r="Q15" s="630">
        <f>(($C15*$F15)/360)*25</f>
        <v>312500</v>
      </c>
      <c r="R15" s="630">
        <f>(($C15*$F15)/360)*30</f>
        <v>375000</v>
      </c>
      <c r="S15" s="630">
        <f t="shared" ref="S15:W18" si="8">(($C15*$F15)/360)*30</f>
        <v>375000</v>
      </c>
      <c r="T15" s="630">
        <f t="shared" si="8"/>
        <v>375000</v>
      </c>
      <c r="U15" s="630">
        <f t="shared" si="8"/>
        <v>375000</v>
      </c>
      <c r="V15" s="630">
        <f t="shared" si="8"/>
        <v>375000</v>
      </c>
      <c r="W15" s="630">
        <f t="shared" si="8"/>
        <v>375000</v>
      </c>
      <c r="X15" s="1552">
        <f>SUM(S15:W15)</f>
        <v>1875000</v>
      </c>
      <c r="Y15" s="1513"/>
    </row>
    <row r="16" spans="1:28" s="455" customFormat="1">
      <c r="A16" s="1535" t="s">
        <v>2123</v>
      </c>
      <c r="B16" s="1536"/>
      <c r="C16" s="1537">
        <v>30184227.399999999</v>
      </c>
      <c r="D16" s="1537"/>
      <c r="E16" s="1537">
        <f t="shared" ref="E16:E18" si="9">+C16-D16</f>
        <v>30184227.399999999</v>
      </c>
      <c r="F16" s="1538">
        <v>0.18</v>
      </c>
      <c r="G16" s="1537"/>
      <c r="H16" s="1539"/>
      <c r="I16" s="1539">
        <v>45926</v>
      </c>
      <c r="J16" s="1539"/>
      <c r="K16" s="1540"/>
      <c r="L16" s="1540"/>
      <c r="M16" s="630"/>
      <c r="N16" s="630"/>
      <c r="O16" s="630"/>
      <c r="P16" s="630"/>
      <c r="Q16" s="630">
        <f>(($C16*$F16)/360)*4</f>
        <v>60368.454799999992</v>
      </c>
      <c r="R16" s="630">
        <f>(($C16*$F16)/360)*30</f>
        <v>452763.41099999996</v>
      </c>
      <c r="S16" s="630">
        <f t="shared" si="8"/>
        <v>452763.41099999996</v>
      </c>
      <c r="T16" s="630">
        <f t="shared" si="8"/>
        <v>452763.41099999996</v>
      </c>
      <c r="U16" s="630">
        <f t="shared" si="8"/>
        <v>452763.41099999996</v>
      </c>
      <c r="V16" s="630">
        <f t="shared" si="8"/>
        <v>452763.41099999996</v>
      </c>
      <c r="W16" s="630">
        <f t="shared" si="8"/>
        <v>452763.41099999996</v>
      </c>
      <c r="X16" s="1552">
        <f>SUM(S16:W16)</f>
        <v>2263817.0549999997</v>
      </c>
      <c r="Y16" s="1513"/>
    </row>
    <row r="17" spans="1:25" s="455" customFormat="1">
      <c r="A17" s="1535" t="s">
        <v>2123</v>
      </c>
      <c r="B17" s="1541"/>
      <c r="C17" s="1537">
        <v>22000000</v>
      </c>
      <c r="D17" s="1537"/>
      <c r="E17" s="1537">
        <f t="shared" si="9"/>
        <v>22000000</v>
      </c>
      <c r="F17" s="1538">
        <v>0.18</v>
      </c>
      <c r="G17" s="1537"/>
      <c r="H17" s="1539"/>
      <c r="I17" s="1539">
        <v>45966</v>
      </c>
      <c r="J17" s="1539"/>
      <c r="K17" s="1540"/>
      <c r="L17" s="1540"/>
      <c r="M17" s="630"/>
      <c r="N17" s="630"/>
      <c r="O17" s="630"/>
      <c r="P17" s="630"/>
      <c r="Q17" s="630"/>
      <c r="R17" s="630"/>
      <c r="S17" s="630">
        <f>(($C17*$F17)/360)*25</f>
        <v>275000</v>
      </c>
      <c r="T17" s="630">
        <f t="shared" si="8"/>
        <v>330000</v>
      </c>
      <c r="U17" s="630">
        <f t="shared" si="8"/>
        <v>330000</v>
      </c>
      <c r="V17" s="630">
        <f t="shared" si="8"/>
        <v>330000</v>
      </c>
      <c r="W17" s="630">
        <f t="shared" si="8"/>
        <v>330000</v>
      </c>
      <c r="X17" s="1552">
        <f>SUM(S17:W17)</f>
        <v>1595000</v>
      </c>
      <c r="Y17" s="1513"/>
    </row>
    <row r="18" spans="1:25" s="455" customFormat="1">
      <c r="A18" s="1535" t="s">
        <v>2123</v>
      </c>
      <c r="B18" s="1541"/>
      <c r="C18" s="1537">
        <v>22815773</v>
      </c>
      <c r="D18" s="1537"/>
      <c r="E18" s="1537">
        <f t="shared" si="9"/>
        <v>22815773</v>
      </c>
      <c r="F18" s="1538">
        <v>0.18</v>
      </c>
      <c r="G18" s="1537"/>
      <c r="H18" s="1539"/>
      <c r="I18" s="1539">
        <v>45989</v>
      </c>
      <c r="J18" s="1539"/>
      <c r="K18" s="1540"/>
      <c r="L18" s="1540"/>
      <c r="M18" s="630"/>
      <c r="N18" s="630"/>
      <c r="O18" s="630"/>
      <c r="P18" s="630"/>
      <c r="Q18" s="630"/>
      <c r="R18" s="630"/>
      <c r="S18" s="630">
        <f>(($C18*$F18)/360)*2</f>
        <v>22815.772999999997</v>
      </c>
      <c r="T18" s="630">
        <f t="shared" si="8"/>
        <v>342236.59499999997</v>
      </c>
      <c r="U18" s="630">
        <f t="shared" si="8"/>
        <v>342236.59499999997</v>
      </c>
      <c r="V18" s="630">
        <f t="shared" si="8"/>
        <v>342236.59499999997</v>
      </c>
      <c r="W18" s="630">
        <f t="shared" si="8"/>
        <v>342236.59499999997</v>
      </c>
      <c r="X18" s="1552">
        <f>SUM(S18:W18)</f>
        <v>1391762.1529999999</v>
      </c>
      <c r="Y18" s="1513"/>
    </row>
    <row r="19" spans="1:25" s="1472" customFormat="1" ht="18.600000000000001" customHeight="1">
      <c r="A19" s="1556" t="s">
        <v>2124</v>
      </c>
      <c r="B19" s="1557"/>
      <c r="C19" s="1558">
        <f>SUM(C15:C18)</f>
        <v>100000000.40000001</v>
      </c>
      <c r="D19" s="1558">
        <f t="shared" ref="D19:E19" si="10">SUM(D15:D18)</f>
        <v>0</v>
      </c>
      <c r="E19" s="1558">
        <f t="shared" si="10"/>
        <v>100000000.40000001</v>
      </c>
      <c r="F19" s="1558"/>
      <c r="G19" s="1558">
        <f t="shared" ref="G19:W19" si="11">SUM(G15:G18)</f>
        <v>0</v>
      </c>
      <c r="H19" s="1558">
        <f t="shared" si="11"/>
        <v>0</v>
      </c>
      <c r="I19" s="1558">
        <f t="shared" si="11"/>
        <v>183786</v>
      </c>
      <c r="J19" s="1558">
        <f t="shared" si="11"/>
        <v>0</v>
      </c>
      <c r="K19" s="1558">
        <f t="shared" si="11"/>
        <v>0</v>
      </c>
      <c r="L19" s="1550">
        <f t="shared" si="11"/>
        <v>0</v>
      </c>
      <c r="M19" s="1550">
        <f t="shared" si="11"/>
        <v>0</v>
      </c>
      <c r="N19" s="1550">
        <f t="shared" si="11"/>
        <v>0</v>
      </c>
      <c r="O19" s="1550">
        <f t="shared" si="11"/>
        <v>0</v>
      </c>
      <c r="P19" s="1550">
        <f t="shared" si="11"/>
        <v>0</v>
      </c>
      <c r="Q19" s="1550">
        <f t="shared" si="11"/>
        <v>372868.45480000001</v>
      </c>
      <c r="R19" s="1550">
        <f t="shared" si="11"/>
        <v>827763.41099999996</v>
      </c>
      <c r="S19" s="1550">
        <f t="shared" si="11"/>
        <v>1125579.1839999999</v>
      </c>
      <c r="T19" s="1550">
        <f t="shared" si="11"/>
        <v>1500000.0059999998</v>
      </c>
      <c r="U19" s="1550">
        <f t="shared" si="11"/>
        <v>1500000.0059999998</v>
      </c>
      <c r="V19" s="1550">
        <f t="shared" si="11"/>
        <v>1500000.0059999998</v>
      </c>
      <c r="W19" s="1550">
        <f t="shared" si="11"/>
        <v>1500000.0059999998</v>
      </c>
      <c r="X19" s="1551">
        <f>SUM(X15:X18)</f>
        <v>7125579.2079999996</v>
      </c>
    </row>
    <row r="20" spans="1:25" s="455" customFormat="1">
      <c r="A20" s="1542"/>
      <c r="F20" s="1543"/>
      <c r="N20" s="1544"/>
      <c r="X20" s="1553"/>
    </row>
    <row r="21" spans="1:25" s="1472" customFormat="1" ht="27.6" customHeight="1" thickBot="1">
      <c r="A21" s="1560" t="s">
        <v>2125</v>
      </c>
      <c r="B21" s="1561"/>
      <c r="C21" s="1562">
        <f>+C14+C19</f>
        <v>149200000.40000001</v>
      </c>
      <c r="D21" s="1562"/>
      <c r="E21" s="1562"/>
      <c r="F21" s="1562">
        <f t="shared" ref="F21:X21" si="12">+F14+F19</f>
        <v>0</v>
      </c>
      <c r="G21" s="1562">
        <f t="shared" si="12"/>
        <v>612908.33333333337</v>
      </c>
      <c r="H21" s="1562">
        <f t="shared" si="12"/>
        <v>0</v>
      </c>
      <c r="I21" s="1562">
        <f t="shared" si="12"/>
        <v>183786</v>
      </c>
      <c r="J21" s="1562">
        <f t="shared" si="12"/>
        <v>0</v>
      </c>
      <c r="K21" s="1562">
        <f t="shared" si="12"/>
        <v>0</v>
      </c>
      <c r="L21" s="1563">
        <f t="shared" si="12"/>
        <v>106333.33333333333</v>
      </c>
      <c r="M21" s="1563">
        <f t="shared" si="12"/>
        <v>250415</v>
      </c>
      <c r="N21" s="1563">
        <f t="shared" si="12"/>
        <v>390775</v>
      </c>
      <c r="O21" s="1563">
        <f t="shared" si="12"/>
        <v>561752.77444444445</v>
      </c>
      <c r="P21" s="1563">
        <f t="shared" si="12"/>
        <v>697391.67</v>
      </c>
      <c r="Q21" s="1563">
        <f t="shared" si="12"/>
        <v>1070260.1248000001</v>
      </c>
      <c r="R21" s="1563">
        <f t="shared" si="12"/>
        <v>1537293.9665555556</v>
      </c>
      <c r="S21" s="1563">
        <f t="shared" si="12"/>
        <v>1743804.1839999999</v>
      </c>
      <c r="T21" s="1563">
        <f t="shared" si="12"/>
        <v>1774554.1726666666</v>
      </c>
      <c r="U21" s="1563">
        <f t="shared" si="12"/>
        <v>1500000.0059999998</v>
      </c>
      <c r="V21" s="1563">
        <f t="shared" si="12"/>
        <v>1500000.0059999998</v>
      </c>
      <c r="W21" s="1563">
        <f t="shared" si="12"/>
        <v>1500000.0059999998</v>
      </c>
      <c r="X21" s="1564">
        <f t="shared" si="12"/>
        <v>11431959.378</v>
      </c>
    </row>
    <row r="22" spans="1:25">
      <c r="C22" s="368">
        <f>+C21-C17-C18</f>
        <v>104384227.40000001</v>
      </c>
      <c r="D22" s="368"/>
      <c r="E22" s="368"/>
    </row>
  </sheetData>
  <pageMargins left="0.7" right="0.7" top="0.75" bottom="0.75" header="0.3" footer="0.3"/>
  <pageSetup orientation="portrait" r:id="rId1"/>
  <ignoredErrors>
    <ignoredError sqref="T8" formula="1"/>
    <ignoredError sqref="U14:W14" formulaRange="1"/>
  </ignoredError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A7D3C-CED4-4F82-B4A6-F5332C9E3350}">
  <dimension ref="A1:G13"/>
  <sheetViews>
    <sheetView workbookViewId="0">
      <selection activeCell="G11" sqref="G11"/>
    </sheetView>
  </sheetViews>
  <sheetFormatPr baseColWidth="10" defaultColWidth="11.44140625" defaultRowHeight="14.4"/>
  <cols>
    <col min="1" max="1" width="26" bestFit="1" customWidth="1"/>
    <col min="2" max="2" width="11" bestFit="1" customWidth="1"/>
    <col min="3" max="3" width="14" style="370" bestFit="1" customWidth="1"/>
    <col min="4" max="4" width="14.5546875" style="370" customWidth="1"/>
    <col min="5" max="5" width="32.5546875" customWidth="1"/>
    <col min="6" max="6" width="20" bestFit="1" customWidth="1"/>
    <col min="7" max="7" width="28.6640625" bestFit="1" customWidth="1"/>
  </cols>
  <sheetData>
    <row r="1" spans="1:7">
      <c r="A1" t="s">
        <v>707</v>
      </c>
      <c r="B1" t="s">
        <v>708</v>
      </c>
      <c r="C1" s="370" t="s">
        <v>164</v>
      </c>
      <c r="D1" s="370" t="s">
        <v>709</v>
      </c>
      <c r="E1" t="s">
        <v>817</v>
      </c>
      <c r="F1" t="s">
        <v>710</v>
      </c>
      <c r="G1" t="s">
        <v>852</v>
      </c>
    </row>
    <row r="2" spans="1:7">
      <c r="A2" t="s">
        <v>369</v>
      </c>
      <c r="B2" s="193">
        <v>45266</v>
      </c>
      <c r="C2" s="370">
        <v>273000</v>
      </c>
      <c r="D2" s="370">
        <v>273000</v>
      </c>
      <c r="E2" t="s">
        <v>911</v>
      </c>
      <c r="F2" t="s">
        <v>853</v>
      </c>
      <c r="G2" t="s">
        <v>853</v>
      </c>
    </row>
    <row r="3" spans="1:7">
      <c r="B3" s="193"/>
      <c r="C3" s="432">
        <f>SUM(C2:C2)</f>
        <v>273000</v>
      </c>
      <c r="D3" s="432">
        <f>SUM(D2:D2)</f>
        <v>273000</v>
      </c>
    </row>
    <row r="4" spans="1:7">
      <c r="A4" t="s">
        <v>1084</v>
      </c>
      <c r="B4" s="193">
        <v>45805</v>
      </c>
      <c r="C4" s="370">
        <v>5000000</v>
      </c>
      <c r="D4" s="370">
        <v>5000000</v>
      </c>
      <c r="E4" t="s">
        <v>1189</v>
      </c>
      <c r="F4" t="s">
        <v>1024</v>
      </c>
      <c r="G4" t="s">
        <v>1025</v>
      </c>
    </row>
    <row r="5" spans="1:7">
      <c r="A5" t="s">
        <v>1084</v>
      </c>
      <c r="B5" s="193">
        <v>45826</v>
      </c>
      <c r="C5" s="370">
        <v>5000000</v>
      </c>
      <c r="D5" s="370">
        <v>5000000</v>
      </c>
      <c r="E5" t="s">
        <v>1189</v>
      </c>
      <c r="F5" t="s">
        <v>1024</v>
      </c>
      <c r="G5" t="s">
        <v>1025</v>
      </c>
    </row>
    <row r="6" spans="1:7">
      <c r="A6" t="s">
        <v>1084</v>
      </c>
      <c r="B6" s="193">
        <v>45911</v>
      </c>
      <c r="C6" s="370">
        <v>2000000</v>
      </c>
      <c r="D6" s="370">
        <v>2000000</v>
      </c>
      <c r="E6" t="s">
        <v>1189</v>
      </c>
      <c r="F6" t="s">
        <v>1024</v>
      </c>
      <c r="G6" t="s">
        <v>1025</v>
      </c>
    </row>
    <row r="7" spans="1:7">
      <c r="A7" t="s">
        <v>1084</v>
      </c>
      <c r="B7" s="193">
        <v>45932</v>
      </c>
      <c r="C7" s="370">
        <v>1000000</v>
      </c>
      <c r="D7" s="370">
        <v>1000000</v>
      </c>
      <c r="E7" t="s">
        <v>1189</v>
      </c>
      <c r="F7" t="s">
        <v>1024</v>
      </c>
      <c r="G7" t="s">
        <v>1025</v>
      </c>
    </row>
    <row r="8" spans="1:7">
      <c r="B8" s="193"/>
      <c r="C8" s="432">
        <f>SUM(C4:C7)</f>
        <v>13000000</v>
      </c>
      <c r="D8" s="432">
        <f>SUM(D4:D7)</f>
        <v>13000000</v>
      </c>
    </row>
    <row r="9" spans="1:7">
      <c r="A9" t="s">
        <v>1821</v>
      </c>
      <c r="B9" s="193">
        <v>45936</v>
      </c>
      <c r="C9" s="370">
        <v>6671.88</v>
      </c>
      <c r="D9" s="370">
        <v>6671.88</v>
      </c>
      <c r="E9" t="s">
        <v>2018</v>
      </c>
      <c r="F9" t="s">
        <v>1822</v>
      </c>
      <c r="G9" t="s">
        <v>1660</v>
      </c>
    </row>
    <row r="10" spans="1:7">
      <c r="B10" s="193"/>
      <c r="C10" s="432">
        <f>SUM(C9:C9)</f>
        <v>6671.88</v>
      </c>
      <c r="D10" s="432">
        <f>SUM(D9:D9)</f>
        <v>6671.88</v>
      </c>
    </row>
    <row r="11" spans="1:7">
      <c r="A11" t="s">
        <v>2129</v>
      </c>
      <c r="B11" s="193">
        <v>45987</v>
      </c>
      <c r="C11" s="370">
        <v>10245.73</v>
      </c>
      <c r="D11" s="370">
        <v>10245.73</v>
      </c>
      <c r="E11" t="s">
        <v>2130</v>
      </c>
      <c r="F11" t="s">
        <v>2131</v>
      </c>
      <c r="G11" t="s">
        <v>2074</v>
      </c>
    </row>
    <row r="12" spans="1:7">
      <c r="B12" s="193"/>
      <c r="C12" s="432">
        <f>SUM(C11:C11)</f>
        <v>10245.73</v>
      </c>
      <c r="D12" s="432">
        <f>SUM(D11:D11)</f>
        <v>10245.73</v>
      </c>
    </row>
    <row r="13" spans="1:7">
      <c r="C13" s="1178">
        <f>+C3+C8+C10+C12</f>
        <v>13289917.610000001</v>
      </c>
      <c r="D13" s="1178">
        <f>+D3+D8+D10+D12</f>
        <v>13289917.610000001</v>
      </c>
    </row>
  </sheetData>
  <autoFilter ref="A1:G1" xr:uid="{8F833D8D-E3A2-49C0-BA28-FAE8897AAB0B}">
    <sortState xmlns:xlrd2="http://schemas.microsoft.com/office/spreadsheetml/2017/richdata2" ref="A2:G11">
      <sortCondition ref="G1"/>
    </sortState>
  </autoFilter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9DA45-6060-4A21-B216-A8DC94A60845}">
  <dimension ref="A1:D120"/>
  <sheetViews>
    <sheetView showGridLines="0" zoomScaleNormal="100" workbookViewId="0">
      <selection activeCell="G116" sqref="G116"/>
    </sheetView>
  </sheetViews>
  <sheetFormatPr baseColWidth="10" defaultColWidth="8" defaultRowHeight="11.4"/>
  <cols>
    <col min="1" max="1" width="60.5546875" style="1440" customWidth="1"/>
    <col min="2" max="2" width="12.6640625" style="1440" customWidth="1"/>
    <col min="3" max="3" width="16.5546875" style="1440" bestFit="1" customWidth="1"/>
    <col min="4" max="4" width="11.88671875" style="1440" bestFit="1" customWidth="1"/>
    <col min="5" max="5" width="9.33203125" style="1440" bestFit="1" customWidth="1"/>
    <col min="6" max="6" width="10.6640625" style="1440" bestFit="1" customWidth="1"/>
    <col min="7" max="16384" width="8" style="1440"/>
  </cols>
  <sheetData>
    <row r="1" spans="1:4" s="1437" customFormat="1" ht="16.649999999999999" customHeight="1">
      <c r="A1" s="1436" t="s">
        <v>771</v>
      </c>
      <c r="B1" s="1436"/>
      <c r="C1" s="1436"/>
      <c r="D1" s="1436"/>
    </row>
    <row r="2" spans="1:4" s="1439" customFormat="1" ht="14.4" customHeight="1">
      <c r="A2" s="1438" t="s">
        <v>236</v>
      </c>
      <c r="B2" s="1438"/>
      <c r="C2" s="1438"/>
      <c r="D2" s="1438"/>
    </row>
    <row r="3" spans="1:4" s="1439" customFormat="1" ht="14.4" customHeight="1">
      <c r="A3" s="1438" t="s">
        <v>2019</v>
      </c>
      <c r="B3" s="1438"/>
      <c r="C3" s="1438"/>
      <c r="D3" s="1438"/>
    </row>
    <row r="4" spans="1:4" s="1439" customFormat="1" ht="14.4" customHeight="1">
      <c r="A4" s="1438" t="s">
        <v>724</v>
      </c>
      <c r="B4" s="1438"/>
      <c r="C4" s="1438"/>
      <c r="D4" s="1438"/>
    </row>
    <row r="5" spans="1:4" ht="13.35" customHeight="1"/>
    <row r="6" spans="1:4" s="1444" customFormat="1" ht="12.15" customHeight="1">
      <c r="A6" s="1441" t="s">
        <v>690</v>
      </c>
      <c r="B6" s="1441" t="s">
        <v>689</v>
      </c>
      <c r="C6" s="1441" t="s">
        <v>773</v>
      </c>
      <c r="D6" s="1442" t="s">
        <v>164</v>
      </c>
    </row>
    <row r="7" spans="1:4" ht="13.35" customHeight="1"/>
    <row r="8" spans="1:4" s="1444" customFormat="1" ht="12.15" customHeight="1">
      <c r="A8" s="1445" t="s">
        <v>2132</v>
      </c>
      <c r="B8" s="1445"/>
      <c r="C8" s="1445"/>
      <c r="D8" s="1445"/>
    </row>
    <row r="9" spans="1:4" ht="10.95" customHeight="1">
      <c r="A9" s="1446" t="s">
        <v>301</v>
      </c>
      <c r="B9" s="1447">
        <v>45888</v>
      </c>
      <c r="C9" s="1446" t="s">
        <v>1629</v>
      </c>
      <c r="D9" s="1448">
        <v>1427678.42</v>
      </c>
    </row>
    <row r="10" spans="1:4" ht="10.95" customHeight="1">
      <c r="A10" s="1450" t="s">
        <v>373</v>
      </c>
      <c r="B10" s="1451">
        <v>45939</v>
      </c>
      <c r="C10" s="1450" t="s">
        <v>2020</v>
      </c>
      <c r="D10" s="1452">
        <v>104169.15</v>
      </c>
    </row>
    <row r="11" spans="1:4" ht="10.95" customHeight="1">
      <c r="A11" s="1454" t="s">
        <v>2133</v>
      </c>
      <c r="B11" s="1454"/>
      <c r="C11" s="1454"/>
      <c r="D11" s="1455">
        <f>SUM(D9:D10)</f>
        <v>1531847.5699999998</v>
      </c>
    </row>
    <row r="12" spans="1:4" ht="13.35" customHeight="1"/>
    <row r="13" spans="1:4" s="1444" customFormat="1" ht="12.15" customHeight="1">
      <c r="A13" s="1445" t="s">
        <v>1030</v>
      </c>
      <c r="B13" s="1445"/>
      <c r="C13" s="1445"/>
      <c r="D13" s="1445"/>
    </row>
    <row r="14" spans="1:4" ht="10.95" customHeight="1">
      <c r="A14" s="1446" t="s">
        <v>317</v>
      </c>
      <c r="B14" s="1447">
        <v>45908</v>
      </c>
      <c r="C14" s="1446" t="s">
        <v>1830</v>
      </c>
      <c r="D14" s="1448">
        <v>342033.18</v>
      </c>
    </row>
    <row r="15" spans="1:4" ht="10.95" customHeight="1">
      <c r="A15" s="1450" t="s">
        <v>778</v>
      </c>
      <c r="B15" s="1451">
        <v>45940</v>
      </c>
      <c r="C15" s="1450" t="s">
        <v>2134</v>
      </c>
      <c r="D15" s="1452">
        <v>102302.41</v>
      </c>
    </row>
    <row r="16" spans="1:4" ht="10.95" customHeight="1">
      <c r="A16" s="1450" t="s">
        <v>778</v>
      </c>
      <c r="B16" s="1451">
        <v>45951</v>
      </c>
      <c r="C16" s="1450" t="s">
        <v>2135</v>
      </c>
      <c r="D16" s="1452">
        <v>99569.07</v>
      </c>
    </row>
    <row r="17" spans="1:4" ht="10.95" customHeight="1">
      <c r="A17" s="1450" t="s">
        <v>778</v>
      </c>
      <c r="B17" s="1451">
        <v>45982</v>
      </c>
      <c r="C17" s="1450" t="s">
        <v>2136</v>
      </c>
      <c r="D17" s="1452">
        <v>306466.14</v>
      </c>
    </row>
    <row r="18" spans="1:4" ht="10.95" customHeight="1">
      <c r="A18" s="1446" t="s">
        <v>715</v>
      </c>
      <c r="B18" s="1447">
        <v>45973</v>
      </c>
      <c r="C18" s="1446" t="s">
        <v>2137</v>
      </c>
      <c r="D18" s="1448">
        <v>633670.6</v>
      </c>
    </row>
    <row r="19" spans="1:4" ht="10.95" customHeight="1">
      <c r="A19" s="1454" t="s">
        <v>1831</v>
      </c>
      <c r="B19" s="1454"/>
      <c r="C19" s="1454"/>
      <c r="D19" s="1455">
        <f>SUM(D14:D18)</f>
        <v>1484041.4</v>
      </c>
    </row>
    <row r="20" spans="1:4" ht="13.35" customHeight="1"/>
    <row r="21" spans="1:4" s="1444" customFormat="1" ht="12.15" customHeight="1">
      <c r="A21" s="1445" t="s">
        <v>1036</v>
      </c>
      <c r="B21" s="1445"/>
      <c r="C21" s="1445"/>
      <c r="D21" s="1445"/>
    </row>
    <row r="22" spans="1:4" ht="10.95" customHeight="1">
      <c r="A22" s="1446" t="s">
        <v>715</v>
      </c>
      <c r="B22" s="1447">
        <v>45940</v>
      </c>
      <c r="C22" s="1446" t="s">
        <v>1930</v>
      </c>
      <c r="D22" s="1448">
        <v>860000</v>
      </c>
    </row>
    <row r="23" spans="1:4" ht="10.95" customHeight="1">
      <c r="A23" s="1450" t="s">
        <v>715</v>
      </c>
      <c r="B23" s="1451">
        <v>45968</v>
      </c>
      <c r="C23" s="1450" t="s">
        <v>2138</v>
      </c>
      <c r="D23" s="1452">
        <v>2360000</v>
      </c>
    </row>
    <row r="24" spans="1:4" ht="10.95" customHeight="1">
      <c r="A24" s="1446" t="s">
        <v>715</v>
      </c>
      <c r="B24" s="1447">
        <v>45972</v>
      </c>
      <c r="C24" s="1446" t="s">
        <v>2139</v>
      </c>
      <c r="D24" s="1448">
        <v>114545.60000000001</v>
      </c>
    </row>
    <row r="25" spans="1:4" ht="10.95" customHeight="1">
      <c r="A25" s="1446" t="s">
        <v>715</v>
      </c>
      <c r="B25" s="1447">
        <v>45973</v>
      </c>
      <c r="C25" s="1446" t="s">
        <v>2137</v>
      </c>
      <c r="D25" s="1448">
        <v>83566.14</v>
      </c>
    </row>
    <row r="26" spans="1:4" ht="10.95" customHeight="1">
      <c r="A26" s="1446" t="s">
        <v>715</v>
      </c>
      <c r="B26" s="1447">
        <v>45978</v>
      </c>
      <c r="C26" s="1446" t="s">
        <v>2140</v>
      </c>
      <c r="D26" s="1448">
        <v>54928.3</v>
      </c>
    </row>
    <row r="27" spans="1:4" ht="10.199999999999999" customHeight="1">
      <c r="A27" s="1454" t="s">
        <v>1833</v>
      </c>
      <c r="B27" s="1454"/>
      <c r="C27" s="1454"/>
      <c r="D27" s="1455">
        <f>SUM(D22:D26)</f>
        <v>3473040.04</v>
      </c>
    </row>
    <row r="28" spans="1:4" ht="13.35" customHeight="1"/>
    <row r="29" spans="1:4" ht="13.35" customHeight="1">
      <c r="A29" s="1445" t="s">
        <v>1799</v>
      </c>
      <c r="B29" s="1445"/>
      <c r="C29" s="1445"/>
      <c r="D29" s="1445"/>
    </row>
    <row r="30" spans="1:4" ht="13.35" customHeight="1">
      <c r="A30" s="1446" t="s">
        <v>715</v>
      </c>
      <c r="B30" s="1447">
        <v>45978</v>
      </c>
      <c r="C30" s="1446" t="s">
        <v>2140</v>
      </c>
      <c r="D30" s="1448">
        <v>191502.06</v>
      </c>
    </row>
    <row r="31" spans="1:4" ht="13.35" customHeight="1">
      <c r="A31" s="1454" t="s">
        <v>2141</v>
      </c>
      <c r="B31" s="1454"/>
      <c r="C31" s="1454"/>
      <c r="D31" s="1455">
        <f>SUM(D30:D30)</f>
        <v>191502.06</v>
      </c>
    </row>
    <row r="33" spans="1:4" ht="13.35" customHeight="1">
      <c r="A33" s="1445" t="s">
        <v>1800</v>
      </c>
      <c r="B33" s="1445"/>
      <c r="C33" s="1445"/>
      <c r="D33" s="1445"/>
    </row>
    <row r="34" spans="1:4" ht="13.35" customHeight="1">
      <c r="A34" s="1446" t="s">
        <v>715</v>
      </c>
      <c r="B34" s="1447">
        <v>45973</v>
      </c>
      <c r="C34" s="1446" t="s">
        <v>2137</v>
      </c>
      <c r="D34" s="1448">
        <v>21417</v>
      </c>
    </row>
    <row r="35" spans="1:4" ht="13.35" customHeight="1">
      <c r="A35" s="1446" t="s">
        <v>715</v>
      </c>
      <c r="B35" s="1447">
        <v>45978</v>
      </c>
      <c r="C35" s="1446" t="s">
        <v>2140</v>
      </c>
      <c r="D35" s="1448">
        <v>31152</v>
      </c>
    </row>
    <row r="36" spans="1:4" ht="13.35" customHeight="1">
      <c r="A36" s="1454" t="s">
        <v>2142</v>
      </c>
      <c r="B36" s="1454"/>
      <c r="C36" s="1454"/>
      <c r="D36" s="1455">
        <f>SUM(D34:D35)</f>
        <v>52569</v>
      </c>
    </row>
    <row r="37" spans="1:4" ht="13.35" customHeight="1">
      <c r="A37" s="1458"/>
      <c r="B37" s="1458"/>
      <c r="C37" s="1458"/>
      <c r="D37" s="1459"/>
    </row>
    <row r="38" spans="1:4" s="1444" customFormat="1" ht="12.15" customHeight="1">
      <c r="A38" s="1445" t="s">
        <v>1308</v>
      </c>
      <c r="B38" s="1445"/>
      <c r="C38" s="1445"/>
      <c r="D38" s="1445"/>
    </row>
    <row r="39" spans="1:4" ht="10.95" customHeight="1">
      <c r="A39" s="1446" t="s">
        <v>1045</v>
      </c>
      <c r="B39" s="1447">
        <v>45961</v>
      </c>
      <c r="C39" s="1446" t="s">
        <v>2021</v>
      </c>
      <c r="D39" s="1448">
        <v>92700.800000000003</v>
      </c>
    </row>
    <row r="40" spans="1:4" ht="10.95" customHeight="1">
      <c r="A40" s="1450" t="s">
        <v>1045</v>
      </c>
      <c r="B40" s="1451">
        <v>45991</v>
      </c>
      <c r="C40" s="1450" t="s">
        <v>2143</v>
      </c>
      <c r="D40" s="1452">
        <v>94400</v>
      </c>
    </row>
    <row r="41" spans="1:4" ht="10.95" customHeight="1">
      <c r="A41" s="1454" t="s">
        <v>1835</v>
      </c>
      <c r="B41" s="1454"/>
      <c r="C41" s="1454"/>
      <c r="D41" s="1455">
        <f>SUM(D39:D40)</f>
        <v>187100.79999999999</v>
      </c>
    </row>
    <row r="42" spans="1:4" ht="13.35" customHeight="1"/>
    <row r="43" spans="1:4" s="1444" customFormat="1" ht="12.15" customHeight="1">
      <c r="A43" s="1445" t="s">
        <v>2022</v>
      </c>
      <c r="B43" s="1445"/>
      <c r="C43" s="1445"/>
      <c r="D43" s="1445"/>
    </row>
    <row r="44" spans="1:4" ht="10.95" customHeight="1">
      <c r="A44" s="1446" t="s">
        <v>2023</v>
      </c>
      <c r="B44" s="1447">
        <v>45951</v>
      </c>
      <c r="C44" s="1446" t="s">
        <v>1926</v>
      </c>
      <c r="D44" s="1448">
        <v>54133.48</v>
      </c>
    </row>
    <row r="45" spans="1:4" ht="10.95" customHeight="1">
      <c r="A45" s="1450" t="s">
        <v>2023</v>
      </c>
      <c r="B45" s="1451">
        <v>45951</v>
      </c>
      <c r="C45" s="1450" t="s">
        <v>873</v>
      </c>
      <c r="D45" s="1452">
        <v>506964.3</v>
      </c>
    </row>
    <row r="46" spans="1:4" ht="10.95" customHeight="1">
      <c r="A46" s="1450" t="s">
        <v>2023</v>
      </c>
      <c r="B46" s="1451">
        <v>45985</v>
      </c>
      <c r="C46" s="1450" t="s">
        <v>2144</v>
      </c>
      <c r="D46" s="1452">
        <v>506964.3</v>
      </c>
    </row>
    <row r="47" spans="1:4" ht="10.95" customHeight="1">
      <c r="A47" s="1454" t="s">
        <v>2024</v>
      </c>
      <c r="B47" s="1454"/>
      <c r="C47" s="1454"/>
      <c r="D47" s="1455">
        <f>SUM(D44:D46)</f>
        <v>1068062.08</v>
      </c>
    </row>
    <row r="49" spans="1:4" s="1444" customFormat="1" ht="12.15" customHeight="1">
      <c r="A49" s="1445" t="s">
        <v>1836</v>
      </c>
      <c r="B49" s="1445"/>
      <c r="C49" s="1445"/>
      <c r="D49" s="1445"/>
    </row>
    <row r="50" spans="1:4" ht="10.95" customHeight="1">
      <c r="A50" s="1446" t="s">
        <v>295</v>
      </c>
      <c r="B50" s="1447">
        <v>45968</v>
      </c>
      <c r="C50" s="1446" t="s">
        <v>2145</v>
      </c>
      <c r="D50" s="1448">
        <v>1770000</v>
      </c>
    </row>
    <row r="51" spans="1:4" ht="10.95" customHeight="1">
      <c r="A51" s="1454" t="s">
        <v>1838</v>
      </c>
      <c r="B51" s="1454"/>
      <c r="C51" s="1454"/>
      <c r="D51" s="1455">
        <f>D50</f>
        <v>1770000</v>
      </c>
    </row>
    <row r="52" spans="1:4" ht="13.35" customHeight="1"/>
    <row r="53" spans="1:4" s="1444" customFormat="1" ht="12.15" customHeight="1">
      <c r="A53" s="1445" t="s">
        <v>1475</v>
      </c>
      <c r="B53" s="1445"/>
      <c r="C53" s="1445"/>
      <c r="D53" s="1445"/>
    </row>
    <row r="54" spans="1:4" ht="10.95" customHeight="1">
      <c r="A54" s="1446" t="s">
        <v>914</v>
      </c>
      <c r="B54" s="1447">
        <v>45964</v>
      </c>
      <c r="C54" s="1446" t="s">
        <v>2146</v>
      </c>
      <c r="D54" s="1448">
        <v>3129623.97</v>
      </c>
    </row>
    <row r="55" spans="1:4" ht="10.95" customHeight="1">
      <c r="A55" s="1450" t="s">
        <v>389</v>
      </c>
      <c r="B55" s="1451">
        <v>45967</v>
      </c>
      <c r="C55" s="1450" t="s">
        <v>2147</v>
      </c>
      <c r="D55" s="1452">
        <v>247831.18</v>
      </c>
    </row>
    <row r="56" spans="1:4" ht="10.95" customHeight="1">
      <c r="A56" s="1450" t="s">
        <v>1569</v>
      </c>
      <c r="B56" s="1451">
        <v>45972</v>
      </c>
      <c r="C56" s="1450" t="s">
        <v>2148</v>
      </c>
      <c r="D56" s="1452">
        <v>6948866.8099999996</v>
      </c>
    </row>
    <row r="57" spans="1:4" ht="10.95" customHeight="1">
      <c r="A57" s="1450" t="s">
        <v>1569</v>
      </c>
      <c r="B57" s="1451">
        <v>45978</v>
      </c>
      <c r="C57" s="1450" t="s">
        <v>2149</v>
      </c>
      <c r="D57" s="1452">
        <v>2297926.42</v>
      </c>
    </row>
    <row r="58" spans="1:4" ht="10.95" customHeight="1">
      <c r="A58" s="1454" t="s">
        <v>1841</v>
      </c>
      <c r="B58" s="1454"/>
      <c r="C58" s="1454"/>
      <c r="D58" s="1455">
        <f>SUM(D54:D57)</f>
        <v>12624248.380000001</v>
      </c>
    </row>
    <row r="59" spans="1:4" ht="13.35" customHeight="1"/>
    <row r="60" spans="1:4" s="1444" customFormat="1" ht="12.15" customHeight="1">
      <c r="A60" s="1445" t="s">
        <v>2150</v>
      </c>
      <c r="B60" s="1445"/>
      <c r="C60" s="1445"/>
      <c r="D60" s="1445"/>
    </row>
    <row r="61" spans="1:4" ht="10.95" customHeight="1">
      <c r="A61" s="1446" t="s">
        <v>389</v>
      </c>
      <c r="B61" s="1447">
        <v>45967</v>
      </c>
      <c r="C61" s="1446" t="s">
        <v>2151</v>
      </c>
      <c r="D61" s="1448">
        <v>767000</v>
      </c>
    </row>
    <row r="62" spans="1:4" ht="10.95" customHeight="1">
      <c r="A62" s="1454" t="s">
        <v>2152</v>
      </c>
      <c r="B62" s="1454"/>
      <c r="C62" s="1454"/>
      <c r="D62" s="1455">
        <f>D61</f>
        <v>767000</v>
      </c>
    </row>
    <row r="63" spans="1:4" ht="13.35" customHeight="1"/>
    <row r="64" spans="1:4" s="1444" customFormat="1" ht="12.15" customHeight="1">
      <c r="A64" s="1445" t="s">
        <v>1314</v>
      </c>
      <c r="B64" s="1445"/>
      <c r="C64" s="1445"/>
      <c r="D64" s="1445"/>
    </row>
    <row r="65" spans="1:4" ht="10.95" customHeight="1">
      <c r="A65" s="1446" t="s">
        <v>778</v>
      </c>
      <c r="B65" s="1447">
        <v>45967</v>
      </c>
      <c r="C65" s="1446" t="s">
        <v>2153</v>
      </c>
      <c r="D65" s="1448">
        <v>1276808.69</v>
      </c>
    </row>
    <row r="66" spans="1:4" ht="10.95" customHeight="1">
      <c r="A66" s="1454" t="s">
        <v>1846</v>
      </c>
      <c r="B66" s="1454"/>
      <c r="C66" s="1454"/>
      <c r="D66" s="1455">
        <f>D65</f>
        <v>1276808.69</v>
      </c>
    </row>
    <row r="67" spans="1:4" ht="13.35" customHeight="1"/>
    <row r="68" spans="1:4" s="1444" customFormat="1" ht="12.15" customHeight="1">
      <c r="A68" s="1445" t="s">
        <v>1847</v>
      </c>
      <c r="B68" s="1445"/>
      <c r="C68" s="1445"/>
      <c r="D68" s="1445"/>
    </row>
    <row r="69" spans="1:4" ht="10.95" customHeight="1">
      <c r="A69" s="1446" t="s">
        <v>1043</v>
      </c>
      <c r="B69" s="1447">
        <v>45950</v>
      </c>
      <c r="C69" s="1446" t="s">
        <v>2025</v>
      </c>
      <c r="D69" s="1448">
        <v>15603.33</v>
      </c>
    </row>
    <row r="70" spans="1:4" ht="10.95" customHeight="1">
      <c r="A70" s="1450" t="s">
        <v>1045</v>
      </c>
      <c r="B70" s="1451">
        <v>45961</v>
      </c>
      <c r="C70" s="1450" t="s">
        <v>2026</v>
      </c>
      <c r="D70" s="1452">
        <v>70233.600000000006</v>
      </c>
    </row>
    <row r="71" spans="1:4" ht="10.95" customHeight="1">
      <c r="A71" s="1450" t="s">
        <v>1043</v>
      </c>
      <c r="B71" s="1451">
        <v>45978</v>
      </c>
      <c r="C71" s="1450" t="s">
        <v>2154</v>
      </c>
      <c r="D71" s="1452">
        <v>15705.92</v>
      </c>
    </row>
    <row r="72" spans="1:4" ht="10.95" customHeight="1">
      <c r="A72" s="1450" t="s">
        <v>1045</v>
      </c>
      <c r="B72" s="1451">
        <v>45991</v>
      </c>
      <c r="C72" s="1450" t="s">
        <v>2155</v>
      </c>
      <c r="D72" s="1452">
        <v>67968</v>
      </c>
    </row>
    <row r="73" spans="1:4" ht="10.95" customHeight="1">
      <c r="A73" s="1454" t="s">
        <v>1850</v>
      </c>
      <c r="B73" s="1454"/>
      <c r="C73" s="1454"/>
      <c r="D73" s="1455">
        <f>SUM(D69:D72)</f>
        <v>169510.85</v>
      </c>
    </row>
    <row r="74" spans="1:4" ht="13.35" customHeight="1"/>
    <row r="75" spans="1:4" s="1444" customFormat="1" ht="12.15" customHeight="1">
      <c r="A75" s="1445" t="s">
        <v>2156</v>
      </c>
      <c r="B75" s="1445"/>
      <c r="C75" s="1445"/>
      <c r="D75" s="1445"/>
    </row>
    <row r="76" spans="1:4" ht="10.95" customHeight="1">
      <c r="A76" s="1446" t="s">
        <v>1734</v>
      </c>
      <c r="B76" s="1447">
        <v>45986</v>
      </c>
      <c r="C76" s="1446" t="s">
        <v>2157</v>
      </c>
      <c r="D76" s="1448">
        <v>74273.210000000006</v>
      </c>
    </row>
    <row r="77" spans="1:4" ht="10.95" customHeight="1">
      <c r="A77" s="1454" t="s">
        <v>2158</v>
      </c>
      <c r="B77" s="1454"/>
      <c r="C77" s="1454"/>
      <c r="D77" s="1455">
        <f>D76</f>
        <v>74273.210000000006</v>
      </c>
    </row>
    <row r="78" spans="1:4" ht="13.35" customHeight="1"/>
    <row r="79" spans="1:4" ht="13.35" customHeight="1">
      <c r="A79" s="1445" t="s">
        <v>1283</v>
      </c>
      <c r="B79" s="1445"/>
      <c r="C79" s="1445"/>
      <c r="D79" s="1445"/>
    </row>
    <row r="80" spans="1:4" ht="13.35" customHeight="1">
      <c r="A80" s="1446" t="s">
        <v>715</v>
      </c>
      <c r="B80" s="1447">
        <v>45978</v>
      </c>
      <c r="C80" s="1446" t="s">
        <v>2140</v>
      </c>
      <c r="D80" s="1448">
        <v>18585</v>
      </c>
    </row>
    <row r="81" spans="1:4" ht="13.35" customHeight="1">
      <c r="A81" s="1454" t="s">
        <v>2159</v>
      </c>
      <c r="B81" s="1454"/>
      <c r="C81" s="1454"/>
      <c r="D81" s="1455">
        <f>SUM(D80:D80)</f>
        <v>18585</v>
      </c>
    </row>
    <row r="82" spans="1:4" ht="13.35" customHeight="1">
      <c r="A82" s="1458"/>
      <c r="B82" s="1458"/>
      <c r="C82" s="1458"/>
      <c r="D82" s="1459"/>
    </row>
    <row r="83" spans="1:4" s="1444" customFormat="1" ht="12.15" customHeight="1">
      <c r="A83" s="1445" t="s">
        <v>2027</v>
      </c>
      <c r="B83" s="1445"/>
      <c r="C83" s="1445"/>
      <c r="D83" s="1445"/>
    </row>
    <row r="84" spans="1:4" ht="10.95" customHeight="1">
      <c r="A84" s="1446" t="s">
        <v>1254</v>
      </c>
      <c r="B84" s="1447">
        <v>45841</v>
      </c>
      <c r="C84" s="1446" t="s">
        <v>1477</v>
      </c>
      <c r="D84" s="1448">
        <v>11000</v>
      </c>
    </row>
    <row r="85" spans="1:4" ht="10.95" customHeight="1">
      <c r="A85" s="1450" t="s">
        <v>740</v>
      </c>
      <c r="B85" s="1451">
        <v>45947</v>
      </c>
      <c r="C85" s="1450"/>
      <c r="D85" s="1452">
        <v>-15472.8</v>
      </c>
    </row>
    <row r="86" spans="1:4" ht="10.95" customHeight="1">
      <c r="A86" s="1450" t="s">
        <v>715</v>
      </c>
      <c r="B86" s="1451">
        <v>45978</v>
      </c>
      <c r="C86" s="1450" t="s">
        <v>2140</v>
      </c>
      <c r="D86" s="1452">
        <v>224255.06</v>
      </c>
    </row>
    <row r="87" spans="1:4" ht="10.95" customHeight="1">
      <c r="A87" s="1454" t="s">
        <v>2028</v>
      </c>
      <c r="B87" s="1454"/>
      <c r="C87" s="1454"/>
      <c r="D87" s="1455">
        <f>SUM(D84:D86)</f>
        <v>219782.26</v>
      </c>
    </row>
    <row r="88" spans="1:4" ht="13.35" customHeight="1"/>
    <row r="89" spans="1:4" s="1444" customFormat="1" ht="12.15" customHeight="1">
      <c r="A89" s="1445" t="s">
        <v>2160</v>
      </c>
      <c r="B89" s="1445"/>
      <c r="C89" s="1445"/>
      <c r="D89" s="1445"/>
    </row>
    <row r="90" spans="1:4" ht="10.95" customHeight="1">
      <c r="A90" s="1446" t="s">
        <v>389</v>
      </c>
      <c r="B90" s="1447">
        <v>45966</v>
      </c>
      <c r="C90" s="1446" t="s">
        <v>2161</v>
      </c>
      <c r="D90" s="1448">
        <v>151394</v>
      </c>
    </row>
    <row r="91" spans="1:4" ht="10.95" customHeight="1">
      <c r="A91" s="1450" t="s">
        <v>1855</v>
      </c>
      <c r="B91" s="1451">
        <v>45966</v>
      </c>
      <c r="C91" s="1450" t="s">
        <v>2162</v>
      </c>
      <c r="D91" s="1452">
        <v>94400</v>
      </c>
    </row>
    <row r="92" spans="1:4" ht="10.95" customHeight="1">
      <c r="A92" s="1450" t="s">
        <v>1631</v>
      </c>
      <c r="B92" s="1451">
        <v>45974</v>
      </c>
      <c r="C92" s="1450" t="s">
        <v>2163</v>
      </c>
      <c r="D92" s="1452">
        <v>76036.600000000006</v>
      </c>
    </row>
    <row r="93" spans="1:4" ht="10.95" customHeight="1">
      <c r="A93" s="1454" t="s">
        <v>2164</v>
      </c>
      <c r="B93" s="1454"/>
      <c r="C93" s="1454"/>
      <c r="D93" s="1455">
        <f>SUM(D90:D92)</f>
        <v>321830.59999999998</v>
      </c>
    </row>
    <row r="94" spans="1:4" ht="13.35" customHeight="1"/>
    <row r="95" spans="1:4" s="1444" customFormat="1" ht="12.15" customHeight="1">
      <c r="A95" s="1445" t="s">
        <v>2031</v>
      </c>
      <c r="B95" s="1445"/>
      <c r="C95" s="1445"/>
      <c r="D95" s="1445"/>
    </row>
    <row r="96" spans="1:4" ht="10.95" customHeight="1">
      <c r="A96" s="1446" t="s">
        <v>746</v>
      </c>
      <c r="B96" s="1447">
        <v>45991</v>
      </c>
      <c r="C96" s="1446" t="s">
        <v>2165</v>
      </c>
      <c r="D96" s="1448">
        <v>21240</v>
      </c>
    </row>
    <row r="97" spans="1:4" ht="10.95" customHeight="1">
      <c r="A97" s="1454" t="s">
        <v>2032</v>
      </c>
      <c r="B97" s="1454"/>
      <c r="C97" s="1454"/>
      <c r="D97" s="1455">
        <f>D96</f>
        <v>21240</v>
      </c>
    </row>
    <row r="98" spans="1:4" ht="13.35" customHeight="1"/>
    <row r="99" spans="1:4" s="1444" customFormat="1" ht="12.15" customHeight="1">
      <c r="A99" s="1445" t="s">
        <v>2033</v>
      </c>
      <c r="B99" s="1445"/>
      <c r="C99" s="1445"/>
      <c r="D99" s="1445"/>
    </row>
    <row r="100" spans="1:4" ht="10.95" customHeight="1">
      <c r="A100" s="1446" t="s">
        <v>2035</v>
      </c>
      <c r="B100" s="1447">
        <v>45959</v>
      </c>
      <c r="C100" s="1446" t="s">
        <v>2036</v>
      </c>
      <c r="D100" s="1448">
        <v>32957.4</v>
      </c>
    </row>
    <row r="101" spans="1:4" ht="10.95" customHeight="1">
      <c r="A101" s="1450" t="s">
        <v>1049</v>
      </c>
      <c r="B101" s="1451">
        <v>45968</v>
      </c>
      <c r="C101" s="1450" t="s">
        <v>2166</v>
      </c>
      <c r="D101" s="1452">
        <v>10162</v>
      </c>
    </row>
    <row r="102" spans="1:4" ht="10.95" customHeight="1">
      <c r="A102" s="1454" t="s">
        <v>2037</v>
      </c>
      <c r="B102" s="1454"/>
      <c r="C102" s="1454"/>
      <c r="D102" s="1455">
        <f>SUM(D100:D101)</f>
        <v>43119.4</v>
      </c>
    </row>
    <row r="103" spans="1:4" ht="13.35" customHeight="1"/>
    <row r="104" spans="1:4" s="1444" customFormat="1" ht="12.15" customHeight="1">
      <c r="A104" s="1445" t="s">
        <v>2167</v>
      </c>
      <c r="B104" s="1445"/>
      <c r="C104" s="1445"/>
      <c r="D104" s="1445"/>
    </row>
    <row r="105" spans="1:4" ht="10.95" customHeight="1">
      <c r="A105" s="1446" t="s">
        <v>389</v>
      </c>
      <c r="B105" s="1447">
        <v>45967</v>
      </c>
      <c r="C105" s="1446" t="s">
        <v>2168</v>
      </c>
      <c r="D105" s="1448">
        <v>367248.33</v>
      </c>
    </row>
    <row r="106" spans="1:4" ht="10.95" customHeight="1">
      <c r="A106" s="1450" t="s">
        <v>1579</v>
      </c>
      <c r="B106" s="1451">
        <v>45984</v>
      </c>
      <c r="C106" s="1450" t="s">
        <v>2169</v>
      </c>
      <c r="D106" s="1452">
        <v>71496.2</v>
      </c>
    </row>
    <row r="107" spans="1:4" ht="10.95" customHeight="1">
      <c r="A107" s="1450" t="s">
        <v>1579</v>
      </c>
      <c r="B107" s="1451">
        <v>45984</v>
      </c>
      <c r="C107" s="1450" t="s">
        <v>2170</v>
      </c>
      <c r="D107" s="1452">
        <v>74729.399999999994</v>
      </c>
    </row>
    <row r="108" spans="1:4" ht="10.95" customHeight="1">
      <c r="A108" s="1454" t="s">
        <v>2171</v>
      </c>
      <c r="B108" s="1454"/>
      <c r="C108" s="1454"/>
      <c r="D108" s="1455">
        <f>SUM(D105:D107)</f>
        <v>513473.93000000005</v>
      </c>
    </row>
    <row r="109" spans="1:4" ht="13.35" customHeight="1"/>
    <row r="110" spans="1:4" s="1444" customFormat="1" ht="12.15" customHeight="1">
      <c r="A110" s="1445" t="s">
        <v>919</v>
      </c>
      <c r="B110" s="1445"/>
      <c r="C110" s="1445"/>
      <c r="D110" s="1445"/>
    </row>
    <row r="111" spans="1:4" ht="10.95" customHeight="1">
      <c r="A111" s="1446" t="s">
        <v>728</v>
      </c>
      <c r="B111" s="1447">
        <v>45978</v>
      </c>
      <c r="C111" s="1446" t="s">
        <v>2172</v>
      </c>
      <c r="D111" s="1448">
        <v>76700</v>
      </c>
    </row>
    <row r="112" spans="1:4" ht="10.95" customHeight="1">
      <c r="A112" s="1450" t="s">
        <v>737</v>
      </c>
      <c r="B112" s="1451">
        <v>45978</v>
      </c>
      <c r="C112" s="1450" t="s">
        <v>2173</v>
      </c>
      <c r="D112" s="1452">
        <v>98333.33</v>
      </c>
    </row>
    <row r="113" spans="1:4" ht="10.95" customHeight="1">
      <c r="A113" s="1450" t="s">
        <v>737</v>
      </c>
      <c r="B113" s="1451">
        <v>45978</v>
      </c>
      <c r="C113" s="1450" t="s">
        <v>2174</v>
      </c>
      <c r="D113" s="1452">
        <v>64888.89</v>
      </c>
    </row>
    <row r="114" spans="1:4" ht="10.95" customHeight="1">
      <c r="A114" s="1450" t="s">
        <v>715</v>
      </c>
      <c r="B114" s="1451">
        <v>45973</v>
      </c>
      <c r="C114" s="1450" t="s">
        <v>2137</v>
      </c>
      <c r="D114" s="1452">
        <v>53100</v>
      </c>
    </row>
    <row r="115" spans="1:4" ht="10.95" customHeight="1">
      <c r="A115" s="1454" t="s">
        <v>1864</v>
      </c>
      <c r="B115" s="1454"/>
      <c r="C115" s="1454"/>
      <c r="D115" s="1455">
        <f>SUM(D111:D114)</f>
        <v>293022.22000000003</v>
      </c>
    </row>
    <row r="116" spans="1:4" ht="13.35" customHeight="1"/>
    <row r="117" spans="1:4" ht="10.95" customHeight="1">
      <c r="A117" s="1461" t="s">
        <v>164</v>
      </c>
      <c r="B117" s="1461"/>
      <c r="C117" s="1461"/>
      <c r="D117" s="1462">
        <f>+D11+D19+D27+D31+D36+D41+D47+D51+D58+D62+D66+D73+D77+D81+D87+D93+D97+D102+D108+D115</f>
        <v>26101057.490000002</v>
      </c>
    </row>
    <row r="118" spans="1:4" ht="13.35" customHeight="1"/>
    <row r="119" spans="1:4">
      <c r="D119" s="1499">
        <v>26288816.620000001</v>
      </c>
    </row>
    <row r="120" spans="1:4">
      <c r="D120" s="400">
        <f>+D117-D119</f>
        <v>-187759.12999999896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D9D33-3974-43B0-B51C-7F454A640933}">
  <dimension ref="A1:H19"/>
  <sheetViews>
    <sheetView showGridLines="0" zoomScaleNormal="100" workbookViewId="0">
      <selection activeCell="B25" sqref="B25"/>
    </sheetView>
  </sheetViews>
  <sheetFormatPr baseColWidth="10" defaultColWidth="8" defaultRowHeight="11.4"/>
  <cols>
    <col min="1" max="1" width="29.88671875" style="1440" bestFit="1" customWidth="1"/>
    <col min="2" max="2" width="9.6640625" style="1440" bestFit="1" customWidth="1"/>
    <col min="3" max="3" width="10.6640625" style="1440" bestFit="1" customWidth="1"/>
    <col min="4" max="4" width="9.6640625" style="1440" bestFit="1" customWidth="1"/>
    <col min="5" max="5" width="9" style="1440" bestFit="1" customWidth="1"/>
    <col min="6" max="6" width="9.6640625" style="1440" bestFit="1" customWidth="1"/>
    <col min="7" max="7" width="7.33203125" style="1440" bestFit="1" customWidth="1"/>
    <col min="8" max="8" width="10.6640625" style="1440" bestFit="1" customWidth="1"/>
    <col min="9" max="9" width="8" style="1440"/>
    <col min="10" max="10" width="15.5546875" style="1440" bestFit="1" customWidth="1"/>
    <col min="11" max="11" width="8" style="1440"/>
    <col min="12" max="12" width="9" style="1440" bestFit="1" customWidth="1"/>
    <col min="13" max="16384" width="8" style="1440"/>
  </cols>
  <sheetData>
    <row r="1" spans="1:8" s="1437" customFormat="1" ht="16.649999999999999" customHeight="1">
      <c r="A1" s="1436" t="s">
        <v>771</v>
      </c>
      <c r="B1" s="1436"/>
      <c r="C1" s="1436"/>
      <c r="D1" s="1436"/>
      <c r="E1" s="1436"/>
      <c r="F1" s="1436"/>
      <c r="G1" s="1436"/>
      <c r="H1" s="1436"/>
    </row>
    <row r="2" spans="1:8" s="1439" customFormat="1" ht="14.4" customHeight="1">
      <c r="A2" s="2170" t="s">
        <v>236</v>
      </c>
      <c r="B2" s="2170"/>
      <c r="C2" s="2170"/>
      <c r="D2" s="2170"/>
      <c r="E2" s="2170"/>
      <c r="F2" s="2170"/>
      <c r="G2" s="2170"/>
      <c r="H2" s="2170"/>
    </row>
    <row r="3" spans="1:8" s="1439" customFormat="1" ht="14.4" customHeight="1">
      <c r="A3" s="2170" t="s">
        <v>2019</v>
      </c>
      <c r="B3" s="2170"/>
      <c r="C3" s="2170"/>
      <c r="D3" s="2170"/>
      <c r="E3" s="2170"/>
      <c r="F3" s="2170"/>
      <c r="G3" s="2170"/>
      <c r="H3" s="2170"/>
    </row>
    <row r="4" spans="1:8" ht="13.35" customHeight="1" thickBot="1"/>
    <row r="5" spans="1:8" s="1444" customFormat="1" ht="13.2">
      <c r="A5" s="1609" t="s">
        <v>2175</v>
      </c>
      <c r="B5" s="1610" t="s">
        <v>861</v>
      </c>
      <c r="C5" s="1610" t="s">
        <v>824</v>
      </c>
      <c r="D5" s="1610" t="s">
        <v>825</v>
      </c>
      <c r="E5" s="1610" t="s">
        <v>826</v>
      </c>
      <c r="F5" s="1610" t="s">
        <v>827</v>
      </c>
      <c r="G5" s="1610" t="s">
        <v>828</v>
      </c>
      <c r="H5" s="1500" t="s">
        <v>164</v>
      </c>
    </row>
    <row r="6" spans="1:8">
      <c r="A6" s="1611" t="s">
        <v>2176</v>
      </c>
      <c r="B6" s="1571">
        <v>104169.15</v>
      </c>
      <c r="C6" s="1571">
        <v>0</v>
      </c>
      <c r="D6" s="1571">
        <v>0</v>
      </c>
      <c r="E6" s="1571">
        <v>0</v>
      </c>
      <c r="F6" s="1571">
        <v>1427678.42</v>
      </c>
      <c r="G6" s="1571">
        <v>0</v>
      </c>
      <c r="H6" s="1612">
        <f>SUM(B6:G6)</f>
        <v>1531847.5699999998</v>
      </c>
    </row>
    <row r="7" spans="1:8">
      <c r="A7" s="1611" t="s">
        <v>1024</v>
      </c>
      <c r="B7" s="1571">
        <f>102302.41+633670.6</f>
        <v>735973.01</v>
      </c>
      <c r="C7" s="1571">
        <v>306466.14</v>
      </c>
      <c r="D7" s="1571">
        <v>441602.25</v>
      </c>
      <c r="E7" s="1571">
        <v>0</v>
      </c>
      <c r="F7" s="1571">
        <v>0</v>
      </c>
      <c r="G7" s="1571">
        <v>0</v>
      </c>
      <c r="H7" s="1612">
        <f t="shared" ref="H7:H15" si="0">SUM(B7:G7)</f>
        <v>1484041.4</v>
      </c>
    </row>
    <row r="8" spans="1:8">
      <c r="A8" s="1611" t="s">
        <v>2177</v>
      </c>
      <c r="B8" s="1571">
        <v>0</v>
      </c>
      <c r="C8" s="1571">
        <f>2360000+114545.6+83566.14+54928.3</f>
        <v>2613040.04</v>
      </c>
      <c r="D8" s="1571">
        <f>860000-108000</f>
        <v>752000</v>
      </c>
      <c r="E8" s="1571">
        <v>0</v>
      </c>
      <c r="F8" s="1571">
        <v>0</v>
      </c>
      <c r="G8" s="1571">
        <v>0</v>
      </c>
      <c r="H8" s="1612">
        <f t="shared" si="0"/>
        <v>3365040.04</v>
      </c>
    </row>
    <row r="9" spans="1:8">
      <c r="A9" s="1611" t="s">
        <v>1797</v>
      </c>
      <c r="B9" s="1571">
        <f>94400+191502.06+52569</f>
        <v>338471.06</v>
      </c>
      <c r="C9" s="1571">
        <v>92700.800000000003</v>
      </c>
      <c r="D9" s="1571">
        <v>0</v>
      </c>
      <c r="E9" s="1571">
        <v>0</v>
      </c>
      <c r="F9" s="1571">
        <v>0</v>
      </c>
      <c r="G9" s="1571">
        <v>0</v>
      </c>
      <c r="H9" s="1612">
        <f t="shared" si="0"/>
        <v>431171.86</v>
      </c>
    </row>
    <row r="10" spans="1:8">
      <c r="A10" s="1611" t="s">
        <v>2042</v>
      </c>
      <c r="B10" s="1571">
        <v>0</v>
      </c>
      <c r="C10" s="1571">
        <v>506964.3</v>
      </c>
      <c r="D10" s="1571">
        <v>561097.78</v>
      </c>
      <c r="E10" s="1571">
        <v>0</v>
      </c>
      <c r="F10" s="1571">
        <v>0</v>
      </c>
      <c r="G10" s="1571">
        <v>0</v>
      </c>
      <c r="H10" s="1612">
        <f t="shared" si="0"/>
        <v>1068062.08</v>
      </c>
    </row>
    <row r="11" spans="1:8">
      <c r="A11" s="1611" t="s">
        <v>1807</v>
      </c>
      <c r="B11" s="1571">
        <v>0</v>
      </c>
      <c r="C11" s="1571">
        <v>1770000</v>
      </c>
      <c r="D11" s="1571">
        <v>0</v>
      </c>
      <c r="E11" s="1571">
        <v>0</v>
      </c>
      <c r="F11" s="1571">
        <v>0</v>
      </c>
      <c r="G11" s="1571">
        <v>0</v>
      </c>
      <c r="H11" s="1612">
        <f t="shared" si="0"/>
        <v>1770000</v>
      </c>
    </row>
    <row r="12" spans="1:8">
      <c r="A12" s="1611" t="s">
        <v>1808</v>
      </c>
      <c r="B12" s="1571">
        <f>2365894.42+224255.06</f>
        <v>2590149.48</v>
      </c>
      <c r="C12" s="1571">
        <v>12456070.17</v>
      </c>
      <c r="D12" s="1571">
        <v>15603.33</v>
      </c>
      <c r="E12" s="1571">
        <v>0</v>
      </c>
      <c r="F12" s="1571">
        <v>0</v>
      </c>
      <c r="G12" s="1571">
        <v>0</v>
      </c>
      <c r="H12" s="1612">
        <f t="shared" si="0"/>
        <v>15061822.98</v>
      </c>
    </row>
    <row r="13" spans="1:8">
      <c r="A13" s="1611" t="s">
        <v>2178</v>
      </c>
      <c r="B13" s="1571">
        <v>0</v>
      </c>
      <c r="C13" s="1571">
        <v>74273.210000000006</v>
      </c>
      <c r="D13" s="1571">
        <v>0</v>
      </c>
      <c r="E13" s="1571">
        <v>0</v>
      </c>
      <c r="F13" s="1571">
        <v>0</v>
      </c>
      <c r="G13" s="1571">
        <v>0</v>
      </c>
      <c r="H13" s="1612">
        <f t="shared" si="0"/>
        <v>74273.210000000006</v>
      </c>
    </row>
    <row r="14" spans="1:8">
      <c r="A14" s="1611" t="s">
        <v>2179</v>
      </c>
      <c r="B14" s="1571">
        <f>125802+18585</f>
        <v>144387</v>
      </c>
      <c r="C14" s="1571">
        <v>740904.53</v>
      </c>
      <c r="D14" s="1571">
        <v>17484.599999999999</v>
      </c>
      <c r="E14" s="1571">
        <v>0</v>
      </c>
      <c r="F14" s="1571">
        <v>0</v>
      </c>
      <c r="G14" s="1571">
        <v>11000</v>
      </c>
      <c r="H14" s="1612">
        <f t="shared" si="0"/>
        <v>913776.13</v>
      </c>
    </row>
    <row r="15" spans="1:8">
      <c r="A15" s="1611" t="s">
        <v>859</v>
      </c>
      <c r="B15" s="1571">
        <f>76700+53100</f>
        <v>129800</v>
      </c>
      <c r="C15" s="1571">
        <v>163222.22</v>
      </c>
      <c r="D15" s="1571">
        <v>0</v>
      </c>
      <c r="E15" s="1571">
        <v>0</v>
      </c>
      <c r="F15" s="1571">
        <v>0</v>
      </c>
      <c r="G15" s="1571">
        <v>0</v>
      </c>
      <c r="H15" s="1612">
        <f t="shared" si="0"/>
        <v>293022.21999999997</v>
      </c>
    </row>
    <row r="17" spans="1:8" ht="16.95" customHeight="1">
      <c r="A17" s="1607" t="s">
        <v>164</v>
      </c>
      <c r="B17" s="1575">
        <f t="shared" ref="B17:H17" si="1">SUM(B6:B15)</f>
        <v>4042949.7</v>
      </c>
      <c r="C17" s="1575">
        <f t="shared" si="1"/>
        <v>18723641.41</v>
      </c>
      <c r="D17" s="1575">
        <f t="shared" si="1"/>
        <v>1787787.9600000002</v>
      </c>
      <c r="E17" s="1575">
        <f t="shared" si="1"/>
        <v>0</v>
      </c>
      <c r="F17" s="1575">
        <f t="shared" si="1"/>
        <v>1427678.42</v>
      </c>
      <c r="G17" s="1575">
        <f t="shared" si="1"/>
        <v>11000</v>
      </c>
      <c r="H17" s="1613">
        <f t="shared" si="1"/>
        <v>25993057.489999998</v>
      </c>
    </row>
    <row r="18" spans="1:8" ht="13.35" customHeight="1">
      <c r="A18" s="1491"/>
      <c r="H18" s="1495"/>
    </row>
    <row r="19" spans="1:8" ht="12.6" thickBot="1">
      <c r="A19" s="1608" t="s">
        <v>732</v>
      </c>
      <c r="B19" s="1614">
        <f>(SUM(B6:B15) / SUM(B6:G15))</f>
        <v>0.15553959750811908</v>
      </c>
      <c r="C19" s="1614">
        <f>(SUM(C6:C15) / SUM(B6:G15))</f>
        <v>0.72033239711039465</v>
      </c>
      <c r="D19" s="1614">
        <f>(SUM(D6:D15) / SUM(B6:G15))</f>
        <v>6.8779440844456044E-2</v>
      </c>
      <c r="E19" s="1614">
        <f>(SUM(E6:E15) / SUM(B6:G15))</f>
        <v>0</v>
      </c>
      <c r="F19" s="1614">
        <f>(SUM(F6:F15) / SUM(B6:G15))</f>
        <v>5.4925374613942722E-2</v>
      </c>
      <c r="G19" s="1614">
        <f>(SUM(G6:G15) / SUM(B6:G15))</f>
        <v>4.231899230874205E-4</v>
      </c>
      <c r="H19" s="1615">
        <f>(SUM(H6:H15) / SUM(H6:H15))</f>
        <v>1</v>
      </c>
    </row>
  </sheetData>
  <mergeCells count="2">
    <mergeCell ref="A2:H2"/>
    <mergeCell ref="A3:H3"/>
  </mergeCells>
  <pageMargins left="0.7" right="0.7" top="0.75" bottom="0.75" header="0.3" footer="0.3"/>
  <pageSetup paperSize="9" fitToWidth="0" fitToHeight="0" orientation="portrait" horizontalDpi="0" verticalDpi="0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6F492-0BD3-4E8C-8A60-429BE53D9E52}">
  <sheetPr>
    <pageSetUpPr fitToPage="1"/>
  </sheetPr>
  <dimension ref="A1:E24"/>
  <sheetViews>
    <sheetView showGridLines="0" zoomScaleNormal="100" workbookViewId="0">
      <selection activeCell="A7" sqref="A7:XFD9"/>
    </sheetView>
  </sheetViews>
  <sheetFormatPr baseColWidth="10" defaultColWidth="8" defaultRowHeight="11.4"/>
  <cols>
    <col min="1" max="1" width="20.6640625" style="408" customWidth="1"/>
    <col min="2" max="2" width="22" style="408" customWidth="1"/>
    <col min="3" max="3" width="41.88671875" style="528" customWidth="1"/>
    <col min="4" max="4" width="14.5546875" style="408" customWidth="1"/>
    <col min="5" max="5" width="13.6640625" style="408" customWidth="1"/>
    <col min="6" max="7" width="9.33203125" style="408" bestFit="1" customWidth="1"/>
    <col min="8" max="16384" width="8" style="408"/>
  </cols>
  <sheetData>
    <row r="1" spans="1:5" s="405" customFormat="1" ht="17.399999999999999">
      <c r="A1" s="404" t="s">
        <v>1865</v>
      </c>
      <c r="B1" s="404"/>
      <c r="C1" s="526"/>
      <c r="D1" s="404"/>
      <c r="E1" s="404"/>
    </row>
    <row r="2" spans="1:5" s="407" customFormat="1" ht="15">
      <c r="A2" s="2151" t="s">
        <v>236</v>
      </c>
      <c r="B2" s="2151"/>
      <c r="C2" s="2151"/>
      <c r="D2" s="2152"/>
      <c r="E2" s="2151"/>
    </row>
    <row r="3" spans="1:5" s="407" customFormat="1" ht="15">
      <c r="A3" s="406" t="s">
        <v>1866</v>
      </c>
      <c r="B3" s="406"/>
      <c r="C3" s="527"/>
      <c r="D3" s="406"/>
      <c r="E3" s="406"/>
    </row>
    <row r="5" spans="1:5" s="412" customFormat="1" ht="13.2">
      <c r="A5" s="410" t="s">
        <v>1485</v>
      </c>
      <c r="B5" s="410" t="s">
        <v>1867</v>
      </c>
      <c r="C5" s="529" t="s">
        <v>817</v>
      </c>
      <c r="D5" s="410" t="s">
        <v>691</v>
      </c>
      <c r="E5" s="411" t="s">
        <v>1869</v>
      </c>
    </row>
    <row r="7" spans="1:5" s="412" customFormat="1" ht="13.2">
      <c r="A7" s="409" t="s">
        <v>1389</v>
      </c>
      <c r="B7" s="409"/>
      <c r="C7" s="530"/>
      <c r="D7" s="409"/>
      <c r="E7" s="409"/>
    </row>
    <row r="8" spans="1:5">
      <c r="A8" s="430">
        <v>45429</v>
      </c>
      <c r="B8" s="414" t="s">
        <v>1871</v>
      </c>
      <c r="C8" s="414" t="s">
        <v>1491</v>
      </c>
      <c r="D8" s="414" t="s">
        <v>738</v>
      </c>
      <c r="E8" s="415">
        <v>40000</v>
      </c>
    </row>
    <row r="9" spans="1:5" ht="12">
      <c r="A9" s="416" t="s">
        <v>49</v>
      </c>
      <c r="B9" s="416"/>
      <c r="C9" s="532"/>
      <c r="D9" s="416"/>
      <c r="E9" s="417">
        <f>SUM(E8:E8)</f>
        <v>40000</v>
      </c>
    </row>
    <row r="11" spans="1:5" ht="13.2">
      <c r="A11" s="1988" t="s">
        <v>2043</v>
      </c>
      <c r="B11" s="409"/>
      <c r="C11" s="530"/>
      <c r="D11" s="409"/>
      <c r="E11" s="409"/>
    </row>
    <row r="12" spans="1:5">
      <c r="A12" s="430">
        <v>45731</v>
      </c>
      <c r="B12" s="414" t="s">
        <v>1870</v>
      </c>
      <c r="C12" s="414" t="s">
        <v>2044</v>
      </c>
      <c r="D12" s="414" t="s">
        <v>1318</v>
      </c>
      <c r="E12" s="415">
        <v>826</v>
      </c>
    </row>
    <row r="13" spans="1:5" ht="12">
      <c r="A13" s="416" t="s">
        <v>2049</v>
      </c>
      <c r="B13" s="416"/>
      <c r="C13" s="532"/>
      <c r="D13" s="416"/>
      <c r="E13" s="417">
        <f>SUM(E12:E12)</f>
        <v>826</v>
      </c>
    </row>
    <row r="15" spans="1:5" s="412" customFormat="1" ht="13.2">
      <c r="A15" s="409" t="s">
        <v>2050</v>
      </c>
      <c r="B15" s="409"/>
      <c r="C15" s="530"/>
      <c r="D15" s="409"/>
      <c r="E15" s="409"/>
    </row>
    <row r="16" spans="1:5">
      <c r="A16" s="430">
        <v>45931</v>
      </c>
      <c r="B16" s="414" t="s">
        <v>1870</v>
      </c>
      <c r="C16" s="414" t="s">
        <v>1507</v>
      </c>
      <c r="D16" s="414" t="s">
        <v>2051</v>
      </c>
      <c r="E16" s="415">
        <v>143615.85999999999</v>
      </c>
    </row>
    <row r="17" spans="1:5">
      <c r="A17" s="430">
        <v>45985</v>
      </c>
      <c r="B17" s="414" t="s">
        <v>1870</v>
      </c>
      <c r="C17" s="414" t="s">
        <v>1507</v>
      </c>
      <c r="D17" s="414" t="s">
        <v>2180</v>
      </c>
      <c r="E17" s="415">
        <v>188024.95999999999</v>
      </c>
    </row>
    <row r="18" spans="1:5" ht="12">
      <c r="A18" s="416" t="s">
        <v>1880</v>
      </c>
      <c r="B18" s="416"/>
      <c r="C18" s="532"/>
      <c r="D18" s="416"/>
      <c r="E18" s="417">
        <f>SUM(E16:E17)</f>
        <v>331640.81999999995</v>
      </c>
    </row>
    <row r="20" spans="1:5" ht="13.2">
      <c r="A20" s="1988" t="s">
        <v>2074</v>
      </c>
      <c r="B20" s="409"/>
      <c r="C20" s="530"/>
      <c r="D20" s="409"/>
      <c r="E20" s="409"/>
    </row>
    <row r="21" spans="1:5">
      <c r="A21" s="430">
        <v>45987</v>
      </c>
      <c r="B21" s="414" t="s">
        <v>1870</v>
      </c>
      <c r="C21" s="414" t="s">
        <v>2181</v>
      </c>
      <c r="D21" s="414" t="s">
        <v>2182</v>
      </c>
      <c r="E21" s="415">
        <v>10245.73</v>
      </c>
    </row>
    <row r="22" spans="1:5" ht="12">
      <c r="A22" s="416" t="s">
        <v>2183</v>
      </c>
      <c r="B22" s="416"/>
      <c r="C22" s="532"/>
      <c r="D22" s="416"/>
      <c r="E22" s="417">
        <f>SUM(E21:E21)</f>
        <v>10245.73</v>
      </c>
    </row>
    <row r="23" spans="1:5" ht="12">
      <c r="A23" s="413"/>
      <c r="B23" s="413"/>
      <c r="C23" s="1567"/>
      <c r="D23" s="413"/>
      <c r="E23" s="428"/>
    </row>
    <row r="24" spans="1:5" ht="12">
      <c r="A24" s="419" t="s">
        <v>164</v>
      </c>
      <c r="B24" s="419"/>
      <c r="C24" s="534"/>
      <c r="D24" s="419"/>
      <c r="E24" s="420">
        <f>+E9+E13+E18+E22</f>
        <v>382712.54999999993</v>
      </c>
    </row>
  </sheetData>
  <autoFilter ref="A1:E26" xr:uid="{21EBD777-0645-4A57-A514-52C6A2CD1953}"/>
  <mergeCells count="1">
    <mergeCell ref="A2:E2"/>
  </mergeCells>
  <pageMargins left="0.7" right="0.7" top="0.75" bottom="0.75" header="0.3" footer="0.3"/>
  <pageSetup scale="75"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347BF-1DCB-467F-8F7F-E8DE7B4CC092}">
  <dimension ref="A1:J155"/>
  <sheetViews>
    <sheetView showGridLines="0" topLeftCell="A9" zoomScaleNormal="100" workbookViewId="0">
      <selection activeCell="H32" sqref="H32"/>
    </sheetView>
  </sheetViews>
  <sheetFormatPr baseColWidth="10" defaultColWidth="8" defaultRowHeight="11.4"/>
  <cols>
    <col min="1" max="1" width="60.5546875" style="1440" customWidth="1"/>
    <col min="2" max="2" width="12.6640625" style="1440" customWidth="1"/>
    <col min="3" max="3" width="16.5546875" style="1440" bestFit="1" customWidth="1"/>
    <col min="4" max="4" width="11.44140625" style="1440" customWidth="1"/>
    <col min="5" max="5" width="18.33203125" style="1440" bestFit="1" customWidth="1"/>
    <col min="6" max="8" width="11.33203125" style="1440" bestFit="1" customWidth="1"/>
    <col min="9" max="10" width="9.88671875" style="1440" bestFit="1" customWidth="1"/>
    <col min="11" max="16384" width="8" style="1440"/>
  </cols>
  <sheetData>
    <row r="1" spans="1:10" s="1437" customFormat="1" ht="16.649999999999999" customHeight="1">
      <c r="A1" s="1436" t="s">
        <v>771</v>
      </c>
      <c r="B1" s="1436"/>
      <c r="C1" s="1436"/>
      <c r="D1" s="1436"/>
    </row>
    <row r="2" spans="1:10" s="1439" customFormat="1" ht="14.4" customHeight="1">
      <c r="A2" s="1438" t="s">
        <v>236</v>
      </c>
      <c r="B2" s="1438"/>
      <c r="C2" s="1438"/>
      <c r="D2" s="1438"/>
    </row>
    <row r="3" spans="1:10" s="1439" customFormat="1" ht="14.4" customHeight="1">
      <c r="A3" s="1438" t="s">
        <v>2019</v>
      </c>
      <c r="B3" s="1438"/>
      <c r="C3" s="1438"/>
      <c r="D3" s="1438"/>
    </row>
    <row r="4" spans="1:10" s="1439" customFormat="1" ht="14.4" customHeight="1">
      <c r="A4" s="1438" t="s">
        <v>724</v>
      </c>
      <c r="B4" s="1438"/>
      <c r="C4" s="1438"/>
      <c r="D4" s="1438"/>
    </row>
    <row r="5" spans="1:10" ht="13.35" customHeight="1"/>
    <row r="6" spans="1:10" s="1444" customFormat="1" ht="12.15" customHeight="1">
      <c r="A6" s="1441" t="s">
        <v>690</v>
      </c>
      <c r="B6" s="1441" t="s">
        <v>689</v>
      </c>
      <c r="C6" s="1441" t="s">
        <v>773</v>
      </c>
      <c r="D6" s="1442" t="s">
        <v>164</v>
      </c>
      <c r="E6" s="1442" t="s">
        <v>2053</v>
      </c>
      <c r="F6" s="1443">
        <v>45992</v>
      </c>
      <c r="G6" s="1443">
        <v>46023</v>
      </c>
      <c r="H6" s="1443">
        <v>46054</v>
      </c>
      <c r="I6" s="1443">
        <v>46082</v>
      </c>
      <c r="J6" s="1443">
        <v>46113</v>
      </c>
    </row>
    <row r="7" spans="1:10" ht="13.35" customHeight="1">
      <c r="D7" s="1568"/>
      <c r="E7" s="1568"/>
      <c r="F7" s="1568"/>
      <c r="G7" s="1568"/>
      <c r="H7" s="1568"/>
      <c r="I7" s="1568"/>
      <c r="J7" s="1568"/>
    </row>
    <row r="8" spans="1:10" s="1444" customFormat="1" ht="12.15" customHeight="1">
      <c r="A8" s="1445" t="s">
        <v>2132</v>
      </c>
      <c r="B8" s="1445"/>
      <c r="C8" s="1445"/>
      <c r="D8" s="1569"/>
      <c r="E8" s="1569"/>
      <c r="F8" s="1569"/>
      <c r="G8" s="1569"/>
      <c r="H8" s="1569"/>
      <c r="I8" s="1569"/>
      <c r="J8" s="1569"/>
    </row>
    <row r="9" spans="1:10" ht="10.95" customHeight="1">
      <c r="A9" s="1446" t="s">
        <v>301</v>
      </c>
      <c r="B9" s="1447">
        <v>45888</v>
      </c>
      <c r="C9" s="1446" t="s">
        <v>1629</v>
      </c>
      <c r="D9" s="1570">
        <v>1427678.42</v>
      </c>
      <c r="E9" s="1570">
        <f>SUM(F9:J9)</f>
        <v>1427678.42</v>
      </c>
      <c r="F9" s="1570">
        <f>+D9</f>
        <v>1427678.42</v>
      </c>
      <c r="G9" s="1570"/>
      <c r="H9" s="1570"/>
      <c r="I9" s="1570"/>
      <c r="J9" s="1570"/>
    </row>
    <row r="10" spans="1:10" ht="10.95" customHeight="1">
      <c r="A10" s="1450" t="s">
        <v>373</v>
      </c>
      <c r="B10" s="1451">
        <v>45939</v>
      </c>
      <c r="C10" s="1450" t="s">
        <v>2020</v>
      </c>
      <c r="D10" s="1571">
        <v>104169.15</v>
      </c>
      <c r="E10" s="1571">
        <f t="shared" ref="E10:E93" si="0">SUM(F10:J10)</f>
        <v>104169.15</v>
      </c>
      <c r="F10" s="1571">
        <f>+D10</f>
        <v>104169.15</v>
      </c>
      <c r="G10" s="1571"/>
      <c r="H10" s="1571"/>
      <c r="I10" s="1571"/>
      <c r="J10" s="1571"/>
    </row>
    <row r="11" spans="1:10" ht="10.95" customHeight="1">
      <c r="A11" s="1454" t="s">
        <v>2133</v>
      </c>
      <c r="B11" s="1454"/>
      <c r="C11" s="1454"/>
      <c r="D11" s="1572">
        <f>SUM(D9:D10)</f>
        <v>1531847.5699999998</v>
      </c>
      <c r="E11" s="1572">
        <f t="shared" si="0"/>
        <v>1531847.5699999998</v>
      </c>
      <c r="F11" s="1572">
        <f t="shared" ref="F11:J11" si="1">SUM(F9:F10)</f>
        <v>1531847.5699999998</v>
      </c>
      <c r="G11" s="1572">
        <f t="shared" si="1"/>
        <v>0</v>
      </c>
      <c r="H11" s="1572">
        <f t="shared" si="1"/>
        <v>0</v>
      </c>
      <c r="I11" s="1572">
        <f t="shared" si="1"/>
        <v>0</v>
      </c>
      <c r="J11" s="1572">
        <f t="shared" si="1"/>
        <v>0</v>
      </c>
    </row>
    <row r="12" spans="1:10" ht="13.35" customHeight="1">
      <c r="D12" s="1568"/>
      <c r="E12" s="1568"/>
      <c r="F12" s="1568"/>
      <c r="G12" s="1568"/>
      <c r="H12" s="1568"/>
      <c r="I12" s="1568"/>
      <c r="J12" s="1568"/>
    </row>
    <row r="13" spans="1:10" s="1444" customFormat="1" ht="12.15" customHeight="1">
      <c r="A13" s="1445" t="s">
        <v>1030</v>
      </c>
      <c r="B13" s="1445"/>
      <c r="C13" s="1445"/>
      <c r="D13" s="1569"/>
      <c r="E13" s="1569"/>
      <c r="F13" s="1569"/>
      <c r="G13" s="1569"/>
      <c r="H13" s="1569"/>
      <c r="I13" s="1569"/>
      <c r="J13" s="1569"/>
    </row>
    <row r="14" spans="1:10" ht="10.95" customHeight="1">
      <c r="A14" s="1446" t="s">
        <v>317</v>
      </c>
      <c r="B14" s="1447">
        <v>45908</v>
      </c>
      <c r="C14" s="1446" t="s">
        <v>1830</v>
      </c>
      <c r="D14" s="1570">
        <v>342033.18</v>
      </c>
      <c r="E14" s="1570">
        <f t="shared" si="0"/>
        <v>342033.18</v>
      </c>
      <c r="F14" s="1570">
        <f>+D14</f>
        <v>342033.18</v>
      </c>
      <c r="G14" s="1570"/>
      <c r="H14" s="1570"/>
      <c r="I14" s="1570"/>
      <c r="J14" s="1570"/>
    </row>
    <row r="15" spans="1:10" ht="10.95" customHeight="1">
      <c r="A15" s="1450" t="s">
        <v>778</v>
      </c>
      <c r="B15" s="1451">
        <v>45940</v>
      </c>
      <c r="C15" s="1450" t="s">
        <v>2134</v>
      </c>
      <c r="D15" s="1571">
        <v>102302.41</v>
      </c>
      <c r="E15" s="1571">
        <f t="shared" si="0"/>
        <v>102302.41</v>
      </c>
      <c r="F15" s="1571">
        <f>+D15</f>
        <v>102302.41</v>
      </c>
      <c r="G15" s="1571"/>
      <c r="H15" s="1571"/>
      <c r="I15" s="1571"/>
      <c r="J15" s="1571"/>
    </row>
    <row r="16" spans="1:10" ht="10.95" customHeight="1">
      <c r="A16" s="1450" t="s">
        <v>778</v>
      </c>
      <c r="B16" s="1451">
        <v>45951</v>
      </c>
      <c r="C16" s="1450" t="s">
        <v>2135</v>
      </c>
      <c r="D16" s="1571">
        <v>99569.07</v>
      </c>
      <c r="E16" s="1571">
        <f t="shared" si="0"/>
        <v>99569.07</v>
      </c>
      <c r="F16" s="1571">
        <f t="shared" ref="F16:F18" si="2">+D16</f>
        <v>99569.07</v>
      </c>
      <c r="G16" s="1571"/>
      <c r="H16" s="1571"/>
      <c r="I16" s="1571"/>
      <c r="J16" s="1571"/>
    </row>
    <row r="17" spans="1:10" ht="10.95" customHeight="1">
      <c r="A17" s="1450" t="s">
        <v>778</v>
      </c>
      <c r="B17" s="1451">
        <v>45982</v>
      </c>
      <c r="C17" s="1450" t="s">
        <v>2136</v>
      </c>
      <c r="D17" s="1571">
        <v>306466.14</v>
      </c>
      <c r="E17" s="1571">
        <f t="shared" si="0"/>
        <v>306466.14</v>
      </c>
      <c r="F17" s="1571">
        <f t="shared" si="2"/>
        <v>306466.14</v>
      </c>
      <c r="G17" s="1571"/>
      <c r="H17" s="1571"/>
      <c r="I17" s="1571"/>
      <c r="J17" s="1571"/>
    </row>
    <row r="18" spans="1:10" ht="10.95" customHeight="1">
      <c r="A18" s="1446" t="s">
        <v>715</v>
      </c>
      <c r="B18" s="1447">
        <v>45973</v>
      </c>
      <c r="C18" s="1446" t="s">
        <v>2137</v>
      </c>
      <c r="D18" s="1570">
        <v>633670.6</v>
      </c>
      <c r="E18" s="1570">
        <f t="shared" si="0"/>
        <v>633670.6</v>
      </c>
      <c r="F18" s="1570">
        <f t="shared" si="2"/>
        <v>633670.6</v>
      </c>
      <c r="G18" s="1570"/>
      <c r="H18" s="1570"/>
      <c r="I18" s="1570"/>
      <c r="J18" s="1570"/>
    </row>
    <row r="19" spans="1:10" ht="10.95" customHeight="1">
      <c r="A19" s="1450" t="s">
        <v>2184</v>
      </c>
      <c r="B19" s="1447"/>
      <c r="C19" s="1446"/>
      <c r="D19" s="1570"/>
      <c r="E19" s="1570">
        <f t="shared" si="0"/>
        <v>2000000</v>
      </c>
      <c r="F19" s="1576">
        <v>2000000</v>
      </c>
      <c r="G19" s="1576"/>
      <c r="H19" s="1576"/>
      <c r="I19" s="1576"/>
      <c r="J19" s="1576"/>
    </row>
    <row r="20" spans="1:10" ht="10.95" customHeight="1">
      <c r="A20" s="1450" t="s">
        <v>1226</v>
      </c>
      <c r="B20" s="1447"/>
      <c r="C20" s="1446"/>
      <c r="D20" s="1570"/>
      <c r="E20" s="1570">
        <f t="shared" si="0"/>
        <v>6000000</v>
      </c>
      <c r="F20" s="1576">
        <v>250000</v>
      </c>
      <c r="G20" s="1576">
        <v>2950000</v>
      </c>
      <c r="H20" s="1576">
        <v>2150000</v>
      </c>
      <c r="I20" s="1576">
        <v>650000</v>
      </c>
      <c r="J20" s="1576"/>
    </row>
    <row r="21" spans="1:10" ht="10.95" customHeight="1">
      <c r="A21" s="1450" t="s">
        <v>1227</v>
      </c>
      <c r="B21" s="1447"/>
      <c r="C21" s="1446"/>
      <c r="D21" s="1570"/>
      <c r="E21" s="1570">
        <f t="shared" si="0"/>
        <v>650000</v>
      </c>
      <c r="F21" s="1576">
        <v>650000</v>
      </c>
      <c r="G21" s="1576"/>
      <c r="H21" s="1576"/>
      <c r="I21" s="1576"/>
      <c r="J21" s="1576"/>
    </row>
    <row r="22" spans="1:10" ht="10.95" customHeight="1">
      <c r="A22" s="1450" t="s">
        <v>2054</v>
      </c>
      <c r="B22" s="1447"/>
      <c r="C22" s="1446"/>
      <c r="D22" s="1570"/>
      <c r="E22" s="1570">
        <f t="shared" si="0"/>
        <v>875000</v>
      </c>
      <c r="F22" s="1576">
        <v>175000</v>
      </c>
      <c r="G22" s="1576">
        <v>175000</v>
      </c>
      <c r="H22" s="1576">
        <v>175000</v>
      </c>
      <c r="I22" s="1576">
        <v>175000</v>
      </c>
      <c r="J22" s="1576">
        <v>175000</v>
      </c>
    </row>
    <row r="23" spans="1:10" ht="10.95" customHeight="1">
      <c r="A23" s="1454" t="s">
        <v>1831</v>
      </c>
      <c r="B23" s="1454"/>
      <c r="C23" s="1454"/>
      <c r="D23" s="1572">
        <f>SUM(D14:D22)</f>
        <v>1484041.4</v>
      </c>
      <c r="E23" s="1572">
        <f t="shared" ref="E23:J23" si="3">SUM(E14:E22)</f>
        <v>11009041.4</v>
      </c>
      <c r="F23" s="1572">
        <f t="shared" si="3"/>
        <v>4559041.4000000004</v>
      </c>
      <c r="G23" s="1572">
        <f t="shared" si="3"/>
        <v>3125000</v>
      </c>
      <c r="H23" s="1572">
        <f t="shared" si="3"/>
        <v>2325000</v>
      </c>
      <c r="I23" s="1572">
        <f t="shared" si="3"/>
        <v>825000</v>
      </c>
      <c r="J23" s="1572">
        <f t="shared" si="3"/>
        <v>175000</v>
      </c>
    </row>
    <row r="24" spans="1:10" ht="13.35" customHeight="1">
      <c r="D24" s="1568"/>
      <c r="E24" s="1568"/>
      <c r="F24" s="1568"/>
      <c r="G24" s="1568"/>
      <c r="H24" s="1568"/>
      <c r="I24" s="1568"/>
      <c r="J24" s="1568"/>
    </row>
    <row r="25" spans="1:10" ht="13.35" customHeight="1">
      <c r="A25" s="1445" t="s">
        <v>2056</v>
      </c>
      <c r="B25" s="1445"/>
      <c r="C25" s="1445"/>
      <c r="D25" s="1569"/>
      <c r="E25" s="1569"/>
      <c r="F25" s="1569"/>
      <c r="G25" s="1569"/>
      <c r="H25" s="1569"/>
      <c r="I25" s="1569"/>
      <c r="J25" s="1569"/>
    </row>
    <row r="26" spans="1:10" ht="13.35" customHeight="1">
      <c r="A26" s="1446"/>
      <c r="B26" s="1447"/>
      <c r="C26" s="1446"/>
      <c r="D26" s="1570"/>
      <c r="E26" s="1570">
        <f>SUM(F26:J26)</f>
        <v>12450000</v>
      </c>
      <c r="F26" s="1576">
        <v>2900000</v>
      </c>
      <c r="G26" s="1576">
        <v>5550000</v>
      </c>
      <c r="H26" s="1576">
        <v>4000000</v>
      </c>
      <c r="I26" s="1576"/>
      <c r="J26" s="1576"/>
    </row>
    <row r="27" spans="1:10" ht="13.35" customHeight="1">
      <c r="A27" s="1450" t="s">
        <v>2054</v>
      </c>
      <c r="B27" s="1447"/>
      <c r="D27" s="1568"/>
      <c r="E27" s="1570">
        <f>SUM(F27:J27)</f>
        <v>875000</v>
      </c>
      <c r="F27" s="1573">
        <v>175000</v>
      </c>
      <c r="G27" s="1573">
        <v>175000</v>
      </c>
      <c r="H27" s="1573">
        <v>175000</v>
      </c>
      <c r="I27" s="1573">
        <v>175000</v>
      </c>
      <c r="J27" s="1573">
        <v>175000</v>
      </c>
    </row>
    <row r="28" spans="1:10" ht="10.95" customHeight="1">
      <c r="A28" s="1454" t="s">
        <v>2057</v>
      </c>
      <c r="B28" s="1454"/>
      <c r="C28" s="1454"/>
      <c r="D28" s="1572">
        <f>SUM(D26:D27)</f>
        <v>0</v>
      </c>
      <c r="E28" s="1572">
        <f t="shared" ref="E28:J28" si="4">SUM(E26:E27)</f>
        <v>13325000</v>
      </c>
      <c r="F28" s="1572">
        <f t="shared" si="4"/>
        <v>3075000</v>
      </c>
      <c r="G28" s="1572">
        <f t="shared" si="4"/>
        <v>5725000</v>
      </c>
      <c r="H28" s="1572">
        <f t="shared" si="4"/>
        <v>4175000</v>
      </c>
      <c r="I28" s="1572">
        <f t="shared" si="4"/>
        <v>175000</v>
      </c>
      <c r="J28" s="1572">
        <f t="shared" si="4"/>
        <v>175000</v>
      </c>
    </row>
    <row r="29" spans="1:10" ht="13.35" customHeight="1">
      <c r="D29" s="1568"/>
      <c r="E29" s="1568"/>
      <c r="F29" s="1568"/>
      <c r="G29" s="1568"/>
      <c r="H29" s="1568"/>
      <c r="I29" s="1568"/>
      <c r="J29" s="1568"/>
    </row>
    <row r="30" spans="1:10" s="1444" customFormat="1" ht="12.15" customHeight="1">
      <c r="A30" s="1445" t="s">
        <v>1036</v>
      </c>
      <c r="B30" s="1445"/>
      <c r="C30" s="1445"/>
      <c r="D30" s="1569"/>
      <c r="E30" s="1569"/>
      <c r="F30" s="1569"/>
      <c r="G30" s="1569"/>
      <c r="H30" s="1569"/>
      <c r="I30" s="1569"/>
      <c r="J30" s="1569"/>
    </row>
    <row r="31" spans="1:10" ht="10.95" customHeight="1">
      <c r="A31" s="1446" t="s">
        <v>715</v>
      </c>
      <c r="B31" s="1447">
        <v>45940</v>
      </c>
      <c r="C31" s="1446" t="s">
        <v>1930</v>
      </c>
      <c r="D31" s="1570">
        <v>860000</v>
      </c>
      <c r="E31" s="1570">
        <f t="shared" si="0"/>
        <v>860000</v>
      </c>
      <c r="F31" s="1570">
        <f>+D31</f>
        <v>860000</v>
      </c>
      <c r="G31" s="1570"/>
      <c r="H31" s="1570"/>
      <c r="I31" s="1570"/>
      <c r="J31" s="1570"/>
    </row>
    <row r="32" spans="1:10" ht="10.95" customHeight="1">
      <c r="A32" s="1450" t="s">
        <v>715</v>
      </c>
      <c r="B32" s="1451">
        <v>45968</v>
      </c>
      <c r="C32" s="1450" t="s">
        <v>2138</v>
      </c>
      <c r="D32" s="1571">
        <v>2360000</v>
      </c>
      <c r="E32" s="1571">
        <f t="shared" si="0"/>
        <v>2360000</v>
      </c>
      <c r="F32" s="1570">
        <f t="shared" ref="F32:F35" si="5">+D32</f>
        <v>2360000</v>
      </c>
      <c r="G32" s="1571"/>
      <c r="H32" s="1571"/>
      <c r="I32" s="1571"/>
      <c r="J32" s="1571"/>
    </row>
    <row r="33" spans="1:10" ht="10.95" customHeight="1">
      <c r="A33" s="1446" t="s">
        <v>715</v>
      </c>
      <c r="B33" s="1447">
        <v>45972</v>
      </c>
      <c r="C33" s="1446" t="s">
        <v>2139</v>
      </c>
      <c r="D33" s="1570">
        <v>114545.60000000001</v>
      </c>
      <c r="E33" s="1570">
        <f t="shared" si="0"/>
        <v>114545.60000000001</v>
      </c>
      <c r="F33" s="1570">
        <f t="shared" si="5"/>
        <v>114545.60000000001</v>
      </c>
      <c r="G33" s="1570"/>
      <c r="H33" s="1570"/>
      <c r="I33" s="1570"/>
      <c r="J33" s="1570"/>
    </row>
    <row r="34" spans="1:10" ht="10.95" customHeight="1">
      <c r="A34" s="1446" t="s">
        <v>715</v>
      </c>
      <c r="B34" s="1447">
        <v>45973</v>
      </c>
      <c r="C34" s="1446" t="s">
        <v>2137</v>
      </c>
      <c r="D34" s="1570">
        <v>83566.14</v>
      </c>
      <c r="E34" s="1570">
        <f t="shared" si="0"/>
        <v>83566.14</v>
      </c>
      <c r="F34" s="1570">
        <f t="shared" si="5"/>
        <v>83566.14</v>
      </c>
      <c r="G34" s="1570"/>
      <c r="H34" s="1570"/>
      <c r="I34" s="1570"/>
      <c r="J34" s="1570"/>
    </row>
    <row r="35" spans="1:10" ht="10.95" customHeight="1">
      <c r="A35" s="1446" t="s">
        <v>715</v>
      </c>
      <c r="B35" s="1447">
        <v>45978</v>
      </c>
      <c r="C35" s="1446" t="s">
        <v>2140</v>
      </c>
      <c r="D35" s="1570">
        <v>54928.3</v>
      </c>
      <c r="E35" s="1570">
        <f t="shared" si="0"/>
        <v>54928.3</v>
      </c>
      <c r="F35" s="1570">
        <f t="shared" si="5"/>
        <v>54928.3</v>
      </c>
      <c r="G35" s="1570"/>
      <c r="H35" s="1570"/>
      <c r="I35" s="1570"/>
      <c r="J35" s="1570"/>
    </row>
    <row r="36" spans="1:10" ht="10.95" customHeight="1">
      <c r="A36" s="1446" t="s">
        <v>715</v>
      </c>
      <c r="B36" s="1447"/>
      <c r="C36" s="1446"/>
      <c r="D36" s="1570"/>
      <c r="E36" s="1570">
        <f t="shared" si="0"/>
        <v>11505000</v>
      </c>
      <c r="F36" s="1577">
        <v>2065000</v>
      </c>
      <c r="G36" s="1577">
        <v>2360000</v>
      </c>
      <c r="H36" s="1577">
        <v>2360000</v>
      </c>
      <c r="I36" s="1577">
        <v>2360000</v>
      </c>
      <c r="J36" s="1577">
        <v>2360000</v>
      </c>
    </row>
    <row r="37" spans="1:10" ht="10.199999999999999" customHeight="1">
      <c r="A37" s="1454" t="s">
        <v>1833</v>
      </c>
      <c r="B37" s="1454"/>
      <c r="C37" s="1454"/>
      <c r="D37" s="1572">
        <f>SUM(D31:D36)</f>
        <v>3473040.04</v>
      </c>
      <c r="E37" s="1572">
        <f t="shared" ref="E37:J37" si="6">SUM(E31:E36)</f>
        <v>14978040.039999999</v>
      </c>
      <c r="F37" s="1572">
        <f t="shared" si="6"/>
        <v>5538040.04</v>
      </c>
      <c r="G37" s="1572">
        <f t="shared" si="6"/>
        <v>2360000</v>
      </c>
      <c r="H37" s="1572">
        <f t="shared" si="6"/>
        <v>2360000</v>
      </c>
      <c r="I37" s="1572">
        <f t="shared" si="6"/>
        <v>2360000</v>
      </c>
      <c r="J37" s="1572">
        <f t="shared" si="6"/>
        <v>2360000</v>
      </c>
    </row>
    <row r="38" spans="1:10" ht="13.35" customHeight="1">
      <c r="D38" s="1568"/>
      <c r="E38" s="1568"/>
      <c r="F38" s="1568"/>
      <c r="G38" s="1568"/>
      <c r="H38" s="1568"/>
      <c r="I38" s="1568"/>
      <c r="J38" s="1568"/>
    </row>
    <row r="39" spans="1:10" ht="13.35" customHeight="1">
      <c r="A39" s="1445" t="s">
        <v>1799</v>
      </c>
      <c r="B39" s="1445"/>
      <c r="C39" s="1445"/>
      <c r="D39" s="1569"/>
      <c r="E39" s="1569"/>
      <c r="F39" s="1569"/>
      <c r="G39" s="1569"/>
      <c r="H39" s="1569"/>
      <c r="I39" s="1569"/>
      <c r="J39" s="1569"/>
    </row>
    <row r="40" spans="1:10" ht="13.35" customHeight="1">
      <c r="A40" s="1446" t="s">
        <v>715</v>
      </c>
      <c r="B40" s="1447">
        <v>45978</v>
      </c>
      <c r="C40" s="1446" t="s">
        <v>2140</v>
      </c>
      <c r="D40" s="1570">
        <v>191502.06</v>
      </c>
      <c r="E40" s="1570">
        <f t="shared" si="0"/>
        <v>191502.06</v>
      </c>
      <c r="F40" s="1570">
        <f>+D40</f>
        <v>191502.06</v>
      </c>
      <c r="G40" s="1570"/>
      <c r="H40" s="1570"/>
      <c r="I40" s="1570"/>
      <c r="J40" s="1570"/>
    </row>
    <row r="41" spans="1:10" ht="13.35" customHeight="1">
      <c r="A41" s="1446" t="s">
        <v>2185</v>
      </c>
      <c r="B41" s="1447"/>
      <c r="C41" s="1446"/>
      <c r="D41" s="1570"/>
      <c r="E41" s="1570">
        <f t="shared" si="0"/>
        <v>600000</v>
      </c>
      <c r="F41" s="1570"/>
      <c r="G41" s="1576">
        <v>150000</v>
      </c>
      <c r="H41" s="1576">
        <v>150000</v>
      </c>
      <c r="I41" s="1576">
        <v>150000</v>
      </c>
      <c r="J41" s="1576">
        <v>150000</v>
      </c>
    </row>
    <row r="42" spans="1:10" ht="13.35" customHeight="1">
      <c r="A42" s="1454" t="s">
        <v>2141</v>
      </c>
      <c r="B42" s="1454"/>
      <c r="C42" s="1454"/>
      <c r="D42" s="1572">
        <f>SUM(D40:D41)</f>
        <v>191502.06</v>
      </c>
      <c r="E42" s="1572">
        <f t="shared" ref="E42:J42" si="7">SUM(E40:E41)</f>
        <v>791502.06</v>
      </c>
      <c r="F42" s="1572">
        <f t="shared" si="7"/>
        <v>191502.06</v>
      </c>
      <c r="G42" s="1572">
        <f t="shared" si="7"/>
        <v>150000</v>
      </c>
      <c r="H42" s="1572">
        <f t="shared" si="7"/>
        <v>150000</v>
      </c>
      <c r="I42" s="1572">
        <f t="shared" si="7"/>
        <v>150000</v>
      </c>
      <c r="J42" s="1572">
        <f t="shared" si="7"/>
        <v>150000</v>
      </c>
    </row>
    <row r="43" spans="1:10" ht="13.35" customHeight="1">
      <c r="D43" s="1568"/>
      <c r="E43" s="1568"/>
      <c r="F43" s="1568"/>
      <c r="G43" s="1568"/>
      <c r="H43" s="1568"/>
      <c r="I43" s="1568"/>
      <c r="J43" s="1568"/>
    </row>
    <row r="44" spans="1:10" ht="13.35" customHeight="1">
      <c r="A44" s="1445" t="s">
        <v>1800</v>
      </c>
      <c r="B44" s="1445"/>
      <c r="C44" s="1445"/>
      <c r="D44" s="1569"/>
      <c r="E44" s="1569"/>
      <c r="F44" s="1569"/>
      <c r="G44" s="1569"/>
      <c r="H44" s="1569"/>
      <c r="I44" s="1569"/>
      <c r="J44" s="1569"/>
    </row>
    <row r="45" spans="1:10" ht="13.35" customHeight="1">
      <c r="A45" s="1446" t="s">
        <v>715</v>
      </c>
      <c r="B45" s="1447">
        <v>45973</v>
      </c>
      <c r="C45" s="1446" t="s">
        <v>2137</v>
      </c>
      <c r="D45" s="1570">
        <v>21417</v>
      </c>
      <c r="E45" s="1570">
        <f t="shared" si="0"/>
        <v>21417</v>
      </c>
      <c r="F45" s="1570">
        <f>+D45</f>
        <v>21417</v>
      </c>
      <c r="G45" s="1570"/>
      <c r="H45" s="1570"/>
      <c r="I45" s="1570"/>
      <c r="J45" s="1570"/>
    </row>
    <row r="46" spans="1:10" ht="13.35" customHeight="1">
      <c r="A46" s="1446" t="s">
        <v>715</v>
      </c>
      <c r="B46" s="1447">
        <v>45978</v>
      </c>
      <c r="C46" s="1446" t="s">
        <v>2140</v>
      </c>
      <c r="D46" s="1570">
        <v>31152</v>
      </c>
      <c r="E46" s="1570">
        <f t="shared" si="0"/>
        <v>31152</v>
      </c>
      <c r="F46" s="1570">
        <f>+D46</f>
        <v>31152</v>
      </c>
      <c r="G46" s="1570"/>
      <c r="H46" s="1570"/>
      <c r="I46" s="1570"/>
      <c r="J46" s="1570"/>
    </row>
    <row r="47" spans="1:10" ht="13.35" customHeight="1">
      <c r="A47" s="1446" t="s">
        <v>2185</v>
      </c>
      <c r="B47" s="1447"/>
      <c r="C47" s="1446"/>
      <c r="D47" s="1570"/>
      <c r="E47" s="1570">
        <f t="shared" si="0"/>
        <v>200000</v>
      </c>
      <c r="F47" s="1570"/>
      <c r="G47" s="1576">
        <v>50000</v>
      </c>
      <c r="H47" s="1576">
        <v>50000</v>
      </c>
      <c r="I47" s="1576">
        <v>50000</v>
      </c>
      <c r="J47" s="1576">
        <v>50000</v>
      </c>
    </row>
    <row r="48" spans="1:10" ht="13.35" customHeight="1">
      <c r="A48" s="1454" t="s">
        <v>2142</v>
      </c>
      <c r="B48" s="1454"/>
      <c r="C48" s="1454"/>
      <c r="D48" s="1572">
        <f>SUM(D45:D47)</f>
        <v>52569</v>
      </c>
      <c r="E48" s="1572">
        <f t="shared" ref="E48:J48" si="8">SUM(E45:E47)</f>
        <v>252569</v>
      </c>
      <c r="F48" s="1572">
        <f t="shared" si="8"/>
        <v>52569</v>
      </c>
      <c r="G48" s="1572">
        <f t="shared" si="8"/>
        <v>50000</v>
      </c>
      <c r="H48" s="1572">
        <f t="shared" si="8"/>
        <v>50000</v>
      </c>
      <c r="I48" s="1572">
        <f t="shared" si="8"/>
        <v>50000</v>
      </c>
      <c r="J48" s="1572">
        <f t="shared" si="8"/>
        <v>50000</v>
      </c>
    </row>
    <row r="50" spans="1:10" s="1444" customFormat="1" ht="12.15" customHeight="1">
      <c r="A50" s="1445" t="s">
        <v>1308</v>
      </c>
      <c r="B50" s="1445"/>
      <c r="C50" s="1445"/>
      <c r="D50" s="1569"/>
      <c r="E50" s="1569"/>
      <c r="F50" s="1569"/>
      <c r="G50" s="1569"/>
      <c r="H50" s="1569"/>
      <c r="I50" s="1569"/>
      <c r="J50" s="1569"/>
    </row>
    <row r="51" spans="1:10" ht="10.95" customHeight="1">
      <c r="A51" s="1446" t="s">
        <v>1045</v>
      </c>
      <c r="B51" s="1447">
        <v>45961</v>
      </c>
      <c r="C51" s="1446" t="s">
        <v>2021</v>
      </c>
      <c r="D51" s="1570">
        <v>92700.800000000003</v>
      </c>
      <c r="E51" s="1570">
        <f t="shared" si="0"/>
        <v>92700.800000000003</v>
      </c>
      <c r="F51" s="1570">
        <f>+D51</f>
        <v>92700.800000000003</v>
      </c>
      <c r="G51" s="1570"/>
      <c r="H51" s="1570"/>
      <c r="I51" s="1570"/>
      <c r="J51" s="1570"/>
    </row>
    <row r="52" spans="1:10" ht="10.95" customHeight="1">
      <c r="A52" s="1450" t="s">
        <v>1045</v>
      </c>
      <c r="B52" s="1451">
        <v>45991</v>
      </c>
      <c r="C52" s="1450" t="s">
        <v>2143</v>
      </c>
      <c r="D52" s="1571">
        <v>94400</v>
      </c>
      <c r="E52" s="1571">
        <f t="shared" si="0"/>
        <v>94400</v>
      </c>
      <c r="F52" s="1570">
        <f>+D52</f>
        <v>94400</v>
      </c>
      <c r="G52" s="1571"/>
      <c r="H52" s="1571"/>
      <c r="I52" s="1571"/>
      <c r="J52" s="1571"/>
    </row>
    <row r="53" spans="1:10" ht="10.95" customHeight="1">
      <c r="A53" s="1450" t="s">
        <v>1045</v>
      </c>
      <c r="B53" s="1451"/>
      <c r="C53" s="1450"/>
      <c r="D53" s="1571"/>
      <c r="E53" s="1571">
        <f t="shared" si="0"/>
        <v>400000</v>
      </c>
      <c r="F53" s="1570"/>
      <c r="G53" s="1577">
        <v>100000</v>
      </c>
      <c r="H53" s="1577">
        <v>100000</v>
      </c>
      <c r="I53" s="1577">
        <v>100000</v>
      </c>
      <c r="J53" s="1577">
        <v>100000</v>
      </c>
    </row>
    <row r="54" spans="1:10" ht="10.95" customHeight="1">
      <c r="A54" s="1454" t="s">
        <v>1835</v>
      </c>
      <c r="B54" s="1454"/>
      <c r="C54" s="1454"/>
      <c r="D54" s="1572">
        <f>SUM(D51:D53)</f>
        <v>187100.79999999999</v>
      </c>
      <c r="E54" s="1572">
        <f t="shared" ref="E54:J54" si="9">SUM(E51:E53)</f>
        <v>587100.80000000005</v>
      </c>
      <c r="F54" s="1572">
        <f t="shared" si="9"/>
        <v>187100.79999999999</v>
      </c>
      <c r="G54" s="1572">
        <f t="shared" si="9"/>
        <v>100000</v>
      </c>
      <c r="H54" s="1572">
        <f t="shared" si="9"/>
        <v>100000</v>
      </c>
      <c r="I54" s="1572">
        <f t="shared" si="9"/>
        <v>100000</v>
      </c>
      <c r="J54" s="1572">
        <f t="shared" si="9"/>
        <v>100000</v>
      </c>
    </row>
    <row r="55" spans="1:10" ht="13.35" customHeight="1">
      <c r="D55" s="1568"/>
      <c r="E55" s="1568"/>
      <c r="F55" s="1568"/>
      <c r="G55" s="1568"/>
      <c r="H55" s="1568"/>
      <c r="I55" s="1568"/>
      <c r="J55" s="1568"/>
    </row>
    <row r="56" spans="1:10" s="1444" customFormat="1" ht="12.15" customHeight="1">
      <c r="A56" s="1445" t="s">
        <v>2022</v>
      </c>
      <c r="B56" s="1445"/>
      <c r="C56" s="1445"/>
      <c r="D56" s="1569"/>
      <c r="E56" s="1569"/>
      <c r="F56" s="1569"/>
      <c r="G56" s="1569"/>
      <c r="H56" s="1569"/>
      <c r="I56" s="1569"/>
      <c r="J56" s="1569"/>
    </row>
    <row r="57" spans="1:10" ht="10.95" customHeight="1">
      <c r="A57" s="1446" t="s">
        <v>2023</v>
      </c>
      <c r="B57" s="1447">
        <v>45951</v>
      </c>
      <c r="C57" s="1446" t="s">
        <v>1926</v>
      </c>
      <c r="D57" s="1570">
        <v>54133.48</v>
      </c>
      <c r="E57" s="1570">
        <f t="shared" si="0"/>
        <v>54133.48</v>
      </c>
      <c r="F57" s="1570">
        <f>+D57</f>
        <v>54133.48</v>
      </c>
      <c r="G57" s="1570"/>
      <c r="H57" s="1570"/>
      <c r="I57" s="1570"/>
      <c r="J57" s="1570"/>
    </row>
    <row r="58" spans="1:10" ht="10.95" customHeight="1">
      <c r="A58" s="1450" t="s">
        <v>2023</v>
      </c>
      <c r="B58" s="1451">
        <v>45951</v>
      </c>
      <c r="C58" s="1450" t="s">
        <v>873</v>
      </c>
      <c r="D58" s="1571">
        <v>506964.3</v>
      </c>
      <c r="E58" s="1571">
        <f t="shared" si="0"/>
        <v>506964.3</v>
      </c>
      <c r="F58" s="1570">
        <f t="shared" ref="F58:F59" si="10">+D58</f>
        <v>506964.3</v>
      </c>
      <c r="G58" s="1571"/>
      <c r="H58" s="1571"/>
      <c r="I58" s="1571"/>
      <c r="J58" s="1571"/>
    </row>
    <row r="59" spans="1:10" ht="10.95" customHeight="1">
      <c r="A59" s="1450" t="s">
        <v>2023</v>
      </c>
      <c r="B59" s="1451">
        <v>45985</v>
      </c>
      <c r="C59" s="1450" t="s">
        <v>2144</v>
      </c>
      <c r="D59" s="1571">
        <v>506964.3</v>
      </c>
      <c r="E59" s="1571">
        <f t="shared" si="0"/>
        <v>506964.3</v>
      </c>
      <c r="F59" s="1570">
        <f t="shared" si="10"/>
        <v>506964.3</v>
      </c>
      <c r="G59" s="1571"/>
      <c r="H59" s="1571"/>
      <c r="I59" s="1571"/>
      <c r="J59" s="1571"/>
    </row>
    <row r="60" spans="1:10" ht="10.95" customHeight="1">
      <c r="A60" s="1450" t="s">
        <v>2023</v>
      </c>
      <c r="B60" s="1451"/>
      <c r="C60" s="1450"/>
      <c r="D60" s="1571"/>
      <c r="E60" s="1571">
        <f t="shared" si="0"/>
        <v>2534821.5</v>
      </c>
      <c r="F60" s="1577">
        <v>506964.3</v>
      </c>
      <c r="G60" s="1577">
        <v>506964.3</v>
      </c>
      <c r="H60" s="1577">
        <v>506964.3</v>
      </c>
      <c r="I60" s="1577">
        <v>506964.3</v>
      </c>
      <c r="J60" s="1577">
        <v>506964.3</v>
      </c>
    </row>
    <row r="61" spans="1:10" ht="10.95" customHeight="1">
      <c r="A61" s="1454" t="s">
        <v>2024</v>
      </c>
      <c r="B61" s="1454"/>
      <c r="C61" s="1454"/>
      <c r="D61" s="1572">
        <f>SUM(D57:D60)</f>
        <v>1068062.08</v>
      </c>
      <c r="E61" s="1572">
        <f t="shared" ref="E61:J61" si="11">SUM(E57:E60)</f>
        <v>3602883.58</v>
      </c>
      <c r="F61" s="1572">
        <f t="shared" si="11"/>
        <v>1575026.3800000001</v>
      </c>
      <c r="G61" s="1572">
        <f t="shared" si="11"/>
        <v>506964.3</v>
      </c>
      <c r="H61" s="1572">
        <f t="shared" si="11"/>
        <v>506964.3</v>
      </c>
      <c r="I61" s="1572">
        <f t="shared" si="11"/>
        <v>506964.3</v>
      </c>
      <c r="J61" s="1572">
        <f t="shared" si="11"/>
        <v>506964.3</v>
      </c>
    </row>
    <row r="62" spans="1:10" ht="13.35" customHeight="1">
      <c r="D62" s="1568"/>
      <c r="E62" s="1568"/>
      <c r="F62" s="1568"/>
      <c r="G62" s="1568"/>
      <c r="H62" s="1568"/>
      <c r="I62" s="1568"/>
      <c r="J62" s="1568"/>
    </row>
    <row r="63" spans="1:10" s="1444" customFormat="1" ht="12.15" customHeight="1">
      <c r="A63" s="1445" t="s">
        <v>1836</v>
      </c>
      <c r="B63" s="1445"/>
      <c r="C63" s="1445"/>
      <c r="D63" s="1569"/>
      <c r="E63" s="1569"/>
      <c r="F63" s="1569"/>
      <c r="G63" s="1569"/>
      <c r="H63" s="1569"/>
      <c r="I63" s="1569"/>
      <c r="J63" s="1569"/>
    </row>
    <row r="64" spans="1:10" ht="10.95" customHeight="1">
      <c r="A64" s="1446" t="s">
        <v>295</v>
      </c>
      <c r="B64" s="1447">
        <v>45968</v>
      </c>
      <c r="C64" s="1446" t="s">
        <v>2145</v>
      </c>
      <c r="D64" s="1570">
        <v>1770000</v>
      </c>
      <c r="E64" s="1570">
        <f t="shared" si="0"/>
        <v>1770000</v>
      </c>
      <c r="F64" s="1570">
        <f>+D64</f>
        <v>1770000</v>
      </c>
      <c r="G64" s="1570"/>
      <c r="H64" s="1570"/>
      <c r="I64" s="1570"/>
      <c r="J64" s="1570"/>
    </row>
    <row r="65" spans="1:10" ht="10.95" customHeight="1">
      <c r="A65" s="1446" t="s">
        <v>295</v>
      </c>
      <c r="B65" s="1447"/>
      <c r="C65" s="1446"/>
      <c r="D65" s="1570"/>
      <c r="E65" s="1570">
        <f t="shared" si="0"/>
        <v>8850000</v>
      </c>
      <c r="F65" s="1576">
        <v>1770000</v>
      </c>
      <c r="G65" s="1576">
        <v>1770000</v>
      </c>
      <c r="H65" s="1576">
        <v>1770000</v>
      </c>
      <c r="I65" s="1576">
        <v>1770000</v>
      </c>
      <c r="J65" s="1576">
        <v>1770000</v>
      </c>
    </row>
    <row r="66" spans="1:10" ht="10.95" customHeight="1">
      <c r="A66" s="1454" t="s">
        <v>1838</v>
      </c>
      <c r="B66" s="1454"/>
      <c r="C66" s="1454"/>
      <c r="D66" s="1572">
        <f>SUM(D64:D65)</f>
        <v>1770000</v>
      </c>
      <c r="E66" s="1572">
        <f t="shared" ref="E66:J66" si="12">SUM(E64:E65)</f>
        <v>10620000</v>
      </c>
      <c r="F66" s="1572">
        <f t="shared" si="12"/>
        <v>3540000</v>
      </c>
      <c r="G66" s="1572">
        <f t="shared" si="12"/>
        <v>1770000</v>
      </c>
      <c r="H66" s="1572">
        <f t="shared" si="12"/>
        <v>1770000</v>
      </c>
      <c r="I66" s="1572">
        <f t="shared" si="12"/>
        <v>1770000</v>
      </c>
      <c r="J66" s="1572">
        <f t="shared" si="12"/>
        <v>1770000</v>
      </c>
    </row>
    <row r="67" spans="1:10" ht="13.35" customHeight="1">
      <c r="D67" s="1568"/>
      <c r="E67" s="1568"/>
      <c r="F67" s="1568"/>
      <c r="G67" s="1568"/>
      <c r="H67" s="1568"/>
      <c r="I67" s="1568"/>
      <c r="J67" s="1568"/>
    </row>
    <row r="68" spans="1:10" s="1444" customFormat="1" ht="12.15" customHeight="1">
      <c r="A68" s="1445" t="s">
        <v>1475</v>
      </c>
      <c r="B68" s="1445"/>
      <c r="C68" s="1445"/>
      <c r="D68" s="1569"/>
      <c r="E68" s="1569"/>
      <c r="F68" s="1569"/>
      <c r="G68" s="1569"/>
      <c r="H68" s="1569"/>
      <c r="I68" s="1569"/>
      <c r="J68" s="1569"/>
    </row>
    <row r="69" spans="1:10" ht="10.95" customHeight="1">
      <c r="A69" s="1446" t="s">
        <v>914</v>
      </c>
      <c r="B69" s="1447">
        <v>45964</v>
      </c>
      <c r="C69" s="1446" t="s">
        <v>2146</v>
      </c>
      <c r="D69" s="1570">
        <v>3129623.97</v>
      </c>
      <c r="E69" s="1570">
        <f t="shared" si="0"/>
        <v>3129623.97</v>
      </c>
      <c r="F69" s="1570">
        <f>+D69</f>
        <v>3129623.97</v>
      </c>
      <c r="G69" s="1570"/>
      <c r="H69" s="1570"/>
      <c r="I69" s="1570"/>
      <c r="J69" s="1570"/>
    </row>
    <row r="70" spans="1:10" ht="10.95" customHeight="1">
      <c r="A70" s="1450" t="s">
        <v>389</v>
      </c>
      <c r="B70" s="1451">
        <v>45967</v>
      </c>
      <c r="C70" s="1450" t="s">
        <v>2147</v>
      </c>
      <c r="D70" s="1571">
        <v>247831.18</v>
      </c>
      <c r="E70" s="1571">
        <f t="shared" si="0"/>
        <v>247831.18</v>
      </c>
      <c r="F70" s="1570">
        <f t="shared" ref="F70:F72" si="13">+D70</f>
        <v>247831.18</v>
      </c>
      <c r="G70" s="1571"/>
      <c r="H70" s="1571"/>
      <c r="I70" s="1571"/>
      <c r="J70" s="1571"/>
    </row>
    <row r="71" spans="1:10" ht="10.95" customHeight="1">
      <c r="A71" s="1450" t="s">
        <v>1569</v>
      </c>
      <c r="B71" s="1451">
        <v>45972</v>
      </c>
      <c r="C71" s="1450" t="s">
        <v>2148</v>
      </c>
      <c r="D71" s="1571">
        <v>6948866.8099999996</v>
      </c>
      <c r="E71" s="1571">
        <f t="shared" si="0"/>
        <v>6948866.8099999996</v>
      </c>
      <c r="F71" s="1570">
        <f t="shared" si="13"/>
        <v>6948866.8099999996</v>
      </c>
      <c r="G71" s="1571"/>
      <c r="H71" s="1571"/>
      <c r="I71" s="1571"/>
      <c r="J71" s="1571"/>
    </row>
    <row r="72" spans="1:10" ht="10.95" customHeight="1">
      <c r="A72" s="1450" t="s">
        <v>1569</v>
      </c>
      <c r="B72" s="1451">
        <v>45978</v>
      </c>
      <c r="C72" s="1450" t="s">
        <v>2149</v>
      </c>
      <c r="D72" s="1571">
        <v>2297926.42</v>
      </c>
      <c r="E72" s="1571">
        <f t="shared" si="0"/>
        <v>2297926.42</v>
      </c>
      <c r="F72" s="1570">
        <f t="shared" si="13"/>
        <v>2297926.42</v>
      </c>
      <c r="G72" s="1571"/>
      <c r="H72" s="1571"/>
      <c r="I72" s="1571"/>
      <c r="J72" s="1571"/>
    </row>
    <row r="73" spans="1:10" ht="10.95" customHeight="1">
      <c r="A73" s="1450" t="s">
        <v>389</v>
      </c>
      <c r="B73" s="1451"/>
      <c r="C73" s="1450"/>
      <c r="D73" s="1571"/>
      <c r="E73" s="1571">
        <f t="shared" si="0"/>
        <v>2406812.2885799999</v>
      </c>
      <c r="F73" s="1570">
        <f>37318.68*64.4935</f>
        <v>2406812.2885799999</v>
      </c>
      <c r="G73" s="1571"/>
      <c r="H73" s="1571"/>
      <c r="I73" s="1571"/>
      <c r="J73" s="1571"/>
    </row>
    <row r="74" spans="1:10" ht="10.95" customHeight="1">
      <c r="A74" s="1450" t="s">
        <v>1569</v>
      </c>
      <c r="B74" s="1451"/>
      <c r="C74" s="1450"/>
      <c r="D74" s="1571"/>
      <c r="E74" s="1571">
        <f t="shared" si="0"/>
        <v>283400.64540000004</v>
      </c>
      <c r="F74" s="1570">
        <f>4374*64.7921</f>
        <v>283400.64540000004</v>
      </c>
      <c r="G74" s="1571"/>
      <c r="H74" s="1571"/>
      <c r="I74" s="1571"/>
      <c r="J74" s="1571"/>
    </row>
    <row r="75" spans="1:10" ht="10.95" customHeight="1">
      <c r="A75" s="1450" t="s">
        <v>2061</v>
      </c>
      <c r="B75" s="1451"/>
      <c r="C75" s="1450"/>
      <c r="D75" s="1571"/>
      <c r="E75" s="1571">
        <f t="shared" si="0"/>
        <v>48781600.000000007</v>
      </c>
      <c r="F75" s="1570"/>
      <c r="G75" s="1577">
        <v>12195400.000000002</v>
      </c>
      <c r="H75" s="1577">
        <v>12195400.000000002</v>
      </c>
      <c r="I75" s="1577">
        <v>12195400.000000002</v>
      </c>
      <c r="J75" s="1577">
        <v>12195400.000000002</v>
      </c>
    </row>
    <row r="76" spans="1:10" ht="10.95" customHeight="1">
      <c r="A76" s="1454" t="s">
        <v>1841</v>
      </c>
      <c r="B76" s="1454"/>
      <c r="C76" s="1454"/>
      <c r="D76" s="1572">
        <f>SUM(D69:D75)</f>
        <v>12624248.380000001</v>
      </c>
      <c r="E76" s="1572">
        <f t="shared" ref="E76:J76" si="14">SUM(E69:E75)</f>
        <v>64096061.313980013</v>
      </c>
      <c r="F76" s="1572">
        <f t="shared" si="14"/>
        <v>15314461.313980002</v>
      </c>
      <c r="G76" s="1572">
        <f t="shared" si="14"/>
        <v>12195400.000000002</v>
      </c>
      <c r="H76" s="1572">
        <f t="shared" si="14"/>
        <v>12195400.000000002</v>
      </c>
      <c r="I76" s="1572">
        <f t="shared" si="14"/>
        <v>12195400.000000002</v>
      </c>
      <c r="J76" s="1572">
        <f t="shared" si="14"/>
        <v>12195400.000000002</v>
      </c>
    </row>
    <row r="77" spans="1:10" ht="13.35" customHeight="1">
      <c r="D77" s="1568"/>
      <c r="E77" s="1568"/>
      <c r="F77" s="1568"/>
      <c r="G77" s="1568"/>
      <c r="H77" s="1568"/>
      <c r="I77" s="1568"/>
      <c r="J77" s="1568"/>
    </row>
    <row r="78" spans="1:10" s="1444" customFormat="1" ht="12.15" customHeight="1">
      <c r="A78" s="1445" t="s">
        <v>2150</v>
      </c>
      <c r="B78" s="1445"/>
      <c r="C78" s="1445"/>
      <c r="D78" s="1569"/>
      <c r="E78" s="1569"/>
      <c r="F78" s="1569"/>
      <c r="G78" s="1569"/>
      <c r="H78" s="1569"/>
      <c r="I78" s="1569"/>
      <c r="J78" s="1569"/>
    </row>
    <row r="79" spans="1:10" ht="10.95" customHeight="1">
      <c r="A79" s="1446" t="s">
        <v>389</v>
      </c>
      <c r="B79" s="1447">
        <v>45967</v>
      </c>
      <c r="C79" s="1446" t="s">
        <v>2151</v>
      </c>
      <c r="D79" s="1570">
        <v>767000</v>
      </c>
      <c r="E79" s="1570">
        <f t="shared" si="0"/>
        <v>767000</v>
      </c>
      <c r="F79" s="1570">
        <f>+D79</f>
        <v>767000</v>
      </c>
      <c r="G79" s="1570"/>
      <c r="H79" s="1570"/>
      <c r="I79" s="1570"/>
      <c r="J79" s="1570"/>
    </row>
    <row r="80" spans="1:10" ht="10.95" customHeight="1">
      <c r="A80" s="1446"/>
      <c r="B80" s="1447"/>
      <c r="C80" s="1446"/>
      <c r="D80" s="1570"/>
      <c r="E80" s="1570">
        <f t="shared" si="0"/>
        <v>3835000</v>
      </c>
      <c r="F80" s="1576">
        <v>767000</v>
      </c>
      <c r="G80" s="1576">
        <v>767000</v>
      </c>
      <c r="H80" s="1576">
        <v>767000</v>
      </c>
      <c r="I80" s="1576">
        <v>767000</v>
      </c>
      <c r="J80" s="1576">
        <v>767000</v>
      </c>
    </row>
    <row r="81" spans="1:10" ht="10.95" customHeight="1">
      <c r="A81" s="1454" t="s">
        <v>2152</v>
      </c>
      <c r="B81" s="1454"/>
      <c r="C81" s="1454"/>
      <c r="D81" s="1572">
        <f>SUM(D79:D80)</f>
        <v>767000</v>
      </c>
      <c r="E81" s="1572">
        <f t="shared" ref="E81:J81" si="15">SUM(E79:E80)</f>
        <v>4602000</v>
      </c>
      <c r="F81" s="1572">
        <f t="shared" si="15"/>
        <v>1534000</v>
      </c>
      <c r="G81" s="1572">
        <f t="shared" si="15"/>
        <v>767000</v>
      </c>
      <c r="H81" s="1572">
        <f t="shared" si="15"/>
        <v>767000</v>
      </c>
      <c r="I81" s="1572">
        <f t="shared" si="15"/>
        <v>767000</v>
      </c>
      <c r="J81" s="1572">
        <f t="shared" si="15"/>
        <v>767000</v>
      </c>
    </row>
    <row r="82" spans="1:10" ht="13.35" customHeight="1">
      <c r="D82" s="1568"/>
      <c r="E82" s="1568"/>
      <c r="F82" s="1568"/>
      <c r="G82" s="1568"/>
      <c r="H82" s="1568"/>
      <c r="I82" s="1568"/>
      <c r="J82" s="1568"/>
    </row>
    <row r="83" spans="1:10" s="1444" customFormat="1" ht="12.15" customHeight="1">
      <c r="A83" s="1445" t="s">
        <v>1314</v>
      </c>
      <c r="B83" s="1445"/>
      <c r="C83" s="1445"/>
      <c r="D83" s="1569"/>
      <c r="E83" s="1569"/>
      <c r="F83" s="1569"/>
      <c r="G83" s="1569"/>
      <c r="H83" s="1569"/>
      <c r="I83" s="1569"/>
      <c r="J83" s="1569"/>
    </row>
    <row r="84" spans="1:10" ht="10.95" customHeight="1">
      <c r="A84" s="1446" t="s">
        <v>778</v>
      </c>
      <c r="B84" s="1447">
        <v>45967</v>
      </c>
      <c r="C84" s="1446" t="s">
        <v>2153</v>
      </c>
      <c r="D84" s="1570">
        <v>1276808.69</v>
      </c>
      <c r="E84" s="1570">
        <f t="shared" si="0"/>
        <v>1276808.69</v>
      </c>
      <c r="F84" s="1570">
        <f>+D84</f>
        <v>1276808.69</v>
      </c>
      <c r="G84" s="1570"/>
      <c r="H84" s="1570"/>
      <c r="I84" s="1570"/>
      <c r="J84" s="1570"/>
    </row>
    <row r="85" spans="1:10" ht="10.95" customHeight="1">
      <c r="A85" s="1446"/>
      <c r="B85" s="1447"/>
      <c r="C85" s="1446"/>
      <c r="D85" s="1570"/>
      <c r="E85" s="1570">
        <f t="shared" si="0"/>
        <v>6611409.7000000002</v>
      </c>
      <c r="F85" s="1576">
        <v>1311409.7</v>
      </c>
      <c r="G85" s="1576">
        <v>1325000</v>
      </c>
      <c r="H85" s="1576">
        <v>1325000</v>
      </c>
      <c r="I85" s="1576">
        <v>1325000</v>
      </c>
      <c r="J85" s="1576">
        <v>1325000</v>
      </c>
    </row>
    <row r="86" spans="1:10" ht="10.95" customHeight="1">
      <c r="A86" s="1454" t="s">
        <v>1846</v>
      </c>
      <c r="B86" s="1454"/>
      <c r="C86" s="1454"/>
      <c r="D86" s="1572">
        <f>SUM(D84:D85)</f>
        <v>1276808.69</v>
      </c>
      <c r="E86" s="1572">
        <f t="shared" ref="E86:J86" si="16">SUM(E84:E85)</f>
        <v>7888218.3900000006</v>
      </c>
      <c r="F86" s="1572">
        <f t="shared" si="16"/>
        <v>2588218.3899999997</v>
      </c>
      <c r="G86" s="1572">
        <f t="shared" si="16"/>
        <v>1325000</v>
      </c>
      <c r="H86" s="1572">
        <f t="shared" si="16"/>
        <v>1325000</v>
      </c>
      <c r="I86" s="1572">
        <f t="shared" si="16"/>
        <v>1325000</v>
      </c>
      <c r="J86" s="1572">
        <f t="shared" si="16"/>
        <v>1325000</v>
      </c>
    </row>
    <row r="87" spans="1:10" ht="13.35" customHeight="1">
      <c r="D87" s="1568"/>
      <c r="E87" s="1568"/>
      <c r="F87" s="1568"/>
      <c r="G87" s="1568"/>
      <c r="H87" s="1568"/>
      <c r="I87" s="1568"/>
      <c r="J87" s="1568"/>
    </row>
    <row r="88" spans="1:10" s="1444" customFormat="1" ht="12.15" customHeight="1">
      <c r="A88" s="1445" t="s">
        <v>1847</v>
      </c>
      <c r="B88" s="1445"/>
      <c r="C88" s="1445"/>
      <c r="D88" s="1569"/>
      <c r="E88" s="1569"/>
      <c r="F88" s="1569"/>
      <c r="G88" s="1569"/>
      <c r="H88" s="1569"/>
      <c r="I88" s="1569"/>
      <c r="J88" s="1569"/>
    </row>
    <row r="89" spans="1:10" ht="10.95" customHeight="1">
      <c r="A89" s="1446" t="s">
        <v>1043</v>
      </c>
      <c r="B89" s="1447">
        <v>45950</v>
      </c>
      <c r="C89" s="1446" t="s">
        <v>2025</v>
      </c>
      <c r="D89" s="1570">
        <v>15603.33</v>
      </c>
      <c r="E89" s="1570">
        <f t="shared" si="0"/>
        <v>15603.33</v>
      </c>
      <c r="F89" s="1570">
        <f>+D89</f>
        <v>15603.33</v>
      </c>
      <c r="G89" s="1570"/>
      <c r="H89" s="1570"/>
      <c r="I89" s="1570"/>
      <c r="J89" s="1570"/>
    </row>
    <row r="90" spans="1:10" ht="10.95" customHeight="1">
      <c r="A90" s="1450" t="s">
        <v>1045</v>
      </c>
      <c r="B90" s="1451">
        <v>45961</v>
      </c>
      <c r="C90" s="1450" t="s">
        <v>2026</v>
      </c>
      <c r="D90" s="1571">
        <v>70233.600000000006</v>
      </c>
      <c r="E90" s="1571">
        <f t="shared" si="0"/>
        <v>70233.600000000006</v>
      </c>
      <c r="F90" s="1570">
        <f t="shared" ref="F90:F92" si="17">+D90</f>
        <v>70233.600000000006</v>
      </c>
      <c r="G90" s="1571"/>
      <c r="H90" s="1571"/>
      <c r="I90" s="1571"/>
      <c r="J90" s="1571"/>
    </row>
    <row r="91" spans="1:10" ht="10.95" customHeight="1">
      <c r="A91" s="1450" t="s">
        <v>1043</v>
      </c>
      <c r="B91" s="1451">
        <v>45978</v>
      </c>
      <c r="C91" s="1450" t="s">
        <v>2154</v>
      </c>
      <c r="D91" s="1571">
        <v>15705.92</v>
      </c>
      <c r="E91" s="1571">
        <f t="shared" si="0"/>
        <v>15705.92</v>
      </c>
      <c r="F91" s="1570">
        <f t="shared" si="17"/>
        <v>15705.92</v>
      </c>
      <c r="G91" s="1571"/>
      <c r="H91" s="1571"/>
      <c r="I91" s="1571"/>
      <c r="J91" s="1571"/>
    </row>
    <row r="92" spans="1:10" ht="10.95" customHeight="1">
      <c r="A92" s="1450" t="s">
        <v>1045</v>
      </c>
      <c r="B92" s="1451">
        <v>45991</v>
      </c>
      <c r="C92" s="1450" t="s">
        <v>2155</v>
      </c>
      <c r="D92" s="1571">
        <v>67968</v>
      </c>
      <c r="E92" s="1571">
        <f t="shared" si="0"/>
        <v>67968</v>
      </c>
      <c r="F92" s="1570">
        <f t="shared" si="17"/>
        <v>67968</v>
      </c>
      <c r="G92" s="1571"/>
      <c r="H92" s="1571"/>
      <c r="I92" s="1571"/>
      <c r="J92" s="1571"/>
    </row>
    <row r="93" spans="1:10" ht="10.95" customHeight="1">
      <c r="A93" s="1450"/>
      <c r="B93" s="1451"/>
      <c r="C93" s="1450"/>
      <c r="D93" s="1571"/>
      <c r="E93" s="1571">
        <f t="shared" si="0"/>
        <v>100000</v>
      </c>
      <c r="F93" s="1576">
        <v>20000</v>
      </c>
      <c r="G93" s="1576">
        <v>20000</v>
      </c>
      <c r="H93" s="1576">
        <v>20000</v>
      </c>
      <c r="I93" s="1576">
        <v>20000</v>
      </c>
      <c r="J93" s="1576">
        <v>20000</v>
      </c>
    </row>
    <row r="94" spans="1:10" ht="10.95" customHeight="1">
      <c r="A94" s="1450"/>
      <c r="B94" s="1451"/>
      <c r="C94" s="1450"/>
      <c r="D94" s="1571"/>
      <c r="E94" s="1571">
        <f t="shared" ref="E94" si="18">SUM(F94:J94)</f>
        <v>400000</v>
      </c>
      <c r="F94" s="1576">
        <v>80000</v>
      </c>
      <c r="G94" s="1576">
        <v>80000</v>
      </c>
      <c r="H94" s="1576">
        <v>80000</v>
      </c>
      <c r="I94" s="1576">
        <v>80000</v>
      </c>
      <c r="J94" s="1576">
        <v>80000</v>
      </c>
    </row>
    <row r="95" spans="1:10" ht="10.95" customHeight="1">
      <c r="A95" s="1454" t="s">
        <v>1850</v>
      </c>
      <c r="B95" s="1454"/>
      <c r="C95" s="1454"/>
      <c r="D95" s="1572">
        <f>SUM(D89:D94)</f>
        <v>169510.85</v>
      </c>
      <c r="E95" s="1572">
        <f t="shared" ref="E95:J95" si="19">SUM(E89:E94)</f>
        <v>669510.85</v>
      </c>
      <c r="F95" s="1572">
        <f t="shared" si="19"/>
        <v>269510.84999999998</v>
      </c>
      <c r="G95" s="1572">
        <f t="shared" si="19"/>
        <v>100000</v>
      </c>
      <c r="H95" s="1572">
        <f t="shared" si="19"/>
        <v>100000</v>
      </c>
      <c r="I95" s="1572">
        <f t="shared" si="19"/>
        <v>100000</v>
      </c>
      <c r="J95" s="1572">
        <f t="shared" si="19"/>
        <v>100000</v>
      </c>
    </row>
    <row r="97" spans="1:10" s="1444" customFormat="1" ht="12.15" customHeight="1">
      <c r="A97" s="1445" t="s">
        <v>2156</v>
      </c>
      <c r="B97" s="1445"/>
      <c r="C97" s="1445"/>
      <c r="D97" s="1569"/>
      <c r="E97" s="1569"/>
      <c r="F97" s="1569"/>
      <c r="G97" s="1569"/>
      <c r="H97" s="1569"/>
      <c r="I97" s="1569"/>
      <c r="J97" s="1569"/>
    </row>
    <row r="98" spans="1:10" ht="10.95" customHeight="1">
      <c r="A98" s="1446" t="s">
        <v>1734</v>
      </c>
      <c r="B98" s="1447">
        <v>45986</v>
      </c>
      <c r="C98" s="1446" t="s">
        <v>2157</v>
      </c>
      <c r="D98" s="1570">
        <v>74273.210000000006</v>
      </c>
      <c r="E98" s="1570">
        <f t="shared" ref="E98:E152" si="20">SUM(F98:J98)</f>
        <v>74273.210000000006</v>
      </c>
      <c r="F98" s="1570">
        <f>+D98</f>
        <v>74273.210000000006</v>
      </c>
      <c r="G98" s="1570"/>
      <c r="H98" s="1570"/>
      <c r="I98" s="1570"/>
      <c r="J98" s="1570"/>
    </row>
    <row r="99" spans="1:10" ht="10.95" customHeight="1">
      <c r="A99" s="1446"/>
      <c r="B99" s="1447"/>
      <c r="C99" s="1446"/>
      <c r="D99" s="1570"/>
      <c r="E99" s="1570">
        <f t="shared" si="20"/>
        <v>1250000</v>
      </c>
      <c r="F99" s="1576">
        <v>250000</v>
      </c>
      <c r="G99" s="1576">
        <v>250000</v>
      </c>
      <c r="H99" s="1576">
        <v>250000</v>
      </c>
      <c r="I99" s="1576">
        <v>250000</v>
      </c>
      <c r="J99" s="1576">
        <v>250000</v>
      </c>
    </row>
    <row r="100" spans="1:10" ht="10.95" customHeight="1">
      <c r="A100" s="1454" t="s">
        <v>2158</v>
      </c>
      <c r="B100" s="1454"/>
      <c r="C100" s="1454"/>
      <c r="D100" s="1572">
        <f>SUM(D98:D99)</f>
        <v>74273.210000000006</v>
      </c>
      <c r="E100" s="1572">
        <f t="shared" ref="E100:J100" si="21">SUM(E98:E99)</f>
        <v>1324273.21</v>
      </c>
      <c r="F100" s="1572">
        <f t="shared" si="21"/>
        <v>324273.21000000002</v>
      </c>
      <c r="G100" s="1572">
        <f t="shared" si="21"/>
        <v>250000</v>
      </c>
      <c r="H100" s="1572">
        <f t="shared" si="21"/>
        <v>250000</v>
      </c>
      <c r="I100" s="1572">
        <f t="shared" si="21"/>
        <v>250000</v>
      </c>
      <c r="J100" s="1572">
        <f t="shared" si="21"/>
        <v>250000</v>
      </c>
    </row>
    <row r="101" spans="1:10" ht="13.35" customHeight="1">
      <c r="D101" s="1568"/>
      <c r="E101" s="1568"/>
      <c r="F101" s="1568"/>
      <c r="G101" s="1568"/>
      <c r="H101" s="1568"/>
      <c r="I101" s="1568"/>
      <c r="J101" s="1568"/>
    </row>
    <row r="102" spans="1:10" ht="13.35" customHeight="1">
      <c r="A102" s="1445" t="s">
        <v>1283</v>
      </c>
      <c r="B102" s="1445"/>
      <c r="C102" s="1445"/>
      <c r="D102" s="1569"/>
      <c r="E102" s="1569"/>
      <c r="F102" s="1569"/>
      <c r="G102" s="1569"/>
      <c r="H102" s="1569"/>
      <c r="I102" s="1569"/>
      <c r="J102" s="1569"/>
    </row>
    <row r="103" spans="1:10" ht="13.35" customHeight="1">
      <c r="A103" s="1446" t="s">
        <v>715</v>
      </c>
      <c r="B103" s="1447">
        <v>45978</v>
      </c>
      <c r="C103" s="1446" t="s">
        <v>2140</v>
      </c>
      <c r="D103" s="1570">
        <v>18585</v>
      </c>
      <c r="E103" s="1570">
        <f>SUM(F103:J103)</f>
        <v>18585</v>
      </c>
      <c r="F103" s="1570">
        <f>+D103</f>
        <v>18585</v>
      </c>
      <c r="G103" s="1570"/>
      <c r="H103" s="1570"/>
      <c r="I103" s="1570"/>
      <c r="J103" s="1570"/>
    </row>
    <row r="104" spans="1:10" ht="13.35" customHeight="1">
      <c r="A104" s="1454" t="s">
        <v>2159</v>
      </c>
      <c r="B104" s="1454"/>
      <c r="C104" s="1454"/>
      <c r="D104" s="1572">
        <f t="shared" ref="D104:J104" si="22">SUM(D103:D103)</f>
        <v>18585</v>
      </c>
      <c r="E104" s="1572">
        <f t="shared" si="22"/>
        <v>18585</v>
      </c>
      <c r="F104" s="1572">
        <f t="shared" si="22"/>
        <v>18585</v>
      </c>
      <c r="G104" s="1572">
        <f t="shared" si="22"/>
        <v>0</v>
      </c>
      <c r="H104" s="1572">
        <f t="shared" si="22"/>
        <v>0</v>
      </c>
      <c r="I104" s="1572">
        <f t="shared" si="22"/>
        <v>0</v>
      </c>
      <c r="J104" s="1572">
        <f t="shared" si="22"/>
        <v>0</v>
      </c>
    </row>
    <row r="105" spans="1:10" ht="13.35" customHeight="1">
      <c r="A105" s="1458"/>
      <c r="B105" s="1458"/>
      <c r="C105" s="1458"/>
      <c r="D105" s="1574"/>
      <c r="E105" s="1574"/>
      <c r="F105" s="1574"/>
      <c r="G105" s="1574"/>
      <c r="H105" s="1574"/>
      <c r="I105" s="1574"/>
      <c r="J105" s="1574"/>
    </row>
    <row r="106" spans="1:10" ht="13.35" customHeight="1">
      <c r="A106" s="1445" t="s">
        <v>2027</v>
      </c>
      <c r="B106" s="1445"/>
      <c r="C106" s="1445"/>
      <c r="D106" s="1569"/>
      <c r="E106" s="1569"/>
      <c r="F106" s="1569"/>
      <c r="G106" s="1569"/>
      <c r="H106" s="1569"/>
      <c r="I106" s="1569"/>
      <c r="J106" s="1569"/>
    </row>
    <row r="107" spans="1:10" ht="13.35" customHeight="1">
      <c r="A107" s="1446" t="s">
        <v>1254</v>
      </c>
      <c r="B107" s="1447">
        <v>45841</v>
      </c>
      <c r="C107" s="1446" t="s">
        <v>1477</v>
      </c>
      <c r="D107" s="1570">
        <v>11000</v>
      </c>
      <c r="E107" s="1570">
        <f t="shared" ref="E107:E109" si="23">SUM(F107:J107)</f>
        <v>11000</v>
      </c>
      <c r="F107" s="1570">
        <f>+D107</f>
        <v>11000</v>
      </c>
      <c r="G107" s="1570"/>
      <c r="H107" s="1570"/>
      <c r="I107" s="1570"/>
      <c r="J107" s="1570"/>
    </row>
    <row r="108" spans="1:10" ht="13.35" customHeight="1">
      <c r="A108" s="1450" t="s">
        <v>740</v>
      </c>
      <c r="B108" s="1451">
        <v>45947</v>
      </c>
      <c r="C108" s="1450"/>
      <c r="D108" s="1571">
        <v>-15472.8</v>
      </c>
      <c r="E108" s="1571">
        <f t="shared" si="23"/>
        <v>-15472.8</v>
      </c>
      <c r="F108" s="1571">
        <f>+D108</f>
        <v>-15472.8</v>
      </c>
      <c r="G108" s="1571"/>
      <c r="H108" s="1571"/>
      <c r="I108" s="1571"/>
      <c r="J108" s="1571"/>
    </row>
    <row r="109" spans="1:10" ht="13.35" customHeight="1">
      <c r="A109" s="1450" t="s">
        <v>715</v>
      </c>
      <c r="B109" s="1451">
        <v>45978</v>
      </c>
      <c r="C109" s="1450" t="s">
        <v>2140</v>
      </c>
      <c r="D109" s="1571">
        <v>224255.06</v>
      </c>
      <c r="E109" s="1571">
        <f t="shared" si="23"/>
        <v>224255.06</v>
      </c>
      <c r="F109" s="1571">
        <f>+D109</f>
        <v>224255.06</v>
      </c>
      <c r="G109" s="1571"/>
      <c r="H109" s="1571"/>
      <c r="I109" s="1571"/>
      <c r="J109" s="1571"/>
    </row>
    <row r="110" spans="1:10" ht="13.35" customHeight="1">
      <c r="A110" s="1454" t="s">
        <v>2186</v>
      </c>
      <c r="B110" s="1454"/>
      <c r="C110" s="1454"/>
      <c r="D110" s="1572">
        <f>SUM(D107:D109)</f>
        <v>219782.26</v>
      </c>
      <c r="E110" s="1572">
        <f t="shared" ref="E110" si="24">SUM(E107:E109)</f>
        <v>219782.26</v>
      </c>
      <c r="F110" s="1572">
        <f t="shared" ref="F110" si="25">SUM(F107:F109)</f>
        <v>219782.26</v>
      </c>
      <c r="G110" s="1572">
        <f t="shared" ref="G110" si="26">SUM(G107:G109)</f>
        <v>0</v>
      </c>
      <c r="H110" s="1572">
        <f t="shared" ref="H110" si="27">SUM(H107:H109)</f>
        <v>0</v>
      </c>
      <c r="I110" s="1572">
        <f t="shared" ref="I110" si="28">SUM(I107:I109)</f>
        <v>0</v>
      </c>
      <c r="J110" s="1572">
        <f t="shared" ref="J110" si="29">SUM(J107:J109)</f>
        <v>0</v>
      </c>
    </row>
    <row r="111" spans="1:10" ht="13.35" customHeight="1">
      <c r="A111" s="1458"/>
      <c r="B111" s="1458"/>
      <c r="C111" s="1458"/>
      <c r="D111" s="1574"/>
      <c r="E111" s="1574"/>
      <c r="F111" s="1574"/>
      <c r="G111" s="1574"/>
      <c r="H111" s="1574"/>
      <c r="I111" s="1574"/>
      <c r="J111" s="1574"/>
    </row>
    <row r="112" spans="1:10" s="1444" customFormat="1" ht="12.15" customHeight="1">
      <c r="A112" s="1445" t="s">
        <v>2062</v>
      </c>
      <c r="B112" s="1445"/>
      <c r="C112" s="1445"/>
      <c r="D112" s="1569"/>
      <c r="E112" s="1569"/>
      <c r="F112" s="1569"/>
      <c r="G112" s="1569"/>
      <c r="H112" s="1569"/>
      <c r="I112" s="1569"/>
      <c r="J112" s="1569"/>
    </row>
    <row r="113" spans="1:10" ht="10.95" customHeight="1">
      <c r="A113" s="1446" t="s">
        <v>1507</v>
      </c>
      <c r="B113" s="1447"/>
      <c r="C113" s="1446" t="s">
        <v>2187</v>
      </c>
      <c r="D113" s="1570"/>
      <c r="E113" s="1570">
        <f>SUM(F113:J113)</f>
        <v>188024.95999999999</v>
      </c>
      <c r="F113" s="1576">
        <v>188024.95999999999</v>
      </c>
      <c r="G113" s="1570"/>
      <c r="H113" s="1570"/>
      <c r="I113" s="1570"/>
      <c r="J113" s="1570"/>
    </row>
    <row r="114" spans="1:10" ht="10.95" customHeight="1">
      <c r="A114" s="1450" t="s">
        <v>1507</v>
      </c>
      <c r="B114" s="1451"/>
      <c r="C114" s="1450"/>
      <c r="D114" s="1571"/>
      <c r="E114" s="1571">
        <f>SUM(F114:J114)</f>
        <v>1250000</v>
      </c>
      <c r="F114" s="1577">
        <v>250000</v>
      </c>
      <c r="G114" s="1577">
        <v>250000</v>
      </c>
      <c r="H114" s="1577">
        <v>250000</v>
      </c>
      <c r="I114" s="1577">
        <v>250000</v>
      </c>
      <c r="J114" s="1577">
        <v>250000</v>
      </c>
    </row>
    <row r="115" spans="1:10" ht="10.95" customHeight="1">
      <c r="A115" s="1454" t="s">
        <v>2063</v>
      </c>
      <c r="B115" s="1454"/>
      <c r="C115" s="1454"/>
      <c r="D115" s="1572">
        <f t="shared" ref="D115:J115" si="30">SUM(D113:D114)</f>
        <v>0</v>
      </c>
      <c r="E115" s="1572">
        <f t="shared" si="30"/>
        <v>1438024.96</v>
      </c>
      <c r="F115" s="1572">
        <f t="shared" si="30"/>
        <v>438024.95999999996</v>
      </c>
      <c r="G115" s="1572">
        <f t="shared" si="30"/>
        <v>250000</v>
      </c>
      <c r="H115" s="1572">
        <f t="shared" si="30"/>
        <v>250000</v>
      </c>
      <c r="I115" s="1572">
        <f t="shared" si="30"/>
        <v>250000</v>
      </c>
      <c r="J115" s="1572">
        <f t="shared" si="30"/>
        <v>250000</v>
      </c>
    </row>
    <row r="116" spans="1:10" ht="13.35" customHeight="1">
      <c r="D116" s="1568"/>
      <c r="E116" s="1568"/>
      <c r="F116" s="1568"/>
      <c r="G116" s="1568"/>
      <c r="H116" s="1568"/>
      <c r="I116" s="1568"/>
      <c r="J116" s="1568"/>
    </row>
    <row r="117" spans="1:10" s="1444" customFormat="1" ht="12.15" customHeight="1">
      <c r="A117" s="1445" t="s">
        <v>2160</v>
      </c>
      <c r="B117" s="1445"/>
      <c r="C117" s="1445"/>
      <c r="D117" s="1569"/>
      <c r="E117" s="1569"/>
      <c r="F117" s="1569"/>
      <c r="G117" s="1569"/>
      <c r="H117" s="1569"/>
      <c r="I117" s="1569"/>
      <c r="J117" s="1569"/>
    </row>
    <row r="118" spans="1:10" ht="10.95" customHeight="1">
      <c r="A118" s="1446" t="s">
        <v>389</v>
      </c>
      <c r="B118" s="1447">
        <v>45966</v>
      </c>
      <c r="C118" s="1446" t="s">
        <v>2161</v>
      </c>
      <c r="D118" s="1570">
        <v>151394</v>
      </c>
      <c r="E118" s="1570">
        <f t="shared" si="20"/>
        <v>151394</v>
      </c>
      <c r="F118" s="1570">
        <f>+D118</f>
        <v>151394</v>
      </c>
      <c r="G118" s="1570"/>
      <c r="H118" s="1570"/>
      <c r="I118" s="1570"/>
      <c r="J118" s="1570"/>
    </row>
    <row r="119" spans="1:10" ht="10.95" customHeight="1">
      <c r="A119" s="1450" t="s">
        <v>1855</v>
      </c>
      <c r="B119" s="1451">
        <v>45966</v>
      </c>
      <c r="C119" s="1450" t="s">
        <v>2162</v>
      </c>
      <c r="D119" s="1571">
        <v>94400</v>
      </c>
      <c r="E119" s="1571">
        <f t="shared" si="20"/>
        <v>94400</v>
      </c>
      <c r="F119" s="1570">
        <f t="shared" ref="F119:F120" si="31">+D119</f>
        <v>94400</v>
      </c>
      <c r="G119" s="1571"/>
      <c r="H119" s="1571"/>
      <c r="I119" s="1571"/>
      <c r="J119" s="1571"/>
    </row>
    <row r="120" spans="1:10" ht="10.95" customHeight="1">
      <c r="A120" s="1450" t="s">
        <v>1631</v>
      </c>
      <c r="B120" s="1451">
        <v>45974</v>
      </c>
      <c r="C120" s="1450" t="s">
        <v>2163</v>
      </c>
      <c r="D120" s="1571">
        <v>76036.600000000006</v>
      </c>
      <c r="E120" s="1571">
        <f t="shared" si="20"/>
        <v>76036.600000000006</v>
      </c>
      <c r="F120" s="1570">
        <f t="shared" si="31"/>
        <v>76036.600000000006</v>
      </c>
      <c r="G120" s="1571"/>
      <c r="H120" s="1571"/>
      <c r="I120" s="1571"/>
      <c r="J120" s="1571"/>
    </row>
    <row r="121" spans="1:10" ht="10.95" customHeight="1">
      <c r="A121" s="1450" t="s">
        <v>389</v>
      </c>
      <c r="B121" s="1451"/>
      <c r="C121" s="1450"/>
      <c r="D121" s="1571"/>
      <c r="E121" s="1571">
        <f t="shared" si="20"/>
        <v>775000</v>
      </c>
      <c r="F121" s="1576">
        <v>155000</v>
      </c>
      <c r="G121" s="1576">
        <v>155000</v>
      </c>
      <c r="H121" s="1576">
        <v>155000</v>
      </c>
      <c r="I121" s="1576">
        <v>155000</v>
      </c>
      <c r="J121" s="1576">
        <v>155000</v>
      </c>
    </row>
    <row r="122" spans="1:10" ht="10.95" customHeight="1">
      <c r="A122" s="1450" t="s">
        <v>1855</v>
      </c>
      <c r="B122" s="1451"/>
      <c r="C122" s="1450"/>
      <c r="D122" s="1571"/>
      <c r="E122" s="1571">
        <f t="shared" si="20"/>
        <v>472000</v>
      </c>
      <c r="F122" s="1576">
        <v>94400</v>
      </c>
      <c r="G122" s="1576">
        <v>94400</v>
      </c>
      <c r="H122" s="1576">
        <v>94400</v>
      </c>
      <c r="I122" s="1576">
        <v>94400</v>
      </c>
      <c r="J122" s="1576">
        <v>94400</v>
      </c>
    </row>
    <row r="123" spans="1:10" ht="10.95" customHeight="1">
      <c r="A123" s="1450" t="s">
        <v>1631</v>
      </c>
      <c r="B123" s="1451"/>
      <c r="C123" s="1450"/>
      <c r="D123" s="1571"/>
      <c r="E123" s="1571">
        <f t="shared" si="20"/>
        <v>380183</v>
      </c>
      <c r="F123" s="1576">
        <v>76036.600000000006</v>
      </c>
      <c r="G123" s="1576">
        <v>76036.600000000006</v>
      </c>
      <c r="H123" s="1576">
        <v>76036.600000000006</v>
      </c>
      <c r="I123" s="1576">
        <v>76036.600000000006</v>
      </c>
      <c r="J123" s="1576">
        <v>76036.600000000006</v>
      </c>
    </row>
    <row r="124" spans="1:10" ht="10.95" customHeight="1">
      <c r="A124" s="1454" t="s">
        <v>2164</v>
      </c>
      <c r="B124" s="1454"/>
      <c r="C124" s="1454"/>
      <c r="D124" s="1572">
        <f>SUM(D118:D123)</f>
        <v>321830.59999999998</v>
      </c>
      <c r="E124" s="1572">
        <f t="shared" ref="E124:J124" si="32">SUM(E118:E123)</f>
        <v>1949013.6</v>
      </c>
      <c r="F124" s="1572">
        <f t="shared" si="32"/>
        <v>647267.19999999995</v>
      </c>
      <c r="G124" s="1572">
        <f t="shared" si="32"/>
        <v>325436.59999999998</v>
      </c>
      <c r="H124" s="1572">
        <f t="shared" si="32"/>
        <v>325436.59999999998</v>
      </c>
      <c r="I124" s="1572">
        <f t="shared" si="32"/>
        <v>325436.59999999998</v>
      </c>
      <c r="J124" s="1572">
        <f t="shared" si="32"/>
        <v>325436.59999999998</v>
      </c>
    </row>
    <row r="125" spans="1:10" ht="13.35" customHeight="1">
      <c r="D125" s="1568"/>
      <c r="E125" s="1568"/>
      <c r="F125" s="1568"/>
      <c r="G125" s="1568"/>
      <c r="H125" s="1568"/>
      <c r="I125" s="1568"/>
      <c r="J125" s="1568"/>
    </row>
    <row r="126" spans="1:10" s="1444" customFormat="1" ht="12.15" customHeight="1">
      <c r="A126" s="1445" t="s">
        <v>2031</v>
      </c>
      <c r="B126" s="1445"/>
      <c r="C126" s="1445"/>
      <c r="D126" s="1569"/>
      <c r="E126" s="1569"/>
      <c r="F126" s="1569"/>
      <c r="G126" s="1569"/>
      <c r="H126" s="1569"/>
      <c r="I126" s="1569"/>
      <c r="J126" s="1569"/>
    </row>
    <row r="127" spans="1:10" ht="10.95" customHeight="1">
      <c r="A127" s="1446" t="s">
        <v>746</v>
      </c>
      <c r="B127" s="1447">
        <v>45991</v>
      </c>
      <c r="C127" s="1446" t="s">
        <v>2165</v>
      </c>
      <c r="D127" s="1570">
        <v>21240</v>
      </c>
      <c r="E127" s="1570">
        <f t="shared" si="20"/>
        <v>21240</v>
      </c>
      <c r="F127" s="1570">
        <f>+D127</f>
        <v>21240</v>
      </c>
      <c r="G127" s="1570"/>
      <c r="H127" s="1570"/>
      <c r="I127" s="1570"/>
      <c r="J127" s="1570"/>
    </row>
    <row r="128" spans="1:10" ht="10.95" customHeight="1">
      <c r="A128" s="1446" t="s">
        <v>746</v>
      </c>
      <c r="B128" s="1447"/>
      <c r="C128" s="1446"/>
      <c r="D128" s="1570"/>
      <c r="E128" s="1570">
        <f t="shared" si="20"/>
        <v>106200</v>
      </c>
      <c r="F128" s="1576">
        <v>21240</v>
      </c>
      <c r="G128" s="1576">
        <v>21240</v>
      </c>
      <c r="H128" s="1576">
        <v>21240</v>
      </c>
      <c r="I128" s="1576">
        <v>21240</v>
      </c>
      <c r="J128" s="1576">
        <v>21240</v>
      </c>
    </row>
    <row r="129" spans="1:10" ht="10.95" customHeight="1">
      <c r="A129" s="1446" t="s">
        <v>2188</v>
      </c>
      <c r="B129" s="1447"/>
      <c r="C129" s="1446"/>
      <c r="D129" s="1570"/>
      <c r="E129" s="1570">
        <f t="shared" si="20"/>
        <v>441347.5</v>
      </c>
      <c r="F129" s="1576">
        <v>88269.5</v>
      </c>
      <c r="G129" s="1576">
        <v>88269.5</v>
      </c>
      <c r="H129" s="1576">
        <v>88269.5</v>
      </c>
      <c r="I129" s="1576">
        <v>88269.5</v>
      </c>
      <c r="J129" s="1576">
        <v>88269.5</v>
      </c>
    </row>
    <row r="130" spans="1:10" ht="10.95" customHeight="1">
      <c r="A130" s="1454" t="s">
        <v>2032</v>
      </c>
      <c r="B130" s="1454"/>
      <c r="C130" s="1454"/>
      <c r="D130" s="1572">
        <f>SUM(D127:D129)</f>
        <v>21240</v>
      </c>
      <c r="E130" s="1572">
        <f t="shared" ref="E130:J130" si="33">SUM(E127:E129)</f>
        <v>568787.5</v>
      </c>
      <c r="F130" s="1572">
        <f t="shared" si="33"/>
        <v>130749.5</v>
      </c>
      <c r="G130" s="1572">
        <f t="shared" si="33"/>
        <v>109509.5</v>
      </c>
      <c r="H130" s="1572">
        <f t="shared" si="33"/>
        <v>109509.5</v>
      </c>
      <c r="I130" s="1572">
        <f t="shared" si="33"/>
        <v>109509.5</v>
      </c>
      <c r="J130" s="1572">
        <f t="shared" si="33"/>
        <v>109509.5</v>
      </c>
    </row>
    <row r="131" spans="1:10" ht="13.35" customHeight="1">
      <c r="D131" s="1568"/>
      <c r="E131" s="1568"/>
      <c r="F131" s="1568"/>
      <c r="G131" s="1568"/>
      <c r="H131" s="1568"/>
      <c r="I131" s="1568"/>
      <c r="J131" s="1568"/>
    </row>
    <row r="132" spans="1:10" s="1444" customFormat="1" ht="12.15" customHeight="1">
      <c r="A132" s="1445" t="s">
        <v>2033</v>
      </c>
      <c r="B132" s="1445"/>
      <c r="C132" s="1445"/>
      <c r="D132" s="1569"/>
      <c r="E132" s="1569"/>
      <c r="F132" s="1569"/>
      <c r="G132" s="1569"/>
      <c r="H132" s="1569"/>
      <c r="I132" s="1569"/>
      <c r="J132" s="1569"/>
    </row>
    <row r="133" spans="1:10" ht="10.95" customHeight="1">
      <c r="A133" s="1446" t="s">
        <v>2035</v>
      </c>
      <c r="B133" s="1447">
        <v>45959</v>
      </c>
      <c r="C133" s="1446" t="s">
        <v>2036</v>
      </c>
      <c r="D133" s="1570">
        <v>32957.4</v>
      </c>
      <c r="E133" s="1570">
        <f t="shared" si="20"/>
        <v>32957.4</v>
      </c>
      <c r="F133" s="1570">
        <f>+D133</f>
        <v>32957.4</v>
      </c>
      <c r="G133" s="1570"/>
      <c r="H133" s="1570"/>
      <c r="I133" s="1570"/>
      <c r="J133" s="1570"/>
    </row>
    <row r="134" spans="1:10" ht="10.95" customHeight="1">
      <c r="A134" s="1450" t="s">
        <v>1049</v>
      </c>
      <c r="B134" s="1451">
        <v>45968</v>
      </c>
      <c r="C134" s="1450" t="s">
        <v>2166</v>
      </c>
      <c r="D134" s="1571">
        <v>10162</v>
      </c>
      <c r="E134" s="1571">
        <f t="shared" si="20"/>
        <v>10162</v>
      </c>
      <c r="F134" s="1571">
        <f>+D134</f>
        <v>10162</v>
      </c>
      <c r="G134" s="1571"/>
      <c r="H134" s="1571"/>
      <c r="I134" s="1571"/>
      <c r="J134" s="1571"/>
    </row>
    <row r="135" spans="1:10" ht="10.95" customHeight="1">
      <c r="A135" s="1450" t="s">
        <v>2064</v>
      </c>
      <c r="B135" s="1451"/>
      <c r="C135" s="1450"/>
      <c r="D135" s="1571"/>
      <c r="E135" s="1571">
        <f t="shared" si="20"/>
        <v>750000</v>
      </c>
      <c r="F135" s="1577">
        <v>150000</v>
      </c>
      <c r="G135" s="1577">
        <v>150000</v>
      </c>
      <c r="H135" s="1577">
        <v>150000</v>
      </c>
      <c r="I135" s="1577">
        <v>150000</v>
      </c>
      <c r="J135" s="1577">
        <v>150000</v>
      </c>
    </row>
    <row r="136" spans="1:10" ht="10.95" customHeight="1">
      <c r="A136" s="1454" t="s">
        <v>2037</v>
      </c>
      <c r="B136" s="1454"/>
      <c r="C136" s="1454"/>
      <c r="D136" s="1572">
        <f>SUM(D133:D135)</f>
        <v>43119.4</v>
      </c>
      <c r="E136" s="1572">
        <f t="shared" ref="E136:J136" si="34">SUM(E133:E135)</f>
        <v>793119.4</v>
      </c>
      <c r="F136" s="1572">
        <f t="shared" si="34"/>
        <v>193119.4</v>
      </c>
      <c r="G136" s="1572">
        <f t="shared" si="34"/>
        <v>150000</v>
      </c>
      <c r="H136" s="1572">
        <f t="shared" si="34"/>
        <v>150000</v>
      </c>
      <c r="I136" s="1572">
        <f t="shared" si="34"/>
        <v>150000</v>
      </c>
      <c r="J136" s="1572">
        <f t="shared" si="34"/>
        <v>150000</v>
      </c>
    </row>
    <row r="137" spans="1:10" ht="13.35" customHeight="1">
      <c r="D137" s="1568"/>
      <c r="E137" s="1568"/>
      <c r="F137" s="1568"/>
      <c r="G137" s="1568"/>
      <c r="H137" s="1568"/>
      <c r="I137" s="1568"/>
      <c r="J137" s="1568"/>
    </row>
    <row r="138" spans="1:10" s="1444" customFormat="1" ht="12.15" customHeight="1">
      <c r="A138" s="1445" t="s">
        <v>2167</v>
      </c>
      <c r="B138" s="1445"/>
      <c r="C138" s="1445"/>
      <c r="D138" s="1569"/>
      <c r="E138" s="1569"/>
      <c r="F138" s="1569"/>
      <c r="G138" s="1569"/>
      <c r="H138" s="1569"/>
      <c r="I138" s="1569"/>
      <c r="J138" s="1569"/>
    </row>
    <row r="139" spans="1:10" ht="10.95" customHeight="1">
      <c r="A139" s="1446" t="s">
        <v>389</v>
      </c>
      <c r="B139" s="1447">
        <v>45967</v>
      </c>
      <c r="C139" s="1446" t="s">
        <v>2168</v>
      </c>
      <c r="D139" s="1570">
        <v>367248.33</v>
      </c>
      <c r="E139" s="1570">
        <f t="shared" si="20"/>
        <v>367248.33</v>
      </c>
      <c r="F139" s="1570">
        <f>+D139</f>
        <v>367248.33</v>
      </c>
      <c r="G139" s="1570"/>
      <c r="H139" s="1570"/>
      <c r="I139" s="1570"/>
      <c r="J139" s="1570"/>
    </row>
    <row r="140" spans="1:10" ht="10.95" customHeight="1">
      <c r="A140" s="1450" t="s">
        <v>1579</v>
      </c>
      <c r="B140" s="1451">
        <v>45984</v>
      </c>
      <c r="C140" s="1450" t="s">
        <v>2169</v>
      </c>
      <c r="D140" s="1571">
        <v>71496.2</v>
      </c>
      <c r="E140" s="1571">
        <f t="shared" si="20"/>
        <v>71496.2</v>
      </c>
      <c r="F140" s="1570">
        <f t="shared" ref="F140:F141" si="35">+D140</f>
        <v>71496.2</v>
      </c>
      <c r="G140" s="1571"/>
      <c r="H140" s="1571"/>
      <c r="I140" s="1571"/>
      <c r="J140" s="1571"/>
    </row>
    <row r="141" spans="1:10" ht="10.95" customHeight="1">
      <c r="A141" s="1450" t="s">
        <v>1579</v>
      </c>
      <c r="B141" s="1451">
        <v>45984</v>
      </c>
      <c r="C141" s="1450" t="s">
        <v>2170</v>
      </c>
      <c r="D141" s="1571">
        <v>74729.399999999994</v>
      </c>
      <c r="E141" s="1571">
        <f t="shared" si="20"/>
        <v>74729.399999999994</v>
      </c>
      <c r="F141" s="1570">
        <f t="shared" si="35"/>
        <v>74729.399999999994</v>
      </c>
      <c r="G141" s="1571"/>
      <c r="H141" s="1571"/>
      <c r="I141" s="1571"/>
      <c r="J141" s="1571"/>
    </row>
    <row r="142" spans="1:10" ht="10.95" customHeight="1">
      <c r="A142" s="1450" t="s">
        <v>2064</v>
      </c>
      <c r="B142" s="1451"/>
      <c r="C142" s="1450"/>
      <c r="D142" s="1571"/>
      <c r="E142" s="1571">
        <f t="shared" si="20"/>
        <v>750000</v>
      </c>
      <c r="F142" s="1576">
        <v>150000</v>
      </c>
      <c r="G142" s="1576">
        <v>150000</v>
      </c>
      <c r="H142" s="1576">
        <v>150000</v>
      </c>
      <c r="I142" s="1576">
        <v>150000</v>
      </c>
      <c r="J142" s="1576">
        <v>150000</v>
      </c>
    </row>
    <row r="143" spans="1:10" ht="10.95" customHeight="1">
      <c r="A143" s="1454" t="s">
        <v>2171</v>
      </c>
      <c r="B143" s="1454"/>
      <c r="C143" s="1454"/>
      <c r="D143" s="1572">
        <f>SUM(D139:D142)</f>
        <v>513473.93000000005</v>
      </c>
      <c r="E143" s="1572">
        <f t="shared" ref="E143:J143" si="36">SUM(E139:E142)</f>
        <v>1263473.9300000002</v>
      </c>
      <c r="F143" s="1572">
        <f t="shared" si="36"/>
        <v>663473.93000000005</v>
      </c>
      <c r="G143" s="1572">
        <f t="shared" si="36"/>
        <v>150000</v>
      </c>
      <c r="H143" s="1572">
        <f t="shared" si="36"/>
        <v>150000</v>
      </c>
      <c r="I143" s="1572">
        <f t="shared" si="36"/>
        <v>150000</v>
      </c>
      <c r="J143" s="1572">
        <f t="shared" si="36"/>
        <v>150000</v>
      </c>
    </row>
    <row r="145" spans="1:10" s="1444" customFormat="1" ht="12.15" customHeight="1">
      <c r="A145" s="1445" t="s">
        <v>919</v>
      </c>
      <c r="B145" s="1445"/>
      <c r="C145" s="1445"/>
      <c r="D145" s="1569"/>
      <c r="E145" s="1569"/>
      <c r="F145" s="1569"/>
      <c r="G145" s="1569"/>
      <c r="H145" s="1569"/>
      <c r="I145" s="1569"/>
      <c r="J145" s="1569"/>
    </row>
    <row r="146" spans="1:10" ht="10.95" customHeight="1">
      <c r="A146" s="1446" t="s">
        <v>728</v>
      </c>
      <c r="B146" s="1447">
        <v>45978</v>
      </c>
      <c r="C146" s="1446" t="s">
        <v>2172</v>
      </c>
      <c r="D146" s="1570">
        <v>76700</v>
      </c>
      <c r="E146" s="1570">
        <f t="shared" si="20"/>
        <v>76700</v>
      </c>
      <c r="F146" s="1570">
        <f>+D146</f>
        <v>76700</v>
      </c>
      <c r="G146" s="1570"/>
      <c r="H146" s="1570"/>
      <c r="I146" s="1570"/>
      <c r="J146" s="1570"/>
    </row>
    <row r="147" spans="1:10" ht="10.95" customHeight="1">
      <c r="A147" s="1450" t="s">
        <v>737</v>
      </c>
      <c r="B147" s="1451">
        <v>45978</v>
      </c>
      <c r="C147" s="1450" t="s">
        <v>2173</v>
      </c>
      <c r="D147" s="1571">
        <v>98333.33</v>
      </c>
      <c r="E147" s="1571">
        <f t="shared" si="20"/>
        <v>98333.33</v>
      </c>
      <c r="F147" s="1570">
        <f t="shared" ref="F147:F149" si="37">+D147</f>
        <v>98333.33</v>
      </c>
      <c r="G147" s="1571"/>
      <c r="H147" s="1571"/>
      <c r="I147" s="1571"/>
      <c r="J147" s="1571"/>
    </row>
    <row r="148" spans="1:10" ht="10.95" customHeight="1">
      <c r="A148" s="1450" t="s">
        <v>737</v>
      </c>
      <c r="B148" s="1451">
        <v>45978</v>
      </c>
      <c r="C148" s="1450" t="s">
        <v>2174</v>
      </c>
      <c r="D148" s="1571">
        <v>64888.89</v>
      </c>
      <c r="E148" s="1571">
        <f t="shared" si="20"/>
        <v>64888.89</v>
      </c>
      <c r="F148" s="1570">
        <f t="shared" si="37"/>
        <v>64888.89</v>
      </c>
      <c r="G148" s="1571"/>
      <c r="H148" s="1571"/>
      <c r="I148" s="1571"/>
      <c r="J148" s="1571"/>
    </row>
    <row r="149" spans="1:10" ht="10.95" customHeight="1">
      <c r="A149" s="1450" t="s">
        <v>715</v>
      </c>
      <c r="B149" s="1451">
        <v>45973</v>
      </c>
      <c r="C149" s="1450" t="s">
        <v>2137</v>
      </c>
      <c r="D149" s="1571">
        <v>53100</v>
      </c>
      <c r="E149" s="1571">
        <f t="shared" si="20"/>
        <v>53100</v>
      </c>
      <c r="F149" s="1570">
        <f t="shared" si="37"/>
        <v>53100</v>
      </c>
      <c r="G149" s="1571"/>
      <c r="H149" s="1571"/>
      <c r="I149" s="1571"/>
      <c r="J149" s="1571"/>
    </row>
    <row r="150" spans="1:10">
      <c r="A150" s="1450" t="s">
        <v>1150</v>
      </c>
      <c r="B150" s="1451"/>
      <c r="C150" s="1450"/>
      <c r="D150" s="1571"/>
      <c r="E150" s="1571">
        <f t="shared" si="20"/>
        <v>2091958.99</v>
      </c>
      <c r="F150" s="1576">
        <v>1338335.94</v>
      </c>
      <c r="G150" s="1576">
        <f>2091958.99-F150</f>
        <v>753623.05</v>
      </c>
      <c r="H150" s="1576"/>
      <c r="I150" s="1576"/>
      <c r="J150" s="1576"/>
    </row>
    <row r="151" spans="1:10">
      <c r="A151" s="1450" t="s">
        <v>2189</v>
      </c>
      <c r="B151" s="1451"/>
      <c r="C151" s="1450"/>
      <c r="D151" s="1571"/>
      <c r="E151" s="1571"/>
      <c r="F151" s="1576">
        <v>2500000</v>
      </c>
      <c r="G151" s="1576"/>
      <c r="H151" s="1576"/>
      <c r="I151" s="1576"/>
      <c r="J151" s="1576"/>
    </row>
    <row r="152" spans="1:10">
      <c r="A152" s="1450" t="s">
        <v>2066</v>
      </c>
      <c r="B152" s="1451"/>
      <c r="C152" s="1450"/>
      <c r="D152" s="1571"/>
      <c r="E152" s="1571">
        <f t="shared" si="20"/>
        <v>1431340</v>
      </c>
      <c r="F152" s="1576">
        <v>357835</v>
      </c>
      <c r="G152" s="1576"/>
      <c r="H152" s="1576">
        <v>357835</v>
      </c>
      <c r="I152" s="1576">
        <v>715670</v>
      </c>
      <c r="J152" s="1576"/>
    </row>
    <row r="153" spans="1:10" ht="10.95" customHeight="1">
      <c r="A153" s="1454" t="s">
        <v>1864</v>
      </c>
      <c r="B153" s="1454"/>
      <c r="C153" s="1454"/>
      <c r="D153" s="1572">
        <f>SUM(D146:D152)</f>
        <v>293022.22000000003</v>
      </c>
      <c r="E153" s="1572">
        <f t="shared" ref="E153:J153" si="38">SUM(E146:E152)</f>
        <v>3816321.21</v>
      </c>
      <c r="F153" s="1572">
        <f t="shared" si="38"/>
        <v>4489193.16</v>
      </c>
      <c r="G153" s="1572">
        <f t="shared" si="38"/>
        <v>753623.05</v>
      </c>
      <c r="H153" s="1572">
        <f t="shared" si="38"/>
        <v>357835</v>
      </c>
      <c r="I153" s="1572">
        <f t="shared" si="38"/>
        <v>715670</v>
      </c>
      <c r="J153" s="1572">
        <f t="shared" si="38"/>
        <v>0</v>
      </c>
    </row>
    <row r="154" spans="1:10" ht="13.35" customHeight="1">
      <c r="D154" s="1568"/>
      <c r="E154" s="1568"/>
      <c r="F154" s="1568"/>
      <c r="G154" s="1568"/>
      <c r="H154" s="1568"/>
      <c r="I154" s="1568"/>
      <c r="J154" s="1568"/>
    </row>
    <row r="155" spans="1:10" ht="10.95" customHeight="1">
      <c r="A155" s="1461" t="s">
        <v>164</v>
      </c>
      <c r="B155" s="1461"/>
      <c r="C155" s="1461"/>
      <c r="D155" s="1575">
        <f>+D11+D23+D28+D37+D42+D48+D54+D61+D66+D76+D81+D86+D95+D100+D104+D110+D115+D124+D130+D136+D143+D153</f>
        <v>26101057.490000002</v>
      </c>
      <c r="E155" s="1575">
        <f t="shared" ref="E155:J155" si="39">+E11+E23+E28+E37+E42+E48+E54+E61+E66+E76+E81+E86+E95+E100+E104+E110+E115+E124+E130+E136+E143+E153</f>
        <v>145345156.07398</v>
      </c>
      <c r="F155" s="1575">
        <f t="shared" si="39"/>
        <v>47080786.423980013</v>
      </c>
      <c r="G155" s="1575">
        <f t="shared" si="39"/>
        <v>30162933.450000007</v>
      </c>
      <c r="H155" s="1575">
        <f t="shared" si="39"/>
        <v>27417145.400000006</v>
      </c>
      <c r="I155" s="1575">
        <f t="shared" si="39"/>
        <v>22274980.400000002</v>
      </c>
      <c r="J155" s="1575">
        <f t="shared" si="39"/>
        <v>20909310.400000002</v>
      </c>
    </row>
  </sheetData>
  <autoFilter ref="A1:J157" xr:uid="{078347BF-1DCB-467F-8F7F-E8DE7B4CC092}"/>
  <pageMargins left="0.7" right="0.7" top="0.75" bottom="0.75" header="0.3" footer="0.3"/>
  <pageSetup paperSize="9" fitToWidth="0" fitToHeight="0" orientation="portrait" horizontalDpi="0" verticalDpi="0"/>
  <legacy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14233-18D6-4534-8650-4E5CA1CD83D7}">
  <dimension ref="A1:P52"/>
  <sheetViews>
    <sheetView showGridLines="0" zoomScale="90" zoomScaleNormal="90" workbookViewId="0">
      <pane xSplit="1" ySplit="1" topLeftCell="E2" activePane="bottomRight" state="frozen"/>
      <selection pane="topRight" activeCell="C1" sqref="C1"/>
      <selection pane="bottomLeft" activeCell="A2" sqref="A2"/>
      <selection pane="bottomRight" activeCell="M28" sqref="M28"/>
    </sheetView>
  </sheetViews>
  <sheetFormatPr baseColWidth="10" defaultColWidth="11.5546875" defaultRowHeight="14.4"/>
  <cols>
    <col min="1" max="1" width="49.33203125" style="412" bestFit="1" customWidth="1"/>
    <col min="2" max="2" width="16.6640625" style="1241" customWidth="1"/>
    <col min="3" max="4" width="14.44140625" style="1241" customWidth="1"/>
    <col min="5" max="5" width="14.44140625" style="1236" customWidth="1"/>
    <col min="6" max="6" width="14.44140625" style="1241" customWidth="1"/>
    <col min="7" max="7" width="14.44140625" style="1236" customWidth="1"/>
    <col min="8" max="9" width="15.5546875" style="1236" customWidth="1"/>
    <col min="10" max="10" width="16.6640625" style="1236" customWidth="1"/>
    <col min="11" max="13" width="15.5546875" style="1236" customWidth="1"/>
    <col min="14" max="14" width="16.6640625" style="1236" bestFit="1" customWidth="1"/>
    <col min="15" max="15" width="12.44140625" style="1227" bestFit="1" customWidth="1"/>
    <col min="16" max="16" width="7.6640625" style="1227" customWidth="1"/>
    <col min="17" max="35" width="7.6640625" style="408" customWidth="1"/>
    <col min="36" max="16384" width="11.5546875" style="408"/>
  </cols>
  <sheetData>
    <row r="1" spans="1:14" s="1228" customFormat="1" ht="13.8">
      <c r="A1" s="1228" t="s">
        <v>1791</v>
      </c>
      <c r="B1" s="1237">
        <v>45627</v>
      </c>
      <c r="C1" s="1237">
        <v>45658</v>
      </c>
      <c r="D1" s="1237">
        <v>45689</v>
      </c>
      <c r="E1" s="1232">
        <v>45717</v>
      </c>
      <c r="F1" s="1237">
        <v>45748</v>
      </c>
      <c r="G1" s="1232">
        <v>45778</v>
      </c>
      <c r="H1" s="1232">
        <v>45809</v>
      </c>
      <c r="I1" s="1232">
        <v>45839</v>
      </c>
      <c r="J1" s="1232">
        <v>45870</v>
      </c>
      <c r="K1" s="1232">
        <v>45901</v>
      </c>
      <c r="L1" s="1232">
        <v>45931</v>
      </c>
      <c r="M1" s="1232">
        <v>45962</v>
      </c>
      <c r="N1" s="1232" t="s">
        <v>168</v>
      </c>
    </row>
    <row r="2" spans="1:14" s="1229" customFormat="1" ht="10.199999999999999">
      <c r="A2" s="1229" t="s">
        <v>1487</v>
      </c>
      <c r="B2" s="1238">
        <f>SUM(B3)</f>
        <v>94172341.829999998</v>
      </c>
      <c r="C2" s="1238">
        <f t="shared" ref="C2:M2" si="0">SUM(C3)</f>
        <v>0</v>
      </c>
      <c r="D2" s="1238">
        <f t="shared" si="0"/>
        <v>0</v>
      </c>
      <c r="E2" s="1233">
        <f t="shared" si="0"/>
        <v>0</v>
      </c>
      <c r="F2" s="1238">
        <f t="shared" si="0"/>
        <v>0</v>
      </c>
      <c r="G2" s="1233">
        <f t="shared" si="0"/>
        <v>18880</v>
      </c>
      <c r="H2" s="1233">
        <f t="shared" si="0"/>
        <v>0</v>
      </c>
      <c r="I2" s="1233">
        <f t="shared" si="0"/>
        <v>0</v>
      </c>
      <c r="J2" s="1233">
        <f t="shared" si="0"/>
        <v>170252678.32999998</v>
      </c>
      <c r="K2" s="1233">
        <f t="shared" si="0"/>
        <v>1180</v>
      </c>
      <c r="L2" s="1233">
        <f t="shared" si="0"/>
        <v>0</v>
      </c>
      <c r="M2" s="1233">
        <f t="shared" si="0"/>
        <v>0</v>
      </c>
      <c r="N2" s="1233">
        <f t="shared" ref="N2:N13" si="1">SUBTOTAL(9,B2:M2)</f>
        <v>264445080.15999997</v>
      </c>
    </row>
    <row r="3" spans="1:14" s="1231" customFormat="1" ht="10.199999999999999">
      <c r="A3" s="1231" t="s">
        <v>1388</v>
      </c>
      <c r="B3" s="1239">
        <v>94172341.829999998</v>
      </c>
      <c r="C3" s="1239"/>
      <c r="D3" s="1239"/>
      <c r="E3" s="1234"/>
      <c r="F3" s="1239"/>
      <c r="G3" s="1234">
        <v>18880</v>
      </c>
      <c r="H3" s="1234"/>
      <c r="I3" s="1234"/>
      <c r="J3" s="1234">
        <v>170252678.32999998</v>
      </c>
      <c r="K3" s="1234">
        <v>1180</v>
      </c>
      <c r="L3" s="1234"/>
      <c r="M3" s="1234"/>
      <c r="N3" s="1234">
        <f t="shared" si="1"/>
        <v>264445080.15999997</v>
      </c>
    </row>
    <row r="4" spans="1:14" s="1229" customFormat="1" ht="10.199999999999999">
      <c r="A4" s="1229" t="s">
        <v>1490</v>
      </c>
      <c r="B4" s="1238">
        <f>SUM(B5)</f>
        <v>21168315.640000001</v>
      </c>
      <c r="C4" s="1238">
        <f t="shared" ref="C4:M4" si="2">SUM(C5)</f>
        <v>239349.75</v>
      </c>
      <c r="D4" s="1238">
        <f t="shared" si="2"/>
        <v>0</v>
      </c>
      <c r="E4" s="1233">
        <f t="shared" si="2"/>
        <v>146320</v>
      </c>
      <c r="F4" s="1238">
        <f t="shared" si="2"/>
        <v>108350.26</v>
      </c>
      <c r="G4" s="1233">
        <f t="shared" si="2"/>
        <v>53100</v>
      </c>
      <c r="H4" s="1233">
        <f t="shared" si="2"/>
        <v>0</v>
      </c>
      <c r="I4" s="1233">
        <f t="shared" si="2"/>
        <v>0</v>
      </c>
      <c r="J4" s="1233">
        <f t="shared" si="2"/>
        <v>1595686.82</v>
      </c>
      <c r="K4" s="1233">
        <f t="shared" si="2"/>
        <v>87792</v>
      </c>
      <c r="L4" s="1233">
        <f t="shared" si="2"/>
        <v>310669.15000000002</v>
      </c>
      <c r="M4" s="1233">
        <f t="shared" si="2"/>
        <v>0</v>
      </c>
      <c r="N4" s="1233">
        <f t="shared" si="1"/>
        <v>23709583.620000001</v>
      </c>
    </row>
    <row r="5" spans="1:14" s="1231" customFormat="1" ht="10.199999999999999">
      <c r="A5" s="1231" t="s">
        <v>1389</v>
      </c>
      <c r="B5" s="1239">
        <v>21168315.640000001</v>
      </c>
      <c r="C5" s="1242">
        <v>239349.75</v>
      </c>
      <c r="D5" s="1239"/>
      <c r="E5" s="1234">
        <v>146320</v>
      </c>
      <c r="F5" s="1239">
        <v>108350.26</v>
      </c>
      <c r="G5" s="1234">
        <v>53100</v>
      </c>
      <c r="H5" s="1234"/>
      <c r="I5" s="1234"/>
      <c r="J5" s="1234">
        <v>1595686.82</v>
      </c>
      <c r="K5" s="1234">
        <v>87792</v>
      </c>
      <c r="L5" s="1234">
        <v>310669.15000000002</v>
      </c>
      <c r="M5" s="1234">
        <v>0</v>
      </c>
      <c r="N5" s="1234">
        <f t="shared" si="1"/>
        <v>23709583.620000001</v>
      </c>
    </row>
    <row r="6" spans="1:14" s="1229" customFormat="1" ht="10.199999999999999">
      <c r="A6" s="1229" t="s">
        <v>1792</v>
      </c>
      <c r="B6" s="1238">
        <f>SUM(B7)</f>
        <v>9219083.5899999999</v>
      </c>
      <c r="C6" s="1238">
        <f t="shared" ref="C6:M6" si="3">SUM(C7)</f>
        <v>0</v>
      </c>
      <c r="D6" s="1238">
        <f t="shared" si="3"/>
        <v>0</v>
      </c>
      <c r="E6" s="1233">
        <f t="shared" si="3"/>
        <v>0</v>
      </c>
      <c r="F6" s="1238">
        <f t="shared" si="3"/>
        <v>353433.2</v>
      </c>
      <c r="G6" s="1233">
        <f t="shared" si="3"/>
        <v>93563.38</v>
      </c>
      <c r="H6" s="1233">
        <f t="shared" si="3"/>
        <v>806839.56</v>
      </c>
      <c r="I6" s="1233">
        <f t="shared" si="3"/>
        <v>3069742.21</v>
      </c>
      <c r="J6" s="1233">
        <f t="shared" si="3"/>
        <v>2900560.48</v>
      </c>
      <c r="K6" s="1233">
        <f t="shared" si="3"/>
        <v>342033.18</v>
      </c>
      <c r="L6" s="1233">
        <f t="shared" si="3"/>
        <v>201871.48</v>
      </c>
      <c r="M6" s="1233">
        <f t="shared" si="3"/>
        <v>1617336.11</v>
      </c>
      <c r="N6" s="1233">
        <f t="shared" si="1"/>
        <v>18604463.190000001</v>
      </c>
    </row>
    <row r="7" spans="1:14" s="1231" customFormat="1" ht="10.199999999999999">
      <c r="A7" s="1231" t="s">
        <v>1793</v>
      </c>
      <c r="B7" s="1239">
        <v>9219083.5899999999</v>
      </c>
      <c r="C7" s="1239"/>
      <c r="D7" s="1239"/>
      <c r="E7" s="1234"/>
      <c r="F7" s="1239">
        <v>353433.2</v>
      </c>
      <c r="G7" s="1234">
        <v>93563.38</v>
      </c>
      <c r="H7" s="1234">
        <v>806839.56</v>
      </c>
      <c r="I7" s="1234">
        <v>3069742.21</v>
      </c>
      <c r="J7" s="1234">
        <v>2900560.48</v>
      </c>
      <c r="K7" s="1234">
        <v>342033.18</v>
      </c>
      <c r="L7" s="1234">
        <v>201871.48</v>
      </c>
      <c r="M7" s="1234">
        <v>1617336.11</v>
      </c>
      <c r="N7" s="1234">
        <f t="shared" si="1"/>
        <v>18604463.190000001</v>
      </c>
    </row>
    <row r="8" spans="1:14" s="1229" customFormat="1" ht="10.199999999999999">
      <c r="A8" s="1229" t="s">
        <v>1794</v>
      </c>
      <c r="B8" s="1238">
        <f>SUM(B9)</f>
        <v>0</v>
      </c>
      <c r="C8" s="1238">
        <f t="shared" ref="C8:M8" si="4">SUM(C9)</f>
        <v>0</v>
      </c>
      <c r="D8" s="1238">
        <f t="shared" si="4"/>
        <v>0</v>
      </c>
      <c r="E8" s="1233">
        <f t="shared" si="4"/>
        <v>0</v>
      </c>
      <c r="F8" s="1238">
        <f t="shared" si="4"/>
        <v>0</v>
      </c>
      <c r="G8" s="1233">
        <f t="shared" si="4"/>
        <v>0</v>
      </c>
      <c r="H8" s="1233">
        <f t="shared" si="4"/>
        <v>0</v>
      </c>
      <c r="I8" s="1233">
        <f t="shared" si="4"/>
        <v>0</v>
      </c>
      <c r="J8" s="1233">
        <f t="shared" si="4"/>
        <v>0</v>
      </c>
      <c r="K8" s="1233">
        <f t="shared" si="4"/>
        <v>0</v>
      </c>
      <c r="L8" s="1233">
        <f t="shared" si="4"/>
        <v>0</v>
      </c>
      <c r="M8" s="1233">
        <f t="shared" si="4"/>
        <v>0</v>
      </c>
      <c r="N8" s="1233">
        <f t="shared" si="1"/>
        <v>0</v>
      </c>
    </row>
    <row r="9" spans="1:14" s="1231" customFormat="1" ht="10.199999999999999">
      <c r="A9" s="1231" t="s">
        <v>1795</v>
      </c>
      <c r="B9" s="1239"/>
      <c r="C9" s="1239"/>
      <c r="D9" s="1239"/>
      <c r="E9" s="1234"/>
      <c r="F9" s="1239"/>
      <c r="G9" s="1234"/>
      <c r="H9" s="1234"/>
      <c r="I9" s="1234"/>
      <c r="J9" s="1234"/>
      <c r="K9" s="1234"/>
      <c r="L9" s="1234"/>
      <c r="M9" s="1234"/>
      <c r="N9" s="1234">
        <f t="shared" si="1"/>
        <v>0</v>
      </c>
    </row>
    <row r="10" spans="1:14" s="1229" customFormat="1" ht="10.199999999999999">
      <c r="A10" s="1229" t="s">
        <v>952</v>
      </c>
      <c r="B10" s="1238">
        <f>SUM(B11)</f>
        <v>1644662.03</v>
      </c>
      <c r="C10" s="1238">
        <f t="shared" ref="C10:M10" si="5">SUM(C11)</f>
        <v>1770000</v>
      </c>
      <c r="D10" s="1238">
        <f t="shared" si="5"/>
        <v>0</v>
      </c>
      <c r="E10" s="1233">
        <f t="shared" si="5"/>
        <v>885000</v>
      </c>
      <c r="F10" s="1238">
        <f t="shared" si="5"/>
        <v>2455806.54</v>
      </c>
      <c r="G10" s="1233">
        <f t="shared" si="5"/>
        <v>2360000</v>
      </c>
      <c r="H10" s="1233">
        <f t="shared" si="5"/>
        <v>2417857.34</v>
      </c>
      <c r="I10" s="1233">
        <f t="shared" si="5"/>
        <v>2664755.19</v>
      </c>
      <c r="J10" s="1233">
        <f t="shared" si="5"/>
        <v>2360000</v>
      </c>
      <c r="K10" s="1233">
        <f t="shared" si="5"/>
        <v>2360000</v>
      </c>
      <c r="L10" s="1233">
        <f t="shared" si="5"/>
        <v>2360000</v>
      </c>
      <c r="M10" s="1233">
        <f t="shared" si="5"/>
        <v>2783225.26</v>
      </c>
      <c r="N10" s="1233">
        <f t="shared" si="1"/>
        <v>24061306.359999999</v>
      </c>
    </row>
    <row r="11" spans="1:14" s="1231" customFormat="1" ht="10.199999999999999">
      <c r="A11" s="1231" t="s">
        <v>1796</v>
      </c>
      <c r="B11" s="1239">
        <v>1644662.03</v>
      </c>
      <c r="C11" s="1243">
        <v>1770000</v>
      </c>
      <c r="D11" s="1239"/>
      <c r="E11" s="1234">
        <v>885000</v>
      </c>
      <c r="F11" s="1239">
        <v>2455806.54</v>
      </c>
      <c r="G11" s="1234">
        <v>2360000</v>
      </c>
      <c r="H11" s="1234">
        <v>2417857.34</v>
      </c>
      <c r="I11" s="1234">
        <v>2664755.19</v>
      </c>
      <c r="J11" s="1234">
        <v>2360000</v>
      </c>
      <c r="K11" s="1234">
        <v>2360000</v>
      </c>
      <c r="L11" s="1234">
        <v>2360000</v>
      </c>
      <c r="M11" s="1234">
        <v>2783225.26</v>
      </c>
      <c r="N11" s="1234">
        <f t="shared" si="1"/>
        <v>24061306.359999999</v>
      </c>
    </row>
    <row r="12" spans="1:14" s="1229" customFormat="1" ht="10.199999999999999">
      <c r="A12" s="1229" t="s">
        <v>1797</v>
      </c>
      <c r="B12" s="1238">
        <f>SUM(B13:B19)</f>
        <v>0</v>
      </c>
      <c r="C12" s="1238">
        <f t="shared" ref="C12:M12" si="6">SUM(C13:C19)</f>
        <v>0</v>
      </c>
      <c r="D12" s="1238">
        <f t="shared" si="6"/>
        <v>0</v>
      </c>
      <c r="E12" s="1233">
        <f t="shared" si="6"/>
        <v>0</v>
      </c>
      <c r="F12" s="1238">
        <f t="shared" si="6"/>
        <v>0</v>
      </c>
      <c r="G12" s="1233">
        <f t="shared" si="6"/>
        <v>0</v>
      </c>
      <c r="H12" s="1233">
        <f t="shared" si="6"/>
        <v>147108.53999999998</v>
      </c>
      <c r="I12" s="1233">
        <f t="shared" si="6"/>
        <v>92700.800000000003</v>
      </c>
      <c r="J12" s="1233">
        <f t="shared" si="6"/>
        <v>96854.399999999994</v>
      </c>
      <c r="K12" s="1233">
        <f t="shared" si="6"/>
        <v>90246.399999999994</v>
      </c>
      <c r="L12" s="1233">
        <f t="shared" si="6"/>
        <v>92700.800000000003</v>
      </c>
      <c r="M12" s="1233">
        <f t="shared" si="6"/>
        <v>332688.71000000002</v>
      </c>
      <c r="N12" s="1233">
        <f t="shared" si="1"/>
        <v>852299.65</v>
      </c>
    </row>
    <row r="13" spans="1:14" s="1231" customFormat="1" ht="10.199999999999999">
      <c r="A13" s="1231" t="s">
        <v>1798</v>
      </c>
      <c r="B13" s="1240"/>
      <c r="C13" s="1240"/>
      <c r="D13" s="1240"/>
      <c r="E13" s="1235"/>
      <c r="F13" s="1240"/>
      <c r="G13" s="1235"/>
      <c r="H13" s="1235"/>
      <c r="I13" s="1235"/>
      <c r="J13" s="1235"/>
      <c r="K13" s="1235"/>
      <c r="L13" s="1235"/>
      <c r="M13" s="1235"/>
      <c r="N13" s="1235">
        <f t="shared" si="1"/>
        <v>0</v>
      </c>
    </row>
    <row r="14" spans="1:14" s="1231" customFormat="1" ht="10.199999999999999">
      <c r="A14" s="1231" t="s">
        <v>1799</v>
      </c>
      <c r="B14" s="1240"/>
      <c r="C14" s="1240"/>
      <c r="D14" s="1240"/>
      <c r="E14" s="1235"/>
      <c r="F14" s="1240"/>
      <c r="G14" s="1235"/>
      <c r="H14" s="1235"/>
      <c r="I14" s="1235"/>
      <c r="J14" s="1235"/>
      <c r="K14" s="1235"/>
      <c r="L14" s="1235"/>
      <c r="M14" s="1235">
        <v>191502.06</v>
      </c>
      <c r="N14" s="1235">
        <f t="shared" ref="N14:N19" si="7">SUBTOTAL(9,B14:M14)</f>
        <v>191502.06</v>
      </c>
    </row>
    <row r="15" spans="1:14" s="1231" customFormat="1" ht="10.199999999999999">
      <c r="A15" s="1231" t="s">
        <v>1800</v>
      </c>
      <c r="B15" s="1240"/>
      <c r="C15" s="1240"/>
      <c r="D15" s="1240"/>
      <c r="E15" s="1235"/>
      <c r="F15" s="1240"/>
      <c r="G15" s="1235"/>
      <c r="H15" s="1235"/>
      <c r="I15" s="1235"/>
      <c r="J15" s="1235"/>
      <c r="K15" s="1235"/>
      <c r="L15" s="1235"/>
      <c r="M15" s="1235">
        <v>52569</v>
      </c>
      <c r="N15" s="1235">
        <f t="shared" si="7"/>
        <v>52569</v>
      </c>
    </row>
    <row r="16" spans="1:14" s="1231" customFormat="1" ht="10.199999999999999">
      <c r="A16" s="1231" t="s">
        <v>1390</v>
      </c>
      <c r="B16" s="1240"/>
      <c r="C16" s="1240"/>
      <c r="D16" s="1240"/>
      <c r="E16" s="1235"/>
      <c r="F16" s="1240"/>
      <c r="G16" s="1235"/>
      <c r="H16" s="1235">
        <v>92323.199999999997</v>
      </c>
      <c r="I16" s="1235">
        <v>92700.800000000003</v>
      </c>
      <c r="J16" s="1235">
        <v>96854.399999999994</v>
      </c>
      <c r="K16" s="1235">
        <v>90246.399999999994</v>
      </c>
      <c r="L16" s="1235">
        <v>92700.800000000003</v>
      </c>
      <c r="M16" s="1235">
        <v>94400</v>
      </c>
      <c r="N16" s="1235">
        <f t="shared" si="7"/>
        <v>559225.60000000009</v>
      </c>
    </row>
    <row r="17" spans="1:14" s="1231" customFormat="1" ht="10.199999999999999">
      <c r="A17" s="1231" t="s">
        <v>2190</v>
      </c>
      <c r="B17" s="1240"/>
      <c r="C17" s="1240"/>
      <c r="D17" s="1240"/>
      <c r="E17" s="1235"/>
      <c r="F17" s="1240"/>
      <c r="G17" s="1235"/>
      <c r="H17" s="1235"/>
      <c r="I17" s="1235"/>
      <c r="J17" s="1235"/>
      <c r="K17" s="1235"/>
      <c r="L17" s="1235"/>
      <c r="M17" s="1235"/>
      <c r="N17" s="1235">
        <f t="shared" si="7"/>
        <v>0</v>
      </c>
    </row>
    <row r="18" spans="1:14" s="1231" customFormat="1" ht="10.199999999999999">
      <c r="A18" s="1231" t="s">
        <v>1391</v>
      </c>
      <c r="B18" s="1240"/>
      <c r="C18" s="1240"/>
      <c r="D18" s="1240"/>
      <c r="E18" s="1235"/>
      <c r="F18" s="1240"/>
      <c r="G18" s="1235"/>
      <c r="H18" s="1235">
        <v>54785.34</v>
      </c>
      <c r="I18" s="1235"/>
      <c r="J18" s="1235"/>
      <c r="K18" s="1235"/>
      <c r="L18" s="1235"/>
      <c r="M18" s="1235">
        <v>-5782.35</v>
      </c>
      <c r="N18" s="1235">
        <f t="shared" si="7"/>
        <v>49002.99</v>
      </c>
    </row>
    <row r="19" spans="1:14" s="1231" customFormat="1" ht="10.199999999999999">
      <c r="A19" s="1231" t="s">
        <v>1802</v>
      </c>
      <c r="B19" s="1240"/>
      <c r="C19" s="1240"/>
      <c r="D19" s="1240"/>
      <c r="E19" s="1235"/>
      <c r="F19" s="1240"/>
      <c r="G19" s="1235"/>
      <c r="H19" s="1235"/>
      <c r="I19" s="1235"/>
      <c r="J19" s="1235"/>
      <c r="K19" s="1235"/>
      <c r="L19" s="1235"/>
      <c r="M19" s="1235"/>
      <c r="N19" s="1235">
        <f t="shared" si="7"/>
        <v>0</v>
      </c>
    </row>
    <row r="20" spans="1:14" s="1229" customFormat="1" ht="10.199999999999999">
      <c r="A20" s="1229" t="s">
        <v>1803</v>
      </c>
      <c r="B20" s="1238">
        <f>SUM(B21)</f>
        <v>0</v>
      </c>
      <c r="C20" s="1238">
        <f t="shared" ref="C20:M20" si="8">SUM(C21)</f>
        <v>0</v>
      </c>
      <c r="D20" s="1238">
        <f t="shared" si="8"/>
        <v>0</v>
      </c>
      <c r="E20" s="1233">
        <f t="shared" si="8"/>
        <v>0</v>
      </c>
      <c r="F20" s="1238">
        <f t="shared" si="8"/>
        <v>0</v>
      </c>
      <c r="G20" s="1233">
        <f t="shared" si="8"/>
        <v>0</v>
      </c>
      <c r="H20" s="1233">
        <f t="shared" si="8"/>
        <v>0</v>
      </c>
      <c r="I20" s="1233">
        <f t="shared" si="8"/>
        <v>0</v>
      </c>
      <c r="J20" s="1233">
        <f t="shared" si="8"/>
        <v>0</v>
      </c>
      <c r="K20" s="1233">
        <f t="shared" si="8"/>
        <v>0</v>
      </c>
      <c r="L20" s="1233">
        <f t="shared" si="8"/>
        <v>0</v>
      </c>
      <c r="M20" s="1233">
        <f t="shared" si="8"/>
        <v>0</v>
      </c>
      <c r="N20" s="1233">
        <f t="shared" ref="N20:N27" si="9">SUBTOTAL(9,B20:M20)</f>
        <v>0</v>
      </c>
    </row>
    <row r="21" spans="1:14" s="1231" customFormat="1" ht="10.199999999999999">
      <c r="A21" s="1231" t="s">
        <v>1804</v>
      </c>
      <c r="B21" s="1239"/>
      <c r="C21" s="1239"/>
      <c r="D21" s="1239"/>
      <c r="E21" s="1234"/>
      <c r="F21" s="1239"/>
      <c r="G21" s="1234"/>
      <c r="H21" s="1234"/>
      <c r="I21" s="1234"/>
      <c r="J21" s="1234"/>
      <c r="K21" s="1234"/>
      <c r="L21" s="1234"/>
      <c r="M21" s="1234"/>
      <c r="N21" s="1234">
        <f t="shared" si="9"/>
        <v>0</v>
      </c>
    </row>
    <row r="22" spans="1:14" s="1229" customFormat="1" ht="10.199999999999999">
      <c r="A22" s="1229" t="s">
        <v>1805</v>
      </c>
      <c r="B22" s="1238">
        <f>SUM(B23)</f>
        <v>0</v>
      </c>
      <c r="C22" s="1238">
        <f t="shared" ref="C22:M22" si="10">SUM(C23)</f>
        <v>0</v>
      </c>
      <c r="D22" s="1238">
        <f t="shared" si="10"/>
        <v>0</v>
      </c>
      <c r="E22" s="1233">
        <f t="shared" si="10"/>
        <v>0</v>
      </c>
      <c r="F22" s="1238">
        <f t="shared" si="10"/>
        <v>0</v>
      </c>
      <c r="G22" s="1233">
        <f t="shared" si="10"/>
        <v>0</v>
      </c>
      <c r="H22" s="1233">
        <f t="shared" si="10"/>
        <v>0</v>
      </c>
      <c r="I22" s="1233">
        <f t="shared" si="10"/>
        <v>0</v>
      </c>
      <c r="J22" s="1233">
        <f t="shared" si="10"/>
        <v>0</v>
      </c>
      <c r="K22" s="1233">
        <f t="shared" si="10"/>
        <v>0</v>
      </c>
      <c r="L22" s="1233">
        <f t="shared" si="10"/>
        <v>1013928.6</v>
      </c>
      <c r="M22" s="1233">
        <f t="shared" si="10"/>
        <v>506964.3</v>
      </c>
      <c r="N22" s="1233">
        <f t="shared" si="9"/>
        <v>1520892.9</v>
      </c>
    </row>
    <row r="23" spans="1:14" s="1231" customFormat="1" ht="10.199999999999999">
      <c r="A23" s="1231" t="s">
        <v>1806</v>
      </c>
      <c r="B23" s="1239"/>
      <c r="C23" s="1239"/>
      <c r="D23" s="1239"/>
      <c r="E23" s="1234"/>
      <c r="F23" s="1239"/>
      <c r="G23" s="1234"/>
      <c r="H23" s="1234"/>
      <c r="I23" s="1234"/>
      <c r="J23" s="1234"/>
      <c r="K23" s="1234"/>
      <c r="L23" s="1234">
        <v>1013928.6</v>
      </c>
      <c r="M23" s="1234">
        <v>506964.3</v>
      </c>
      <c r="N23" s="1234">
        <f t="shared" si="9"/>
        <v>1520892.9</v>
      </c>
    </row>
    <row r="24" spans="1:14" s="1229" customFormat="1" ht="10.199999999999999">
      <c r="A24" s="1229" t="s">
        <v>1807</v>
      </c>
      <c r="B24" s="1238">
        <f>SUM(B25)</f>
        <v>161175.97</v>
      </c>
      <c r="C24" s="1238">
        <f t="shared" ref="C24:M24" si="11">SUM(C25)</f>
        <v>0</v>
      </c>
      <c r="D24" s="1238">
        <f t="shared" si="11"/>
        <v>0</v>
      </c>
      <c r="E24" s="1233">
        <f t="shared" si="11"/>
        <v>0</v>
      </c>
      <c r="F24" s="1238">
        <f t="shared" si="11"/>
        <v>1770000</v>
      </c>
      <c r="G24" s="1233">
        <f t="shared" si="11"/>
        <v>1770000</v>
      </c>
      <c r="H24" s="1233">
        <f t="shared" si="11"/>
        <v>1770000</v>
      </c>
      <c r="I24" s="1233">
        <f t="shared" si="11"/>
        <v>1770000</v>
      </c>
      <c r="J24" s="1233">
        <f t="shared" si="11"/>
        <v>1770000</v>
      </c>
      <c r="K24" s="1233">
        <f t="shared" si="11"/>
        <v>1770000</v>
      </c>
      <c r="L24" s="1233">
        <f t="shared" si="11"/>
        <v>1770000</v>
      </c>
      <c r="M24" s="1233">
        <f t="shared" si="11"/>
        <v>1770000</v>
      </c>
      <c r="N24" s="1233">
        <f t="shared" si="9"/>
        <v>14321175.969999999</v>
      </c>
    </row>
    <row r="25" spans="1:14" s="1231" customFormat="1" ht="10.199999999999999">
      <c r="A25" s="1231" t="s">
        <v>954</v>
      </c>
      <c r="B25" s="1239">
        <v>161175.97</v>
      </c>
      <c r="C25" s="1239"/>
      <c r="D25" s="1239"/>
      <c r="E25" s="1234"/>
      <c r="F25" s="1239">
        <v>1770000</v>
      </c>
      <c r="G25" s="1234">
        <v>1770000</v>
      </c>
      <c r="H25" s="1234">
        <v>1770000</v>
      </c>
      <c r="I25" s="1234">
        <v>1770000</v>
      </c>
      <c r="J25" s="1234">
        <v>1770000</v>
      </c>
      <c r="K25" s="1234">
        <v>1770000</v>
      </c>
      <c r="L25" s="1234">
        <v>1770000</v>
      </c>
      <c r="M25" s="1234">
        <v>1770000</v>
      </c>
      <c r="N25" s="1234">
        <f t="shared" si="9"/>
        <v>14321175.969999999</v>
      </c>
    </row>
    <row r="26" spans="1:14" s="1229" customFormat="1" ht="10.199999999999999">
      <c r="A26" s="1229" t="s">
        <v>1808</v>
      </c>
      <c r="B26" s="1238">
        <f>SUM(B27:B30)</f>
        <v>559355.54</v>
      </c>
      <c r="C26" s="1238">
        <f t="shared" ref="C26:M26" si="12">SUM(C27:C30)</f>
        <v>0</v>
      </c>
      <c r="D26" s="1238">
        <f t="shared" si="12"/>
        <v>645765.21</v>
      </c>
      <c r="E26" s="1233">
        <f t="shared" si="12"/>
        <v>595001.35</v>
      </c>
      <c r="F26" s="1238">
        <f t="shared" si="12"/>
        <v>1549872.47</v>
      </c>
      <c r="G26" s="1233">
        <f t="shared" si="12"/>
        <v>1423527.61</v>
      </c>
      <c r="H26" s="1233">
        <f t="shared" si="12"/>
        <v>1733909.84</v>
      </c>
      <c r="I26" s="1233">
        <f t="shared" si="12"/>
        <v>7890097.2200000007</v>
      </c>
      <c r="J26" s="1233">
        <f t="shared" si="12"/>
        <v>16166710.020000001</v>
      </c>
      <c r="K26" s="1233">
        <f t="shared" si="12"/>
        <v>11886550.289999999</v>
      </c>
      <c r="L26" s="1233">
        <f t="shared" si="12"/>
        <v>12659941.220000001</v>
      </c>
      <c r="M26" s="1233">
        <f t="shared" si="12"/>
        <v>15204797.51</v>
      </c>
      <c r="N26" s="1233">
        <f t="shared" si="9"/>
        <v>70315528.280000001</v>
      </c>
    </row>
    <row r="27" spans="1:14" s="1231" customFormat="1" ht="10.199999999999999">
      <c r="A27" s="1231" t="s">
        <v>1610</v>
      </c>
      <c r="B27" s="1240"/>
      <c r="C27" s="1240"/>
      <c r="D27" s="1240"/>
      <c r="E27" s="1235"/>
      <c r="F27" s="1240"/>
      <c r="G27" s="1235"/>
      <c r="H27" s="1235"/>
      <c r="I27" s="1235">
        <v>6290641.6900000004</v>
      </c>
      <c r="J27" s="1235">
        <v>14391880.130000001</v>
      </c>
      <c r="K27" s="1235">
        <v>9799035.4900000002</v>
      </c>
      <c r="L27" s="1235">
        <v>10674167.390000001</v>
      </c>
      <c r="M27" s="1235">
        <v>12853059.84</v>
      </c>
      <c r="N27" s="1235">
        <f t="shared" si="9"/>
        <v>54008784.540000007</v>
      </c>
    </row>
    <row r="28" spans="1:14" s="1231" customFormat="1" ht="10.199999999999999">
      <c r="A28" s="1231" t="s">
        <v>1279</v>
      </c>
      <c r="B28" s="1240"/>
      <c r="C28" s="1240"/>
      <c r="D28" s="1240"/>
      <c r="E28" s="1235"/>
      <c r="F28" s="1240">
        <v>767000</v>
      </c>
      <c r="G28" s="1235">
        <v>767000</v>
      </c>
      <c r="H28" s="1235">
        <v>767000</v>
      </c>
      <c r="I28" s="1235">
        <v>767000</v>
      </c>
      <c r="J28" s="1235">
        <v>767000</v>
      </c>
      <c r="K28" s="1235">
        <v>767000</v>
      </c>
      <c r="L28" s="1235">
        <v>767000</v>
      </c>
      <c r="M28" s="1235">
        <v>767000</v>
      </c>
      <c r="N28" s="1235">
        <f t="shared" ref="N28:N30" si="13">SUBTOTAL(9,B28:M28)</f>
        <v>6136000</v>
      </c>
    </row>
    <row r="29" spans="1:14" s="1231" customFormat="1" ht="10.199999999999999">
      <c r="A29" s="1231" t="s">
        <v>1280</v>
      </c>
      <c r="B29" s="1240">
        <v>559355.54</v>
      </c>
      <c r="C29" s="1240"/>
      <c r="D29" s="1240">
        <v>645765.21</v>
      </c>
      <c r="E29" s="1235">
        <v>595001.35</v>
      </c>
      <c r="F29" s="1240">
        <v>677173.63</v>
      </c>
      <c r="G29" s="1235">
        <v>620535.91</v>
      </c>
      <c r="H29" s="1235">
        <v>825710.8</v>
      </c>
      <c r="I29" s="1235">
        <v>832455.53</v>
      </c>
      <c r="J29" s="1235">
        <v>941719.5</v>
      </c>
      <c r="K29" s="1235">
        <v>1237302.53</v>
      </c>
      <c r="L29" s="1235">
        <v>1132936.8999999999</v>
      </c>
      <c r="M29" s="1235">
        <v>1276808.69</v>
      </c>
      <c r="N29" s="1235">
        <f t="shared" si="13"/>
        <v>9344765.5899999999</v>
      </c>
    </row>
    <row r="30" spans="1:14" s="1231" customFormat="1" ht="10.199999999999999">
      <c r="A30" s="1231" t="s">
        <v>1757</v>
      </c>
      <c r="B30" s="1240"/>
      <c r="C30" s="1240"/>
      <c r="D30" s="1240"/>
      <c r="E30" s="1235"/>
      <c r="F30" s="1240">
        <v>105698.84</v>
      </c>
      <c r="G30" s="1235">
        <v>35991.699999999997</v>
      </c>
      <c r="H30" s="1235">
        <v>141199.04000000001</v>
      </c>
      <c r="I30" s="1235"/>
      <c r="J30" s="1235">
        <v>66110.39</v>
      </c>
      <c r="K30" s="1235">
        <v>83212.27</v>
      </c>
      <c r="L30" s="1235">
        <v>85836.93</v>
      </c>
      <c r="M30" s="1235">
        <v>307928.98</v>
      </c>
      <c r="N30" s="1235">
        <f t="shared" si="13"/>
        <v>825978.14999999991</v>
      </c>
    </row>
    <row r="31" spans="1:14" s="1229" customFormat="1" ht="10.199999999999999">
      <c r="A31" s="1229" t="s">
        <v>1809</v>
      </c>
      <c r="B31" s="1238">
        <f>SUM(B32:B33)</f>
        <v>373034.61</v>
      </c>
      <c r="C31" s="1238">
        <f t="shared" ref="C31:M31" si="14">SUM(C32:C33)</f>
        <v>43563.47</v>
      </c>
      <c r="D31" s="1238">
        <f t="shared" si="14"/>
        <v>36723.129999999997</v>
      </c>
      <c r="E31" s="1233">
        <f t="shared" si="14"/>
        <v>37034.89</v>
      </c>
      <c r="F31" s="1238">
        <f t="shared" si="14"/>
        <v>51335.37</v>
      </c>
      <c r="G31" s="1233">
        <f t="shared" si="14"/>
        <v>125971.53</v>
      </c>
      <c r="H31" s="1233">
        <f t="shared" si="14"/>
        <v>205035.01</v>
      </c>
      <c r="I31" s="1233">
        <f t="shared" si="14"/>
        <v>193826.15000000002</v>
      </c>
      <c r="J31" s="1233">
        <f t="shared" si="14"/>
        <v>228402.97999999998</v>
      </c>
      <c r="K31" s="1233">
        <f t="shared" si="14"/>
        <v>824240.61999999988</v>
      </c>
      <c r="L31" s="1233">
        <f t="shared" si="14"/>
        <v>143558.04999999999</v>
      </c>
      <c r="M31" s="1233">
        <f t="shared" si="14"/>
        <v>111569.53</v>
      </c>
      <c r="N31" s="1233">
        <f>SUBTOTAL(9,B31:M31)</f>
        <v>2374295.3399999994</v>
      </c>
    </row>
    <row r="32" spans="1:14" s="1231" customFormat="1" ht="10.199999999999999">
      <c r="A32" s="1231" t="s">
        <v>1281</v>
      </c>
      <c r="B32" s="1240">
        <v>344499.26</v>
      </c>
      <c r="C32" s="1243">
        <v>36279.57</v>
      </c>
      <c r="D32" s="1240">
        <v>36723.129999999997</v>
      </c>
      <c r="E32" s="1235">
        <v>37034.89</v>
      </c>
      <c r="F32" s="1240">
        <v>37423.760000000002</v>
      </c>
      <c r="G32" s="1235">
        <v>34807.29</v>
      </c>
      <c r="H32" s="1235">
        <v>35695</v>
      </c>
      <c r="I32" s="1235">
        <v>35546.730000000003</v>
      </c>
      <c r="J32" s="1235">
        <v>36234.199999999997</v>
      </c>
      <c r="K32" s="1235">
        <v>627694.68999999994</v>
      </c>
      <c r="L32" s="1235">
        <v>37152.89</v>
      </c>
      <c r="M32" s="1235">
        <v>37296.32</v>
      </c>
      <c r="N32" s="1235">
        <f>SUBTOTAL(9,B32:M32)</f>
        <v>1336387.73</v>
      </c>
    </row>
    <row r="33" spans="1:14" s="1231" customFormat="1" ht="10.199999999999999">
      <c r="A33" s="1231" t="s">
        <v>1282</v>
      </c>
      <c r="B33" s="1240">
        <v>28535.35</v>
      </c>
      <c r="C33" s="1243">
        <v>7283.9</v>
      </c>
      <c r="D33" s="1240"/>
      <c r="E33" s="1235"/>
      <c r="F33" s="1240">
        <v>13911.61</v>
      </c>
      <c r="G33" s="1235">
        <v>91164.24</v>
      </c>
      <c r="H33" s="1235">
        <v>169340.01</v>
      </c>
      <c r="I33" s="1235">
        <v>158279.42000000001</v>
      </c>
      <c r="J33" s="1235">
        <v>192168.78</v>
      </c>
      <c r="K33" s="1235">
        <v>196545.93</v>
      </c>
      <c r="L33" s="1235">
        <v>106405.16</v>
      </c>
      <c r="M33" s="1235">
        <v>74273.210000000006</v>
      </c>
      <c r="N33" s="1235">
        <f>SUBTOTAL(9,B33:M33)</f>
        <v>1037907.61</v>
      </c>
    </row>
    <row r="34" spans="1:14" s="1229" customFormat="1" ht="10.199999999999999">
      <c r="A34" s="1229" t="s">
        <v>854</v>
      </c>
      <c r="B34" s="1238">
        <f t="shared" ref="B34:M34" si="15">SUM(B35:B42)</f>
        <v>9529685.3000000007</v>
      </c>
      <c r="C34" s="1238">
        <f t="shared" si="15"/>
        <v>915790.08000000007</v>
      </c>
      <c r="D34" s="1238">
        <f t="shared" si="15"/>
        <v>1931201.9</v>
      </c>
      <c r="E34" s="1238">
        <f t="shared" si="15"/>
        <v>1084802.17</v>
      </c>
      <c r="F34" s="1238">
        <f t="shared" si="15"/>
        <v>826552.34</v>
      </c>
      <c r="G34" s="1238">
        <f t="shared" si="15"/>
        <v>740040.2</v>
      </c>
      <c r="H34" s="1238">
        <f t="shared" si="15"/>
        <v>1412884.71</v>
      </c>
      <c r="I34" s="1238">
        <f t="shared" si="15"/>
        <v>3494146.35</v>
      </c>
      <c r="J34" s="1238">
        <f t="shared" si="15"/>
        <v>1721745.17</v>
      </c>
      <c r="K34" s="1238">
        <f t="shared" si="15"/>
        <v>551935.67999999993</v>
      </c>
      <c r="L34" s="1238">
        <f t="shared" si="15"/>
        <v>1245788.3799999999</v>
      </c>
      <c r="M34" s="1238">
        <f t="shared" si="15"/>
        <v>943821.03</v>
      </c>
      <c r="N34" s="1238">
        <f>SUBTOTAL(9,B34:M34)</f>
        <v>24398393.309999999</v>
      </c>
    </row>
    <row r="35" spans="1:14" s="1231" customFormat="1" ht="10.199999999999999">
      <c r="A35" s="1231" t="s">
        <v>1283</v>
      </c>
      <c r="B35" s="1240">
        <v>4456434.6400000006</v>
      </c>
      <c r="C35" s="1243">
        <v>292040.78000000003</v>
      </c>
      <c r="D35" s="1240"/>
      <c r="E35" s="1235">
        <v>149662.62</v>
      </c>
      <c r="F35" s="1240">
        <v>167745.43</v>
      </c>
      <c r="G35" s="1235"/>
      <c r="H35" s="1235">
        <v>258175.66</v>
      </c>
      <c r="I35" s="1235"/>
      <c r="J35" s="1235"/>
      <c r="K35" s="1235"/>
      <c r="L35" s="1235"/>
      <c r="M35" s="1235">
        <v>-180453.94</v>
      </c>
      <c r="N35" s="1235">
        <f>SUBTOTAL(9,B35:M35)</f>
        <v>5143605.1900000004</v>
      </c>
    </row>
    <row r="36" spans="1:14" s="1231" customFormat="1" ht="10.199999999999999">
      <c r="A36" s="1231" t="s">
        <v>2071</v>
      </c>
      <c r="B36" s="1240">
        <v>4481135.66</v>
      </c>
      <c r="C36" s="1240">
        <v>57400.509999999995</v>
      </c>
      <c r="D36" s="1240">
        <v>1795826.4</v>
      </c>
      <c r="E36" s="1235">
        <v>187959.76</v>
      </c>
      <c r="F36" s="1240">
        <v>188099.53</v>
      </c>
      <c r="G36" s="1235">
        <v>192037.45</v>
      </c>
      <c r="H36" s="1235">
        <v>179220.88999999998</v>
      </c>
      <c r="I36" s="1235">
        <v>2902845.21</v>
      </c>
      <c r="J36" s="1235">
        <v>1207725.21</v>
      </c>
      <c r="K36" s="1235">
        <v>52946.6</v>
      </c>
      <c r="L36" s="1235"/>
      <c r="M36" s="1235"/>
      <c r="N36" s="1235">
        <f t="shared" ref="N36:N51" si="16">SUBTOTAL(9,B36:M36)</f>
        <v>11245197.220000001</v>
      </c>
    </row>
    <row r="37" spans="1:14" s="1231" customFormat="1" ht="10.199999999999999">
      <c r="A37" s="1231" t="s">
        <v>2062</v>
      </c>
      <c r="B37" s="1240"/>
      <c r="C37" s="1243"/>
      <c r="D37" s="1240"/>
      <c r="E37" s="1235">
        <v>74992.789999999994</v>
      </c>
      <c r="F37" s="1240">
        <v>52091.040000000001</v>
      </c>
      <c r="G37" s="1235">
        <v>129162.79</v>
      </c>
      <c r="H37" s="1235">
        <v>186272.04</v>
      </c>
      <c r="I37" s="1235">
        <v>234473.14</v>
      </c>
      <c r="J37" s="1235">
        <v>259817.28</v>
      </c>
      <c r="K37" s="1235">
        <v>122677.4</v>
      </c>
      <c r="L37" s="1235">
        <v>196734.06</v>
      </c>
      <c r="M37" s="1235">
        <v>257568.44</v>
      </c>
      <c r="N37" s="1235">
        <f t="shared" si="16"/>
        <v>1513788.98</v>
      </c>
    </row>
    <row r="38" spans="1:14" s="1231" customFormat="1" ht="10.199999999999999">
      <c r="A38" s="1231" t="s">
        <v>2191</v>
      </c>
      <c r="B38" s="1240">
        <v>0</v>
      </c>
      <c r="C38" s="1243">
        <v>435604.79000000004</v>
      </c>
      <c r="D38" s="1240">
        <v>0</v>
      </c>
      <c r="E38" s="1235">
        <v>147972</v>
      </c>
      <c r="F38" s="1240">
        <v>149742</v>
      </c>
      <c r="G38" s="1235">
        <v>142190</v>
      </c>
      <c r="H38" s="1235">
        <v>142190</v>
      </c>
      <c r="I38" s="1235">
        <v>144432</v>
      </c>
      <c r="J38" s="1235">
        <v>144698.68</v>
      </c>
      <c r="K38" s="1235">
        <v>245567.68</v>
      </c>
      <c r="L38" s="1235">
        <v>316570.40000000002</v>
      </c>
      <c r="M38" s="1235">
        <v>321830.59999999998</v>
      </c>
      <c r="N38" s="1235">
        <f t="shared" si="16"/>
        <v>2190798.15</v>
      </c>
    </row>
    <row r="39" spans="1:14" s="1231" customFormat="1" ht="10.199999999999999">
      <c r="A39" s="1231" t="s">
        <v>2073</v>
      </c>
      <c r="B39" s="1240">
        <v>559615</v>
      </c>
      <c r="C39" s="1240">
        <v>130744</v>
      </c>
      <c r="D39" s="1240">
        <v>130744</v>
      </c>
      <c r="E39" s="1235">
        <v>130744</v>
      </c>
      <c r="F39" s="1240">
        <v>130744</v>
      </c>
      <c r="G39" s="1235">
        <v>109504</v>
      </c>
      <c r="H39" s="1235">
        <v>109504</v>
      </c>
      <c r="I39" s="1235">
        <v>88264</v>
      </c>
      <c r="J39" s="1235">
        <v>109504</v>
      </c>
      <c r="K39" s="1235">
        <v>130744</v>
      </c>
      <c r="L39" s="1235">
        <v>70800</v>
      </c>
      <c r="M39" s="1235">
        <v>21240</v>
      </c>
      <c r="N39" s="1235">
        <f t="shared" si="16"/>
        <v>1722151</v>
      </c>
    </row>
    <row r="40" spans="1:14" s="1231" customFormat="1" ht="10.199999999999999">
      <c r="A40" s="1231" t="s">
        <v>2043</v>
      </c>
      <c r="B40" s="1240">
        <v>32500</v>
      </c>
      <c r="C40" s="1240"/>
      <c r="D40" s="1240">
        <v>4631.5</v>
      </c>
      <c r="E40" s="1235">
        <v>826</v>
      </c>
      <c r="F40" s="1240">
        <v>138130.34</v>
      </c>
      <c r="G40" s="1235">
        <v>167145.96000000002</v>
      </c>
      <c r="H40" s="1235">
        <v>537522.12</v>
      </c>
      <c r="I40" s="1235">
        <v>124132</v>
      </c>
      <c r="J40" s="1235"/>
      <c r="K40" s="1235"/>
      <c r="L40" s="1235">
        <v>216162.42</v>
      </c>
      <c r="M40" s="1235">
        <v>10162</v>
      </c>
      <c r="N40" s="1235">
        <f t="shared" si="16"/>
        <v>1231212.3400000001</v>
      </c>
    </row>
    <row r="41" spans="1:14" s="1231" customFormat="1" ht="10.199999999999999">
      <c r="A41" s="1231" t="s">
        <v>2074</v>
      </c>
      <c r="B41" s="1240"/>
      <c r="C41" s="1240"/>
      <c r="D41" s="1240"/>
      <c r="E41" s="1235">
        <v>392645</v>
      </c>
      <c r="F41" s="1240"/>
      <c r="G41" s="1235"/>
      <c r="H41" s="1235"/>
      <c r="I41" s="1235"/>
      <c r="J41" s="1235"/>
      <c r="K41" s="1235"/>
      <c r="L41" s="1235">
        <v>445521.5</v>
      </c>
      <c r="M41" s="1235">
        <v>513473.93</v>
      </c>
      <c r="N41" s="1235">
        <f t="shared" si="16"/>
        <v>1351640.43</v>
      </c>
    </row>
    <row r="42" spans="1:14" s="1231" customFormat="1" ht="10.199999999999999">
      <c r="A42" s="1231" t="s">
        <v>2075</v>
      </c>
      <c r="B42" s="1240"/>
      <c r="C42" s="1240"/>
      <c r="D42" s="1240"/>
      <c r="E42" s="1235"/>
      <c r="F42" s="1240"/>
      <c r="G42" s="1235"/>
      <c r="H42" s="1235"/>
      <c r="I42" s="1235"/>
      <c r="J42" s="1235"/>
      <c r="K42" s="1235"/>
      <c r="L42" s="1235"/>
      <c r="M42" s="1235"/>
      <c r="N42" s="1235">
        <f t="shared" si="16"/>
        <v>0</v>
      </c>
    </row>
    <row r="43" spans="1:14" s="1229" customFormat="1" ht="10.199999999999999">
      <c r="A43" s="1229" t="s">
        <v>1811</v>
      </c>
      <c r="B43" s="1238">
        <f>SUM(B44:B45)</f>
        <v>0</v>
      </c>
      <c r="C43" s="1238">
        <f t="shared" ref="C43:M43" si="17">SUM(C44:C45)</f>
        <v>0</v>
      </c>
      <c r="D43" s="1238">
        <f t="shared" si="17"/>
        <v>0</v>
      </c>
      <c r="E43" s="1233">
        <f t="shared" si="17"/>
        <v>0</v>
      </c>
      <c r="F43" s="1238">
        <f t="shared" si="17"/>
        <v>0</v>
      </c>
      <c r="G43" s="1233">
        <f t="shared" si="17"/>
        <v>0</v>
      </c>
      <c r="H43" s="1233">
        <f t="shared" si="17"/>
        <v>0</v>
      </c>
      <c r="I43" s="1233">
        <f t="shared" si="17"/>
        <v>0</v>
      </c>
      <c r="J43" s="1233">
        <f t="shared" si="17"/>
        <v>0</v>
      </c>
      <c r="K43" s="1233">
        <f t="shared" si="17"/>
        <v>0</v>
      </c>
      <c r="L43" s="1233">
        <f t="shared" si="17"/>
        <v>0</v>
      </c>
      <c r="M43" s="1233">
        <f t="shared" si="17"/>
        <v>0</v>
      </c>
      <c r="N43" s="1233">
        <f t="shared" si="16"/>
        <v>0</v>
      </c>
    </row>
    <row r="44" spans="1:14" s="1231" customFormat="1" ht="10.199999999999999">
      <c r="A44" s="1231" t="s">
        <v>1812</v>
      </c>
      <c r="B44" s="1240"/>
      <c r="C44" s="1240"/>
      <c r="D44" s="1240"/>
      <c r="E44" s="1235"/>
      <c r="F44" s="1240"/>
      <c r="G44" s="1235"/>
      <c r="H44" s="1235"/>
      <c r="I44" s="1235"/>
      <c r="J44" s="1235"/>
      <c r="K44" s="1235"/>
      <c r="L44" s="1235"/>
      <c r="M44" s="1235"/>
      <c r="N44" s="1235">
        <f t="shared" si="16"/>
        <v>0</v>
      </c>
    </row>
    <row r="45" spans="1:14" s="1231" customFormat="1" ht="10.199999999999999">
      <c r="A45" s="1231" t="s">
        <v>1813</v>
      </c>
      <c r="B45" s="1240"/>
      <c r="C45" s="1240"/>
      <c r="D45" s="1240"/>
      <c r="E45" s="1235"/>
      <c r="F45" s="1240"/>
      <c r="G45" s="1235"/>
      <c r="H45" s="1235"/>
      <c r="I45" s="1235"/>
      <c r="J45" s="1235"/>
      <c r="K45" s="1235"/>
      <c r="L45" s="1235"/>
      <c r="M45" s="1235"/>
      <c r="N45" s="1235">
        <f t="shared" si="16"/>
        <v>0</v>
      </c>
    </row>
    <row r="46" spans="1:14" s="1229" customFormat="1" ht="10.199999999999999">
      <c r="A46" s="1229" t="s">
        <v>859</v>
      </c>
      <c r="B46" s="1238">
        <f>SUM(B47)</f>
        <v>12715384.379999999</v>
      </c>
      <c r="C46" s="1238">
        <f t="shared" ref="C46:M46" si="18">SUM(C47)</f>
        <v>0</v>
      </c>
      <c r="D46" s="1238">
        <f t="shared" si="18"/>
        <v>0</v>
      </c>
      <c r="E46" s="1233">
        <f t="shared" si="18"/>
        <v>128745.38</v>
      </c>
      <c r="F46" s="1238">
        <f t="shared" si="18"/>
        <v>552632.57999999996</v>
      </c>
      <c r="G46" s="1233">
        <f t="shared" si="18"/>
        <v>120006</v>
      </c>
      <c r="H46" s="1233">
        <f t="shared" si="18"/>
        <v>1543136</v>
      </c>
      <c r="I46" s="1233">
        <f t="shared" si="18"/>
        <v>300</v>
      </c>
      <c r="J46" s="1233">
        <f t="shared" si="18"/>
        <v>223322.53</v>
      </c>
      <c r="K46" s="1233">
        <f t="shared" si="18"/>
        <v>1594150.23</v>
      </c>
      <c r="L46" s="1233">
        <f t="shared" si="18"/>
        <v>842419.7</v>
      </c>
      <c r="M46" s="1233">
        <f t="shared" si="18"/>
        <v>339222.22</v>
      </c>
      <c r="N46" s="1233">
        <f t="shared" si="16"/>
        <v>18059319.019999996</v>
      </c>
    </row>
    <row r="47" spans="1:14" s="1231" customFormat="1" ht="10.199999999999999">
      <c r="A47" s="1231" t="s">
        <v>860</v>
      </c>
      <c r="B47" s="1239">
        <v>12715384.379999999</v>
      </c>
      <c r="C47" s="1239"/>
      <c r="D47" s="1239"/>
      <c r="E47" s="1234">
        <v>128745.38</v>
      </c>
      <c r="F47" s="1239">
        <v>552632.57999999996</v>
      </c>
      <c r="G47" s="1234">
        <v>120006</v>
      </c>
      <c r="H47" s="1234">
        <v>1543136</v>
      </c>
      <c r="I47" s="1234">
        <v>300</v>
      </c>
      <c r="J47" s="1234">
        <v>223322.53</v>
      </c>
      <c r="K47" s="1234">
        <f>1099066.83+495083.4</f>
        <v>1594150.23</v>
      </c>
      <c r="L47" s="1234">
        <v>842419.7</v>
      </c>
      <c r="M47" s="1234">
        <v>339222.22</v>
      </c>
      <c r="N47" s="1234">
        <f t="shared" si="16"/>
        <v>18059319.019999996</v>
      </c>
    </row>
    <row r="48" spans="1:14" s="1229" customFormat="1" ht="10.199999999999999">
      <c r="A48" s="1229" t="s">
        <v>1814</v>
      </c>
      <c r="B48" s="1238">
        <f>SUM(B49)</f>
        <v>0</v>
      </c>
      <c r="C48" s="1238">
        <f t="shared" ref="C48:M48" si="19">SUM(C49)</f>
        <v>0</v>
      </c>
      <c r="D48" s="1238">
        <f t="shared" si="19"/>
        <v>0</v>
      </c>
      <c r="E48" s="1233">
        <f t="shared" si="19"/>
        <v>0</v>
      </c>
      <c r="F48" s="1238">
        <f t="shared" si="19"/>
        <v>0</v>
      </c>
      <c r="G48" s="1233">
        <f t="shared" si="19"/>
        <v>0</v>
      </c>
      <c r="H48" s="1233">
        <f t="shared" si="19"/>
        <v>0</v>
      </c>
      <c r="I48" s="1233">
        <f t="shared" si="19"/>
        <v>0</v>
      </c>
      <c r="J48" s="1233">
        <f t="shared" si="19"/>
        <v>0</v>
      </c>
      <c r="K48" s="1233">
        <f t="shared" si="19"/>
        <v>0</v>
      </c>
      <c r="L48" s="1233">
        <f t="shared" si="19"/>
        <v>0</v>
      </c>
      <c r="M48" s="1233">
        <f t="shared" si="19"/>
        <v>0</v>
      </c>
      <c r="N48" s="1233">
        <f t="shared" si="16"/>
        <v>0</v>
      </c>
    </row>
    <row r="49" spans="1:14" s="1231" customFormat="1" ht="10.199999999999999">
      <c r="A49" s="1231" t="s">
        <v>1815</v>
      </c>
      <c r="B49" s="1239"/>
      <c r="C49" s="1239"/>
      <c r="D49" s="1239"/>
      <c r="E49" s="1234"/>
      <c r="F49" s="1239"/>
      <c r="G49" s="1234"/>
      <c r="H49" s="1234"/>
      <c r="I49" s="1234"/>
      <c r="J49" s="1234"/>
      <c r="K49" s="1234"/>
      <c r="L49" s="1234"/>
      <c r="M49" s="1234"/>
      <c r="N49" s="1234">
        <f t="shared" si="16"/>
        <v>0</v>
      </c>
    </row>
    <row r="50" spans="1:14" s="1229" customFormat="1" ht="10.199999999999999">
      <c r="A50" s="1229" t="s">
        <v>1816</v>
      </c>
      <c r="B50" s="1238">
        <f>SUM(B51)</f>
        <v>0</v>
      </c>
      <c r="C50" s="1238">
        <f t="shared" ref="C50:M50" si="20">SUM(C51)</f>
        <v>0</v>
      </c>
      <c r="D50" s="1238">
        <f t="shared" si="20"/>
        <v>0</v>
      </c>
      <c r="E50" s="1233">
        <f t="shared" si="20"/>
        <v>0</v>
      </c>
      <c r="F50" s="1238">
        <f t="shared" si="20"/>
        <v>0</v>
      </c>
      <c r="G50" s="1233">
        <f t="shared" si="20"/>
        <v>0</v>
      </c>
      <c r="H50" s="1233">
        <f t="shared" si="20"/>
        <v>0</v>
      </c>
      <c r="I50" s="1233">
        <f t="shared" si="20"/>
        <v>0</v>
      </c>
      <c r="J50" s="1233">
        <f t="shared" si="20"/>
        <v>0</v>
      </c>
      <c r="K50" s="1233">
        <f t="shared" si="20"/>
        <v>0</v>
      </c>
      <c r="L50" s="1233">
        <f t="shared" si="20"/>
        <v>5900</v>
      </c>
      <c r="M50" s="1233">
        <f t="shared" si="20"/>
        <v>0</v>
      </c>
      <c r="N50" s="1233">
        <f t="shared" si="16"/>
        <v>5900</v>
      </c>
    </row>
    <row r="51" spans="1:14" s="1231" customFormat="1" ht="10.199999999999999">
      <c r="A51" s="1231" t="s">
        <v>1817</v>
      </c>
      <c r="B51" s="1239"/>
      <c r="C51" s="1239"/>
      <c r="D51" s="1239"/>
      <c r="E51" s="1234"/>
      <c r="F51" s="1239"/>
      <c r="G51" s="1234"/>
      <c r="H51" s="1234"/>
      <c r="I51" s="1234"/>
      <c r="J51" s="1234"/>
      <c r="K51" s="1234"/>
      <c r="L51" s="1234">
        <v>5900</v>
      </c>
      <c r="M51" s="1234"/>
      <c r="N51" s="1234">
        <f t="shared" si="16"/>
        <v>5900</v>
      </c>
    </row>
    <row r="52" spans="1:14" s="1245" customFormat="1" ht="13.8">
      <c r="A52" s="1245" t="s">
        <v>1818</v>
      </c>
      <c r="B52" s="1246">
        <f t="shared" ref="B52:N52" si="21">+B2+B4+B6+B8+B10+B12+B20+B22+B24+B26+B31+B34+B43+B46+B48+B50</f>
        <v>149543038.89000002</v>
      </c>
      <c r="C52" s="1246">
        <f t="shared" si="21"/>
        <v>2968703.3</v>
      </c>
      <c r="D52" s="1246">
        <f t="shared" si="21"/>
        <v>2613690.2399999998</v>
      </c>
      <c r="E52" s="1247">
        <f t="shared" si="21"/>
        <v>2876903.79</v>
      </c>
      <c r="F52" s="1246">
        <f t="shared" si="21"/>
        <v>7667982.7599999998</v>
      </c>
      <c r="G52" s="1247">
        <f t="shared" si="21"/>
        <v>6705088.7200000007</v>
      </c>
      <c r="H52" s="1247">
        <f t="shared" si="21"/>
        <v>10036771</v>
      </c>
      <c r="I52" s="1247">
        <f t="shared" si="21"/>
        <v>19175567.920000002</v>
      </c>
      <c r="J52" s="1247">
        <f t="shared" si="21"/>
        <v>197315960.72999996</v>
      </c>
      <c r="K52" s="1247">
        <f t="shared" si="21"/>
        <v>19508128.399999999</v>
      </c>
      <c r="L52" s="1247">
        <f t="shared" si="21"/>
        <v>20646777.379999999</v>
      </c>
      <c r="M52" s="1247">
        <f t="shared" si="21"/>
        <v>23609624.670000002</v>
      </c>
      <c r="N52" s="1247">
        <f t="shared" si="21"/>
        <v>462668237.79999983</v>
      </c>
    </row>
  </sheetData>
  <autoFilter ref="A1:N52" xr:uid="{E2A45053-F1C6-4266-8F20-3FD38BF97DEF}"/>
  <pageMargins left="0.7" right="0.7" top="0.75" bottom="0.75" header="0.3" footer="0.3"/>
  <pageSetup paperSize="9" orientation="portrait" r:id="rId1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497D6-61D2-4F03-8061-DBD349D4C33F}">
  <sheetPr>
    <pageSetUpPr autoPageBreaks="0" fitToPage="1"/>
  </sheetPr>
  <dimension ref="B1:X35"/>
  <sheetViews>
    <sheetView showGridLines="0" topLeftCell="B10" zoomScale="120" zoomScaleNormal="120" zoomScalePageLayoutView="125" workbookViewId="0">
      <selection activeCell="U25" sqref="U25"/>
    </sheetView>
  </sheetViews>
  <sheetFormatPr baseColWidth="10" defaultColWidth="2.6640625" defaultRowHeight="13.8"/>
  <cols>
    <col min="1" max="1" width="1.33203125" style="1173" customWidth="1"/>
    <col min="2" max="2" width="26.6640625" style="1173" customWidth="1"/>
    <col min="3" max="3" width="15" style="1177" bestFit="1" customWidth="1"/>
    <col min="4" max="4" width="15.5546875" style="1173" customWidth="1"/>
    <col min="5" max="5" width="15.33203125" style="1173" customWidth="1"/>
    <col min="6" max="7" width="13.6640625" style="1173" customWidth="1"/>
    <col min="8" max="8" width="12.6640625" style="1173" customWidth="1"/>
    <col min="9" max="9" width="12.5546875" style="1173" customWidth="1"/>
    <col min="10" max="10" width="10.5546875" style="1173" hidden="1" customWidth="1"/>
    <col min="11" max="11" width="11.33203125" style="1173" hidden="1" customWidth="1"/>
    <col min="12" max="12" width="10.5546875" style="1173" hidden="1" customWidth="1"/>
    <col min="13" max="14" width="11.44140625" style="1173" hidden="1" customWidth="1"/>
    <col min="15" max="16" width="12.44140625" style="1173" hidden="1" customWidth="1"/>
    <col min="17" max="17" width="12.5546875" style="1173" hidden="1" customWidth="1"/>
    <col min="18" max="18" width="12.44140625" style="1173" hidden="1" customWidth="1"/>
    <col min="19" max="23" width="12.44140625" style="1173" customWidth="1"/>
    <col min="24" max="24" width="13.88671875" style="1173" bestFit="1" customWidth="1"/>
    <col min="25" max="16384" width="2.6640625" style="1173"/>
  </cols>
  <sheetData>
    <row r="1" spans="2:24" ht="23.4">
      <c r="B1" s="1175" t="s">
        <v>1891</v>
      </c>
      <c r="C1" s="1176"/>
      <c r="F1" s="1257" t="s">
        <v>1892</v>
      </c>
    </row>
    <row r="2" spans="2:24" ht="9.6" customHeight="1">
      <c r="B2" s="1179"/>
      <c r="C2" s="1180"/>
      <c r="F2" s="1181"/>
      <c r="G2" s="1181"/>
    </row>
    <row r="3" spans="2:24" ht="28.8">
      <c r="B3" s="2153" t="s">
        <v>1893</v>
      </c>
      <c r="C3" s="2153"/>
      <c r="D3" s="1970" t="s">
        <v>2192</v>
      </c>
      <c r="E3" s="1971"/>
    </row>
    <row r="4" spans="2:24" s="1183" customFormat="1" ht="12">
      <c r="B4" s="1184" t="s">
        <v>29</v>
      </c>
      <c r="C4" s="1184" t="s">
        <v>1895</v>
      </c>
      <c r="D4" s="1184" t="s">
        <v>1896</v>
      </c>
      <c r="E4" s="1401"/>
      <c r="F4" s="1401"/>
      <c r="G4" s="1184"/>
      <c r="H4" s="1185"/>
      <c r="I4" s="1185"/>
      <c r="J4" s="1185" t="s">
        <v>1897</v>
      </c>
      <c r="K4" s="1185">
        <v>45658</v>
      </c>
      <c r="L4" s="1185">
        <v>45689</v>
      </c>
      <c r="M4" s="1185">
        <v>45717</v>
      </c>
      <c r="N4" s="1185">
        <v>45748</v>
      </c>
      <c r="O4" s="1185">
        <v>45778</v>
      </c>
      <c r="P4" s="1185">
        <v>45809</v>
      </c>
      <c r="Q4" s="1185">
        <v>45839</v>
      </c>
      <c r="R4" s="1185">
        <v>45870</v>
      </c>
      <c r="S4" s="1185">
        <v>45901</v>
      </c>
      <c r="T4" s="1185">
        <v>45931</v>
      </c>
      <c r="U4" s="1185">
        <v>45962</v>
      </c>
      <c r="V4" s="1185">
        <v>45992</v>
      </c>
      <c r="W4" s="1185">
        <v>46023</v>
      </c>
      <c r="X4" s="1184" t="s">
        <v>1898</v>
      </c>
    </row>
    <row r="5" spans="2:24" s="1183" customFormat="1" ht="12.6" thickBot="1">
      <c r="B5" s="1261" t="s">
        <v>1899</v>
      </c>
      <c r="C5" s="1258">
        <v>462</v>
      </c>
      <c r="D5" s="1402">
        <f>SUM(J5:S5)</f>
        <v>76</v>
      </c>
      <c r="E5" s="1264"/>
      <c r="F5" s="1259"/>
      <c r="G5" s="1259"/>
      <c r="P5" s="1183">
        <v>3</v>
      </c>
      <c r="Q5" s="1183">
        <v>29</v>
      </c>
      <c r="R5" s="1183">
        <v>20</v>
      </c>
      <c r="S5" s="1260">
        <v>24</v>
      </c>
      <c r="T5" s="1260"/>
      <c r="U5" s="1260"/>
      <c r="V5" s="1260"/>
      <c r="W5" s="1260"/>
      <c r="X5" s="1384">
        <f>+C5-D5</f>
        <v>386</v>
      </c>
    </row>
    <row r="6" spans="2:24" s="1183" customFormat="1" ht="12.6" thickBot="1">
      <c r="B6" s="1266" t="s">
        <v>1900</v>
      </c>
      <c r="C6" s="1373">
        <f>+'ADI 09-25'!D50</f>
        <v>68068862.399999991</v>
      </c>
      <c r="D6" s="1403">
        <f>SUM(J6:S6)</f>
        <v>13885050</v>
      </c>
      <c r="E6" s="1373"/>
      <c r="F6" s="1186"/>
      <c r="G6" s="1186"/>
      <c r="H6" s="1187"/>
      <c r="I6" s="1362"/>
      <c r="J6" s="1405"/>
      <c r="K6" s="1405">
        <v>138050</v>
      </c>
      <c r="L6" s="1405"/>
      <c r="M6" s="1405"/>
      <c r="N6" s="1405">
        <v>403450</v>
      </c>
      <c r="O6" s="1405">
        <v>3464300</v>
      </c>
      <c r="P6" s="1405">
        <v>1453610</v>
      </c>
      <c r="Q6" s="1405">
        <v>3115440</v>
      </c>
      <c r="R6" s="1405">
        <v>2848600</v>
      </c>
      <c r="S6" s="1406">
        <v>2461600</v>
      </c>
      <c r="T6" s="1364"/>
      <c r="U6" s="1364"/>
      <c r="V6" s="1364"/>
      <c r="W6" s="1364"/>
      <c r="X6" s="1364">
        <f>+C6-D6</f>
        <v>54183812.399999991</v>
      </c>
    </row>
    <row r="7" spans="2:24" s="1183" customFormat="1" ht="12.6" thickBot="1">
      <c r="B7" s="1407" t="s">
        <v>1901</v>
      </c>
      <c r="C7" s="1373"/>
      <c r="D7" s="1403"/>
      <c r="E7" s="1373"/>
      <c r="F7" s="1186"/>
      <c r="G7" s="1186"/>
      <c r="H7" s="1187"/>
      <c r="I7" s="1362"/>
      <c r="J7" s="1405"/>
      <c r="K7" s="1405"/>
      <c r="L7" s="1405"/>
      <c r="M7" s="1405"/>
      <c r="N7" s="1405"/>
      <c r="O7" s="1405"/>
      <c r="P7" s="1405"/>
      <c r="Q7" s="1405"/>
      <c r="R7" s="1405"/>
      <c r="S7" s="1406"/>
      <c r="T7" s="1364"/>
      <c r="U7" s="1364"/>
      <c r="V7" s="1364"/>
      <c r="W7" s="1364"/>
      <c r="X7" s="1364"/>
    </row>
    <row r="8" spans="2:24" s="1183" customFormat="1" ht="12.6" thickBot="1">
      <c r="B8" s="1262" t="s">
        <v>1902</v>
      </c>
      <c r="C8" s="1365">
        <f>+'ADI 09-25'!C50</f>
        <v>4152200606.3999996</v>
      </c>
      <c r="D8" s="1404">
        <f>SUM(J8:S8)</f>
        <v>76880590.930000007</v>
      </c>
      <c r="E8" s="1365"/>
      <c r="F8" s="1263">
        <f>+D8</f>
        <v>76880590.930000007</v>
      </c>
      <c r="G8" s="1263"/>
      <c r="H8" s="1265"/>
      <c r="I8" s="1363"/>
      <c r="J8" s="1374">
        <v>597566.75</v>
      </c>
      <c r="K8" s="1374">
        <v>123420.98</v>
      </c>
      <c r="L8" s="1374">
        <v>-123572.38</v>
      </c>
      <c r="M8" s="1374">
        <v>61261.19</v>
      </c>
      <c r="N8" s="1374">
        <v>3006924.23</v>
      </c>
      <c r="O8" s="1374">
        <v>6287923.8600000003</v>
      </c>
      <c r="P8" s="1374">
        <v>12848147.640000001</v>
      </c>
      <c r="Q8" s="1374">
        <v>18376055.530000001</v>
      </c>
      <c r="R8" s="1374">
        <v>16465115.92</v>
      </c>
      <c r="S8" s="1375">
        <v>19237747.210000001</v>
      </c>
      <c r="T8" s="1366"/>
      <c r="U8" s="1366"/>
      <c r="V8" s="1366"/>
      <c r="W8" s="1366"/>
      <c r="X8" s="1366">
        <f>+C8-D8</f>
        <v>4075320015.4699998</v>
      </c>
    </row>
    <row r="9" spans="2:24" s="1183" customFormat="1" ht="15" customHeight="1" thickBot="1">
      <c r="B9" s="1262" t="s">
        <v>1903</v>
      </c>
      <c r="C9" s="1225"/>
      <c r="D9" s="1226"/>
      <c r="E9" s="1226"/>
      <c r="F9" s="1226"/>
      <c r="G9" s="1226"/>
      <c r="J9" s="1189"/>
      <c r="K9" s="1189"/>
      <c r="L9" s="1189"/>
      <c r="M9" s="1189"/>
      <c r="N9" s="1189"/>
      <c r="O9" s="1189"/>
      <c r="P9" s="1189"/>
      <c r="Q9" s="1189"/>
      <c r="R9" s="1189"/>
      <c r="S9" s="1189"/>
      <c r="T9" s="1189"/>
      <c r="U9" s="1189"/>
      <c r="V9" s="1189"/>
      <c r="W9" s="1189"/>
      <c r="X9" s="1189"/>
    </row>
    <row r="10" spans="2:24" s="1183" customFormat="1" ht="12" customHeight="1">
      <c r="C10" s="1188"/>
      <c r="D10" s="2155" t="s">
        <v>2193</v>
      </c>
      <c r="E10" s="2156"/>
      <c r="F10" s="2156"/>
      <c r="G10" s="2156"/>
      <c r="H10" s="2156"/>
      <c r="I10" s="2157"/>
      <c r="J10" s="1189"/>
      <c r="K10" s="1189"/>
      <c r="L10" s="1189"/>
      <c r="M10" s="1189"/>
      <c r="N10" s="1189"/>
      <c r="O10" s="1189"/>
      <c r="P10" s="1189"/>
      <c r="Q10" s="1189"/>
      <c r="R10" s="1189"/>
      <c r="S10" s="1189"/>
      <c r="T10" s="1189"/>
      <c r="U10" s="1189"/>
      <c r="V10" s="1189"/>
      <c r="W10" s="1189"/>
      <c r="X10" s="1189"/>
    </row>
    <row r="11" spans="2:24" s="1183" customFormat="1" ht="24">
      <c r="B11" s="2154" t="s">
        <v>1905</v>
      </c>
      <c r="C11" s="2154"/>
      <c r="D11" s="1222" t="s">
        <v>2194</v>
      </c>
      <c r="E11" s="1222" t="s">
        <v>1907</v>
      </c>
      <c r="F11" s="1222" t="s">
        <v>1908</v>
      </c>
      <c r="G11" s="1223" t="s">
        <v>1909</v>
      </c>
      <c r="H11" s="1223" t="s">
        <v>1910</v>
      </c>
      <c r="I11" s="1223" t="s">
        <v>1911</v>
      </c>
      <c r="J11" s="1190"/>
      <c r="O11" s="1191"/>
    </row>
    <row r="12" spans="2:24" s="1183" customFormat="1" ht="15.6">
      <c r="B12" s="1182"/>
      <c r="C12" s="1182"/>
      <c r="D12" s="1224" t="s">
        <v>1912</v>
      </c>
      <c r="E12" s="1224" t="s">
        <v>1913</v>
      </c>
      <c r="F12" s="1224" t="s">
        <v>1914</v>
      </c>
      <c r="G12" s="1224" t="s">
        <v>1915</v>
      </c>
      <c r="H12" s="1224" t="s">
        <v>1916</v>
      </c>
      <c r="I12" s="1224" t="s">
        <v>1917</v>
      </c>
      <c r="J12" s="1190" t="s">
        <v>1918</v>
      </c>
      <c r="O12" s="1191"/>
      <c r="T12" s="1183" t="s">
        <v>1919</v>
      </c>
    </row>
    <row r="13" spans="2:24" s="1192" customFormat="1" ht="12">
      <c r="B13" s="1193" t="s">
        <v>29</v>
      </c>
      <c r="C13" s="1193" t="s">
        <v>1895</v>
      </c>
      <c r="D13" s="1193"/>
      <c r="E13" s="1193"/>
      <c r="F13" s="1193"/>
      <c r="G13" s="1193"/>
      <c r="H13" s="1193"/>
      <c r="I13" s="1194"/>
      <c r="J13" s="1194" t="s">
        <v>1897</v>
      </c>
      <c r="K13" s="1194">
        <v>45658</v>
      </c>
      <c r="L13" s="1194">
        <v>45689</v>
      </c>
      <c r="M13" s="1194">
        <v>45717</v>
      </c>
      <c r="N13" s="1194">
        <v>45748</v>
      </c>
      <c r="O13" s="1194">
        <v>45778</v>
      </c>
      <c r="P13" s="1194">
        <v>45809</v>
      </c>
      <c r="Q13" s="1194">
        <v>45839</v>
      </c>
      <c r="R13" s="1194">
        <v>45870</v>
      </c>
      <c r="S13" s="1194">
        <v>45901</v>
      </c>
      <c r="T13" s="1194">
        <v>45931</v>
      </c>
      <c r="U13" s="1194">
        <v>45962</v>
      </c>
      <c r="V13" s="1194">
        <v>45992</v>
      </c>
      <c r="W13" s="1194">
        <v>46023</v>
      </c>
      <c r="X13" s="1193" t="s">
        <v>1898</v>
      </c>
    </row>
    <row r="14" spans="2:24" s="1183" customFormat="1" ht="12">
      <c r="B14" s="1195" t="s">
        <v>1428</v>
      </c>
      <c r="C14" s="1196">
        <f>+'ADI 09-25'!C18</f>
        <v>106933000</v>
      </c>
      <c r="D14" s="1196">
        <f t="shared" ref="D14:D20" si="0">SUM(G14:H14)</f>
        <v>264445080.15999997</v>
      </c>
      <c r="E14" s="1196">
        <f t="shared" ref="E14:E20" si="1">+C14-D14</f>
        <v>-157512080.15999997</v>
      </c>
      <c r="F14" s="1196">
        <f t="shared" ref="F14:F20" si="2">SUM(G14:I14)</f>
        <v>264445080.15999997</v>
      </c>
      <c r="G14" s="1196">
        <f>SUM(J14:T14)</f>
        <v>264445080.15999997</v>
      </c>
      <c r="H14" s="1196"/>
      <c r="I14" s="1196"/>
      <c r="J14" s="1376">
        <f>+'Costos a Sept-25'!B2</f>
        <v>94172341.829999998</v>
      </c>
      <c r="K14" s="1376">
        <f>+'Costos a Sept-25'!C2</f>
        <v>0</v>
      </c>
      <c r="L14" s="1376">
        <f>+'Costos a Sept-25'!D2</f>
        <v>0</v>
      </c>
      <c r="M14" s="1376">
        <f>+'Costos a Sept-25'!E2</f>
        <v>0</v>
      </c>
      <c r="N14" s="1376">
        <f>+'Costos a Sept-25'!F2</f>
        <v>0</v>
      </c>
      <c r="O14" s="1376">
        <f>+'Costos a Sept-25'!G2</f>
        <v>18880</v>
      </c>
      <c r="P14" s="1376">
        <f>+'Costos a Sept-25'!H2</f>
        <v>0</v>
      </c>
      <c r="Q14" s="1376">
        <f>+'Costos a Sept-25'!I2</f>
        <v>0</v>
      </c>
      <c r="R14" s="1376">
        <f>+'Costos a Sept-25'!J2</f>
        <v>170252678.32999998</v>
      </c>
      <c r="S14" s="1377">
        <f>+'Costos a Sept-25'!K2</f>
        <v>1180</v>
      </c>
      <c r="T14" s="1377">
        <f>+'Costos a Oct-25'!L2</f>
        <v>0</v>
      </c>
      <c r="U14" s="1376">
        <f>+'Costos a Sept-25'!M2</f>
        <v>0</v>
      </c>
      <c r="V14" s="1208">
        <f>+'Costos a Sept-25'!N2</f>
        <v>0</v>
      </c>
      <c r="W14" s="1208">
        <f>+'Costos a Sept-25'!O2</f>
        <v>0</v>
      </c>
      <c r="X14" s="1208">
        <f>SUM(T14:W14)</f>
        <v>0</v>
      </c>
    </row>
    <row r="15" spans="2:24" s="1183" customFormat="1" ht="12">
      <c r="B15" s="1197" t="s">
        <v>35</v>
      </c>
      <c r="C15" s="1198">
        <f>+'ADI 09-25'!C19</f>
        <v>469173666.60000002</v>
      </c>
      <c r="D15" s="1198">
        <f t="shared" si="0"/>
        <v>31604463.190000001</v>
      </c>
      <c r="E15" s="1198">
        <f t="shared" si="1"/>
        <v>437569203.41000003</v>
      </c>
      <c r="F15" s="1198">
        <f t="shared" si="2"/>
        <v>30120421.790000003</v>
      </c>
      <c r="G15" s="1198">
        <f t="shared" ref="G15:G20" si="3">SUM(J15:U15)</f>
        <v>18604463.190000001</v>
      </c>
      <c r="H15" s="1198">
        <f>+'Anticipos 11-25'!D8</f>
        <v>13000000</v>
      </c>
      <c r="I15" s="1198">
        <f>-'CXP 11-25 RES'!H7</f>
        <v>-1484041.4</v>
      </c>
      <c r="J15" s="1378">
        <f>+'Costos a Sept-25'!B6</f>
        <v>9219083.5899999999</v>
      </c>
      <c r="K15" s="1378">
        <f>+'Costos a Sept-25'!C6</f>
        <v>0</v>
      </c>
      <c r="L15" s="1378">
        <f>+'Costos a Sept-25'!D6</f>
        <v>0</v>
      </c>
      <c r="M15" s="1378">
        <f>+'Costos a Sept-25'!E6</f>
        <v>0</v>
      </c>
      <c r="N15" s="1378">
        <f>+'Costos a Sept-25'!F6</f>
        <v>353433.2</v>
      </c>
      <c r="O15" s="1378">
        <f>+'Costos a Sept-25'!G6</f>
        <v>93563.38</v>
      </c>
      <c r="P15" s="1378">
        <f>+'Costos a Sept-25'!H6</f>
        <v>806839.56</v>
      </c>
      <c r="Q15" s="1378">
        <f>+'Costos a Sept-25'!I6</f>
        <v>3069742.21</v>
      </c>
      <c r="R15" s="1378">
        <f>+'Costos a Sept-25'!J6</f>
        <v>2900560.48</v>
      </c>
      <c r="S15" s="1379">
        <f>+'Costos a Sept-25'!K6</f>
        <v>342033.18</v>
      </c>
      <c r="T15" s="1379">
        <f>+'Costos a Oct-25'!L6</f>
        <v>201871.48</v>
      </c>
      <c r="U15" s="1379">
        <f>+'Costos a Nov-25'!M6</f>
        <v>1617336.11</v>
      </c>
      <c r="V15" s="1209">
        <f>+'Compromisos 09-25'!H19</f>
        <v>5500000</v>
      </c>
      <c r="W15" s="1209">
        <f>+'Compromisos 09-25'!I19</f>
        <v>6683734</v>
      </c>
      <c r="X15" s="1209">
        <f t="shared" ref="X15:X31" si="4">SUM(T15:W15)</f>
        <v>14002941.59</v>
      </c>
    </row>
    <row r="16" spans="2:24" s="1183" customFormat="1" ht="12">
      <c r="B16" s="1197" t="s">
        <v>38</v>
      </c>
      <c r="C16" s="1198">
        <f>+'ADI 09-25'!C20</f>
        <v>1517166651</v>
      </c>
      <c r="D16" s="1198">
        <f t="shared" si="0"/>
        <v>0</v>
      </c>
      <c r="E16" s="1198">
        <f t="shared" si="1"/>
        <v>1517166651</v>
      </c>
      <c r="F16" s="1198">
        <f t="shared" si="2"/>
        <v>0</v>
      </c>
      <c r="G16" s="1198">
        <f t="shared" si="3"/>
        <v>0</v>
      </c>
      <c r="H16" s="1198"/>
      <c r="I16" s="1198"/>
      <c r="J16" s="1378">
        <f>+'Costos a Sept-25'!B8</f>
        <v>0</v>
      </c>
      <c r="K16" s="1378">
        <f>+'Costos a Sept-25'!C8</f>
        <v>0</v>
      </c>
      <c r="L16" s="1378">
        <f>+'Costos a Sept-25'!D8</f>
        <v>0</v>
      </c>
      <c r="M16" s="1378">
        <f>+'Costos a Sept-25'!E8</f>
        <v>0</v>
      </c>
      <c r="N16" s="1378">
        <f>+'Costos a Sept-25'!F8</f>
        <v>0</v>
      </c>
      <c r="O16" s="1378">
        <f>+'Costos a Sept-25'!G8</f>
        <v>0</v>
      </c>
      <c r="P16" s="1378">
        <f>+'Costos a Sept-25'!H8</f>
        <v>0</v>
      </c>
      <c r="Q16" s="1378">
        <f>+'Costos a Sept-25'!I8</f>
        <v>0</v>
      </c>
      <c r="R16" s="1378">
        <f>+'Costos a Sept-25'!J8</f>
        <v>0</v>
      </c>
      <c r="S16" s="1379">
        <f>+'Costos a Sept-25'!K8</f>
        <v>0</v>
      </c>
      <c r="T16" s="1379">
        <f>+'Costos a Oct-25'!L8</f>
        <v>0</v>
      </c>
      <c r="U16" s="1379">
        <f>+'Costos a Nov-25'!M8</f>
        <v>0</v>
      </c>
      <c r="V16" s="1209">
        <f>+'Costos a Sept-25'!N8</f>
        <v>0</v>
      </c>
      <c r="W16" s="1209">
        <f>+'Costos a Sept-25'!O8</f>
        <v>0</v>
      </c>
      <c r="X16" s="1209">
        <f t="shared" si="4"/>
        <v>0</v>
      </c>
    </row>
    <row r="17" spans="2:24" s="1183" customFormat="1" ht="12">
      <c r="B17" s="1197" t="s">
        <v>1920</v>
      </c>
      <c r="C17" s="1198">
        <f>+'ADI 09-25'!C21</f>
        <v>234388157.47679996</v>
      </c>
      <c r="D17" s="1198">
        <f t="shared" si="0"/>
        <v>24061306.359999999</v>
      </c>
      <c r="E17" s="1198">
        <f t="shared" si="1"/>
        <v>210326851.11679995</v>
      </c>
      <c r="F17" s="1198">
        <f t="shared" si="2"/>
        <v>20696266.32</v>
      </c>
      <c r="G17" s="1198">
        <f t="shared" si="3"/>
        <v>24061306.359999999</v>
      </c>
      <c r="H17" s="1198"/>
      <c r="I17" s="1198">
        <f>-'CXP 11-25 RES'!H8</f>
        <v>-3365040.04</v>
      </c>
      <c r="J17" s="1378">
        <f>+'Costos a Sept-25'!B10</f>
        <v>1644662.03</v>
      </c>
      <c r="K17" s="1378">
        <f>+'Costos a Sept-25'!C10</f>
        <v>1770000</v>
      </c>
      <c r="L17" s="1378">
        <f>+'Costos a Sept-25'!D10</f>
        <v>0</v>
      </c>
      <c r="M17" s="1378">
        <f>+'Costos a Sept-25'!E10</f>
        <v>885000</v>
      </c>
      <c r="N17" s="1378">
        <f>+'Costos a Sept-25'!F10</f>
        <v>2455806.54</v>
      </c>
      <c r="O17" s="1378">
        <f>+'Costos a Sept-25'!G10</f>
        <v>2360000</v>
      </c>
      <c r="P17" s="1378">
        <f>+'Costos a Sept-25'!H10</f>
        <v>2417857.34</v>
      </c>
      <c r="Q17" s="1378">
        <f>+'Costos a Sept-25'!I10</f>
        <v>2664755.19</v>
      </c>
      <c r="R17" s="1378">
        <f>+'Costos a Sept-25'!J10</f>
        <v>2360000</v>
      </c>
      <c r="S17" s="1379">
        <f>+'Costos a Sept-25'!K10</f>
        <v>2360000</v>
      </c>
      <c r="T17" s="1379">
        <f>+'Costos a Oct-25'!L10</f>
        <v>2360000</v>
      </c>
      <c r="U17" s="1379">
        <f>+'Costos a Nov-25'!M10</f>
        <v>2783225.26</v>
      </c>
      <c r="V17" s="1209">
        <f>+'Compromisos 09-25'!H26</f>
        <v>2360000</v>
      </c>
      <c r="W17" s="1209">
        <f>+'Compromisos 09-25'!I26</f>
        <v>2360000</v>
      </c>
      <c r="X17" s="1209">
        <f t="shared" si="4"/>
        <v>9863225.2599999998</v>
      </c>
    </row>
    <row r="18" spans="2:24" s="1183" customFormat="1" ht="12">
      <c r="B18" s="1197" t="s">
        <v>1921</v>
      </c>
      <c r="C18" s="1198">
        <f>+'ADI 09-25'!C22</f>
        <v>19264643</v>
      </c>
      <c r="D18" s="1198">
        <f t="shared" si="0"/>
        <v>1520892.9</v>
      </c>
      <c r="E18" s="1198">
        <f t="shared" si="1"/>
        <v>17743750.100000001</v>
      </c>
      <c r="F18" s="1198">
        <f t="shared" si="2"/>
        <v>452830.81999999983</v>
      </c>
      <c r="G18" s="1198">
        <f t="shared" si="3"/>
        <v>1520892.9</v>
      </c>
      <c r="H18" s="1198"/>
      <c r="I18" s="1198">
        <f>-'CXP 11-25 RES'!H10</f>
        <v>-1068062.08</v>
      </c>
      <c r="J18" s="1378">
        <f>+'Costos a Sept-25'!B22</f>
        <v>0</v>
      </c>
      <c r="K18" s="1378">
        <f>+'Costos a Sept-25'!C22</f>
        <v>0</v>
      </c>
      <c r="L18" s="1378">
        <f>+'Costos a Sept-25'!D22</f>
        <v>0</v>
      </c>
      <c r="M18" s="1378">
        <f>+'Costos a Sept-25'!E22</f>
        <v>0</v>
      </c>
      <c r="N18" s="1378">
        <f>+'Costos a Sept-25'!F22</f>
        <v>0</v>
      </c>
      <c r="O18" s="1378">
        <f>+'Costos a Sept-25'!G22</f>
        <v>0</v>
      </c>
      <c r="P18" s="1378">
        <f>+'Costos a Sept-25'!H22</f>
        <v>0</v>
      </c>
      <c r="Q18" s="1378">
        <f>+'Costos a Sept-25'!I22</f>
        <v>0</v>
      </c>
      <c r="R18" s="1378">
        <f>+'Costos a Sept-25'!J22</f>
        <v>0</v>
      </c>
      <c r="S18" s="1379">
        <f>+'Costos a Sept-25'!K22</f>
        <v>0</v>
      </c>
      <c r="T18" s="1379">
        <f>+'Costos a Oct-25'!L22</f>
        <v>1013928.6</v>
      </c>
      <c r="U18" s="1379">
        <f>+'Costos a Nov-25'!M22</f>
        <v>506964.3</v>
      </c>
      <c r="V18" s="1372">
        <f>+'Compromisos 09-25'!H30</f>
        <v>506964.3</v>
      </c>
      <c r="W18" s="1372">
        <f>+'Compromisos 09-25'!I30</f>
        <v>506964.3</v>
      </c>
      <c r="X18" s="1372">
        <f t="shared" si="4"/>
        <v>2534821.5</v>
      </c>
    </row>
    <row r="19" spans="2:24" s="1183" customFormat="1" ht="12">
      <c r="B19" s="1197" t="s">
        <v>40</v>
      </c>
      <c r="C19" s="1198">
        <f>+'ADI 09-25'!C23</f>
        <v>47672167.622400001</v>
      </c>
      <c r="D19" s="1198">
        <f t="shared" si="0"/>
        <v>852299.65</v>
      </c>
      <c r="E19" s="1198">
        <f t="shared" si="1"/>
        <v>46819867.972400002</v>
      </c>
      <c r="F19" s="1198">
        <f t="shared" si="2"/>
        <v>421127.79000000004</v>
      </c>
      <c r="G19" s="1198">
        <f t="shared" si="3"/>
        <v>852299.65</v>
      </c>
      <c r="H19" s="1198"/>
      <c r="I19" s="1198">
        <f>-'CXP 11-25 RES'!H9</f>
        <v>-431171.86</v>
      </c>
      <c r="J19" s="1378">
        <f>+'Costos a Sept-25'!B12</f>
        <v>0</v>
      </c>
      <c r="K19" s="1378">
        <f>+'Costos a Sept-25'!C12</f>
        <v>0</v>
      </c>
      <c r="L19" s="1378">
        <f>+'Costos a Sept-25'!D12</f>
        <v>0</v>
      </c>
      <c r="M19" s="1378">
        <f>+'Costos a Sept-25'!E12</f>
        <v>0</v>
      </c>
      <c r="N19" s="1378">
        <f>+'Costos a Sept-25'!F12</f>
        <v>0</v>
      </c>
      <c r="O19" s="1378">
        <f>+'Costos a Sept-25'!G12</f>
        <v>0</v>
      </c>
      <c r="P19" s="1378">
        <f>+'Costos a Sept-25'!H12</f>
        <v>147108.53999999998</v>
      </c>
      <c r="Q19" s="1378">
        <f>+'Costos a Sept-25'!I12</f>
        <v>92700.800000000003</v>
      </c>
      <c r="R19" s="1378">
        <f>+'Costos a Sept-25'!J12</f>
        <v>96854.399999999994</v>
      </c>
      <c r="S19" s="1379">
        <f>+'Costos a Sept-25'!K12</f>
        <v>90246.399999999994</v>
      </c>
      <c r="T19" s="1379">
        <f>+'Costos a Oct-25'!L12</f>
        <v>92700.800000000003</v>
      </c>
      <c r="U19" s="1379">
        <f>+'Costos a Nov-25'!M12</f>
        <v>332688.71000000002</v>
      </c>
      <c r="V19" s="1209">
        <f>+'Compromisos 09-25'!H34</f>
        <v>250000</v>
      </c>
      <c r="W19" s="1209">
        <f>+'Compromisos 09-25'!I34</f>
        <v>250000</v>
      </c>
      <c r="X19" s="1209">
        <f t="shared" si="4"/>
        <v>925389.51</v>
      </c>
    </row>
    <row r="20" spans="2:24" s="1183" customFormat="1" ht="12">
      <c r="B20" s="1197" t="s">
        <v>764</v>
      </c>
      <c r="C20" s="1198">
        <f>+'ADI 09-25'!C24</f>
        <v>39726806.351999998</v>
      </c>
      <c r="D20" s="1198">
        <f t="shared" si="0"/>
        <v>0</v>
      </c>
      <c r="E20" s="1198">
        <f t="shared" si="1"/>
        <v>39726806.351999998</v>
      </c>
      <c r="F20" s="1198">
        <f t="shared" si="2"/>
        <v>0</v>
      </c>
      <c r="G20" s="1198">
        <f t="shared" si="3"/>
        <v>0</v>
      </c>
      <c r="H20" s="1198"/>
      <c r="I20" s="1198"/>
      <c r="J20" s="1378">
        <f>+'Costos a Sept-25'!B20</f>
        <v>0</v>
      </c>
      <c r="K20" s="1378">
        <f>+'Costos a Sept-25'!C20</f>
        <v>0</v>
      </c>
      <c r="L20" s="1378">
        <f>+'Costos a Sept-25'!D20</f>
        <v>0</v>
      </c>
      <c r="M20" s="1378">
        <f>+'Costos a Sept-25'!E20</f>
        <v>0</v>
      </c>
      <c r="N20" s="1378">
        <f>+'Costos a Sept-25'!F20</f>
        <v>0</v>
      </c>
      <c r="O20" s="1378">
        <f>+'Costos a Sept-25'!G20</f>
        <v>0</v>
      </c>
      <c r="P20" s="1378">
        <f>+'Costos a Sept-25'!H20</f>
        <v>0</v>
      </c>
      <c r="Q20" s="1378">
        <f>+'Costos a Sept-25'!I20</f>
        <v>0</v>
      </c>
      <c r="R20" s="1378">
        <f>+'Costos a Sept-25'!J20</f>
        <v>0</v>
      </c>
      <c r="S20" s="1379">
        <f>+'Costos a Sept-25'!K20</f>
        <v>0</v>
      </c>
      <c r="T20" s="1379">
        <f>+'Costos a Oct-25'!L20</f>
        <v>0</v>
      </c>
      <c r="U20" s="1379">
        <f>+'Costos a Nov-25'!M20</f>
        <v>0</v>
      </c>
      <c r="V20" s="1209">
        <f>+'Costos a Sept-25'!N20</f>
        <v>0</v>
      </c>
      <c r="W20" s="1209">
        <f>+'Costos a Sept-25'!O20</f>
        <v>0</v>
      </c>
      <c r="X20" s="1209">
        <f t="shared" si="4"/>
        <v>0</v>
      </c>
    </row>
    <row r="21" spans="2:24" s="1183" customFormat="1" ht="12">
      <c r="B21" s="1199" t="s">
        <v>41</v>
      </c>
      <c r="C21" s="1200">
        <f t="shared" ref="C21:X21" si="5">SUM(C15:C20)</f>
        <v>2327392092.0511999</v>
      </c>
      <c r="D21" s="1200">
        <f t="shared" si="5"/>
        <v>58038962.099999994</v>
      </c>
      <c r="E21" s="1200">
        <f t="shared" si="5"/>
        <v>2269353129.9512005</v>
      </c>
      <c r="F21" s="1200">
        <f t="shared" si="5"/>
        <v>51690646.719999999</v>
      </c>
      <c r="G21" s="1200">
        <f t="shared" si="5"/>
        <v>45038962.099999994</v>
      </c>
      <c r="H21" s="1200">
        <f t="shared" si="5"/>
        <v>13000000</v>
      </c>
      <c r="I21" s="1200">
        <f t="shared" si="5"/>
        <v>-6348315.3799999999</v>
      </c>
      <c r="J21" s="1380">
        <f t="shared" si="5"/>
        <v>10863745.619999999</v>
      </c>
      <c r="K21" s="1380">
        <f t="shared" si="5"/>
        <v>1770000</v>
      </c>
      <c r="L21" s="1380">
        <f t="shared" si="5"/>
        <v>0</v>
      </c>
      <c r="M21" s="1380">
        <f t="shared" si="5"/>
        <v>885000</v>
      </c>
      <c r="N21" s="1380">
        <f t="shared" si="5"/>
        <v>2809239.74</v>
      </c>
      <c r="O21" s="1380">
        <f t="shared" si="5"/>
        <v>2453563.38</v>
      </c>
      <c r="P21" s="1380">
        <f t="shared" si="5"/>
        <v>3371805.44</v>
      </c>
      <c r="Q21" s="1380">
        <f t="shared" si="5"/>
        <v>5827198.2000000002</v>
      </c>
      <c r="R21" s="1380">
        <f t="shared" si="5"/>
        <v>5357414.8800000008</v>
      </c>
      <c r="S21" s="1381">
        <f t="shared" si="5"/>
        <v>2792279.58</v>
      </c>
      <c r="T21" s="1381">
        <f t="shared" si="5"/>
        <v>3668500.88</v>
      </c>
      <c r="U21" s="1381">
        <f t="shared" si="5"/>
        <v>5240214.38</v>
      </c>
      <c r="V21" s="1210">
        <f t="shared" si="5"/>
        <v>8616964.3000000007</v>
      </c>
      <c r="W21" s="1210">
        <f t="shared" si="5"/>
        <v>9800698.3000000007</v>
      </c>
      <c r="X21" s="1210">
        <f t="shared" si="5"/>
        <v>27326377.860000003</v>
      </c>
    </row>
    <row r="22" spans="2:24" s="1183" customFormat="1" ht="12">
      <c r="B22" s="1201" t="s">
        <v>42</v>
      </c>
      <c r="C22" s="1198">
        <f>+'ADI 09-25'!C26</f>
        <v>187510525.98143998</v>
      </c>
      <c r="D22" s="1198">
        <f>SUM(G22:H22)</f>
        <v>14321175.969999999</v>
      </c>
      <c r="E22" s="1198">
        <f>+C22-D22</f>
        <v>173189350.01143998</v>
      </c>
      <c r="F22" s="1198">
        <f>SUM(G22:I22)</f>
        <v>12551175.969999999</v>
      </c>
      <c r="G22" s="1198">
        <f>SUM(J22:U22)</f>
        <v>14321175.969999999</v>
      </c>
      <c r="H22" s="1198"/>
      <c r="I22" s="1198">
        <f>-'CXP 11-25 RES'!H11</f>
        <v>-1770000</v>
      </c>
      <c r="J22" s="1378">
        <f>+'Costos a Sept-25'!B24</f>
        <v>161175.97</v>
      </c>
      <c r="K22" s="1378">
        <f>+'Costos a Sept-25'!C24</f>
        <v>0</v>
      </c>
      <c r="L22" s="1378">
        <f>+'Costos a Sept-25'!D24</f>
        <v>0</v>
      </c>
      <c r="M22" s="1378">
        <f>+'Costos a Sept-25'!E24</f>
        <v>0</v>
      </c>
      <c r="N22" s="1378">
        <f>+'Costos a Sept-25'!F24</f>
        <v>1770000</v>
      </c>
      <c r="O22" s="1378">
        <f>+'Costos a Sept-25'!G24</f>
        <v>1770000</v>
      </c>
      <c r="P22" s="1378">
        <f>+'Costos a Sept-25'!H24</f>
        <v>1770000</v>
      </c>
      <c r="Q22" s="1378">
        <f>+'Costos a Sept-25'!I24</f>
        <v>1770000</v>
      </c>
      <c r="R22" s="1378">
        <f>+'Costos a Sept-25'!J24</f>
        <v>1770000</v>
      </c>
      <c r="S22" s="1379">
        <f>+'Costos a Sept-25'!K24</f>
        <v>1770000</v>
      </c>
      <c r="T22" s="1379">
        <f>+'Costos a Oct-25'!L24</f>
        <v>1770000</v>
      </c>
      <c r="U22" s="1379">
        <f>+'Costos a Nov-25'!M24</f>
        <v>1770000</v>
      </c>
      <c r="V22" s="1209">
        <f>+'Compromisos 09-25'!H38</f>
        <v>1770000</v>
      </c>
      <c r="W22" s="1209">
        <f>+'Compromisos 09-25'!I38</f>
        <v>1770000</v>
      </c>
      <c r="X22" s="1209">
        <f t="shared" si="4"/>
        <v>7080000</v>
      </c>
    </row>
    <row r="23" spans="2:24" s="1183" customFormat="1" ht="12">
      <c r="B23" s="1197" t="s">
        <v>43</v>
      </c>
      <c r="C23" s="1198">
        <f>+'ADI 09-25'!C27</f>
        <v>327746152.40399998</v>
      </c>
      <c r="D23" s="1198">
        <f>SUM(G23:H23)</f>
        <v>70315528.280000001</v>
      </c>
      <c r="E23" s="1198">
        <f>+C23-D23</f>
        <v>257430624.12399998</v>
      </c>
      <c r="F23" s="1198">
        <f>SUM(G23:I23)</f>
        <v>55253705.299999997</v>
      </c>
      <c r="G23" s="1198">
        <f>SUM(J23:U23)</f>
        <v>70315528.280000001</v>
      </c>
      <c r="H23" s="1198"/>
      <c r="I23" s="1198">
        <f>-'CXP 11-25 RES'!H12</f>
        <v>-15061822.98</v>
      </c>
      <c r="J23" s="1378">
        <f>+'Costos a Sept-25'!B26</f>
        <v>559355.54</v>
      </c>
      <c r="K23" s="1378">
        <f>+'Costos a Sept-25'!C26</f>
        <v>0</v>
      </c>
      <c r="L23" s="1378">
        <f>+'Costos a Sept-25'!D26</f>
        <v>645765.21</v>
      </c>
      <c r="M23" s="1378">
        <f>+'Costos a Sept-25'!E26</f>
        <v>595001.35</v>
      </c>
      <c r="N23" s="1378">
        <f>+'Costos a Sept-25'!F26</f>
        <v>1549872.47</v>
      </c>
      <c r="O23" s="1378">
        <f>+'Costos a Sept-25'!G26</f>
        <v>1423527.61</v>
      </c>
      <c r="P23" s="1378">
        <f>+'Costos a Sept-25'!H26</f>
        <v>1733909.84</v>
      </c>
      <c r="Q23" s="1378">
        <f>+'Costos a Sept-25'!I26</f>
        <v>7890097.2200000007</v>
      </c>
      <c r="R23" s="1378">
        <f>+'Costos a Sept-25'!J26</f>
        <v>16166710.020000001</v>
      </c>
      <c r="S23" s="1379">
        <f>+'Costos a Sept-25'!K26</f>
        <v>11886550.289999999</v>
      </c>
      <c r="T23" s="1379">
        <f>+'Costos a Oct-25'!L26</f>
        <v>12659941.220000001</v>
      </c>
      <c r="U23" s="1379">
        <f>+'Costos a Nov-25'!M26</f>
        <v>15204797.51</v>
      </c>
      <c r="V23" s="1209">
        <f>+'Compromisos 09-25'!H44+'Compromisos 09-25'!H48+'Compromisos 09-25'!H55</f>
        <v>2078433.2</v>
      </c>
      <c r="W23" s="1209">
        <f>+'Compromisos 09-25'!I44+'Compromisos 09-25'!I48+'Compromisos 09-25'!I55</f>
        <v>2067000</v>
      </c>
      <c r="X23" s="1209">
        <f t="shared" si="4"/>
        <v>32010171.93</v>
      </c>
    </row>
    <row r="24" spans="2:24" s="1183" customFormat="1" ht="12">
      <c r="B24" s="1197" t="s">
        <v>44</v>
      </c>
      <c r="C24" s="1198">
        <f>+'ADI 09-25'!C28</f>
        <v>81458723.221791998</v>
      </c>
      <c r="D24" s="1198">
        <f>SUM(G24:H24)</f>
        <v>2374295.3399999994</v>
      </c>
      <c r="E24" s="1198">
        <f>+C24-D24</f>
        <v>79084427.881791994</v>
      </c>
      <c r="F24" s="1198">
        <f>SUM(G24:I24)</f>
        <v>2300022.1299999994</v>
      </c>
      <c r="G24" s="1198">
        <f>SUM(J24:U24)</f>
        <v>2374295.3399999994</v>
      </c>
      <c r="H24" s="1198"/>
      <c r="I24" s="1198">
        <f>-'CXP 11-25 RES'!H13</f>
        <v>-74273.210000000006</v>
      </c>
      <c r="J24" s="1378">
        <f>+'Costos a Sept-25'!B31</f>
        <v>373034.61</v>
      </c>
      <c r="K24" s="1378">
        <f>+'Costos a Sept-25'!C31</f>
        <v>43563.47</v>
      </c>
      <c r="L24" s="1378">
        <f>+'Costos a Sept-25'!D31</f>
        <v>36723.129999999997</v>
      </c>
      <c r="M24" s="1378">
        <f>+'Costos a Sept-25'!E31</f>
        <v>37034.89</v>
      </c>
      <c r="N24" s="1378">
        <f>+'Costos a Sept-25'!F31</f>
        <v>51335.37</v>
      </c>
      <c r="O24" s="1378">
        <f>+'Costos a Sept-25'!G31</f>
        <v>125971.53</v>
      </c>
      <c r="P24" s="1378">
        <f>+'Costos a Sept-25'!H31</f>
        <v>205035.01</v>
      </c>
      <c r="Q24" s="1378">
        <f>+'Costos a Sept-25'!I31</f>
        <v>193826.15000000002</v>
      </c>
      <c r="R24" s="1378">
        <f>+'Costos a Sept-25'!J31</f>
        <v>228402.97999999998</v>
      </c>
      <c r="S24" s="1379">
        <f>+'Costos a Sept-25'!K31</f>
        <v>824240.61999999988</v>
      </c>
      <c r="T24" s="1379">
        <f>+'Costos a Oct-25'!L31</f>
        <v>143558.04999999999</v>
      </c>
      <c r="U24" s="1379">
        <f>+'Costos a Nov-25'!M31</f>
        <v>111569.53</v>
      </c>
      <c r="V24" s="1371">
        <v>500000</v>
      </c>
      <c r="W24" s="1371">
        <v>500000</v>
      </c>
      <c r="X24" s="1371">
        <f t="shared" si="4"/>
        <v>1255127.58</v>
      </c>
    </row>
    <row r="25" spans="2:24" s="1183" customFormat="1" ht="12">
      <c r="B25" s="1197" t="s">
        <v>45</v>
      </c>
      <c r="C25" s="1198">
        <f>+'ADI 09-25'!C29</f>
        <v>69521911.115999997</v>
      </c>
      <c r="D25" s="1198">
        <f>SUM(G25:H25)</f>
        <v>24408639.039999999</v>
      </c>
      <c r="E25" s="1198">
        <f>+C25-D25</f>
        <v>45113272.075999998</v>
      </c>
      <c r="F25" s="1198">
        <f>SUM(G25:I25)</f>
        <v>23152150.359999999</v>
      </c>
      <c r="G25" s="1198">
        <f>SUM(J25:U25)</f>
        <v>24398393.309999999</v>
      </c>
      <c r="H25" s="1198">
        <f>+'Anticipos 11-25'!D12</f>
        <v>10245.73</v>
      </c>
      <c r="I25" s="1198">
        <f>-'CXP 11-25 RES'!H14-'CXP MMHB 11-25'!E13-'CXP MMHB 11-25'!E18-'CXP MMHB 11-25'!E22</f>
        <v>-1256488.68</v>
      </c>
      <c r="J25" s="1378">
        <f>+'Costos a Sept-25'!B34</f>
        <v>11066720.34</v>
      </c>
      <c r="K25" s="1378">
        <f>+'Costos a Sept-25'!C34</f>
        <v>915790.08000000007</v>
      </c>
      <c r="L25" s="1378">
        <f>+'Costos a Sept-25'!D34</f>
        <v>1931201.9</v>
      </c>
      <c r="M25" s="1378">
        <f>+'Costos a Sept-25'!E34</f>
        <v>1103623.17</v>
      </c>
      <c r="N25" s="1378">
        <f>+'Costos a Sept-25'!F34</f>
        <v>807731.34</v>
      </c>
      <c r="O25" s="1378">
        <f>+'Costos a Sept-25'!G34</f>
        <v>740040.2</v>
      </c>
      <c r="P25" s="1378">
        <f>+'Costos a Sept-25'!H34</f>
        <v>1412884.71</v>
      </c>
      <c r="Q25" s="1378">
        <f>+'Costos a Sept-25'!I34</f>
        <v>3494146.35</v>
      </c>
      <c r="R25" s="1378">
        <f>+'Costos a Sept-25'!J34</f>
        <v>184710.12999999995</v>
      </c>
      <c r="S25" s="1379">
        <f>+'Costos a Sept-25'!K34</f>
        <v>551935.67999999993</v>
      </c>
      <c r="T25" s="1379">
        <f>+'Costos a Oct-25'!L34</f>
        <v>1245788.3799999999</v>
      </c>
      <c r="U25" s="1379">
        <f>+'Costos a Nov-25'!M34</f>
        <v>943821.03</v>
      </c>
      <c r="V25" s="1209">
        <f>+'Compromisos 09-25'!H63+'Compromisos 09-25'!H73+'Compromisos 09-25'!H77</f>
        <v>426390</v>
      </c>
      <c r="W25" s="1209">
        <f>+'Compromisos 09-25'!I63+'Compromisos 09-25'!I73+'Compromisos 09-25'!I77</f>
        <v>258004</v>
      </c>
      <c r="X25" s="1209">
        <f t="shared" si="4"/>
        <v>2874003.41</v>
      </c>
    </row>
    <row r="26" spans="2:24" s="1183" customFormat="1" ht="12">
      <c r="B26" s="1197" t="s">
        <v>46</v>
      </c>
      <c r="C26" s="1198">
        <f>+'ADI 09-25'!C30</f>
        <v>19863403.175999999</v>
      </c>
      <c r="D26" s="1198">
        <f>SUM(G26:H26)</f>
        <v>0</v>
      </c>
      <c r="E26" s="1198">
        <f>+C26-D26</f>
        <v>19863403.175999999</v>
      </c>
      <c r="F26" s="1198">
        <f>SUM(G26:I26)</f>
        <v>0</v>
      </c>
      <c r="G26" s="1198">
        <f>SUM(J26:U26)</f>
        <v>0</v>
      </c>
      <c r="H26" s="1198"/>
      <c r="I26" s="1198"/>
      <c r="J26" s="1378">
        <f>+'Costos a Sept-25'!B40</f>
        <v>0</v>
      </c>
      <c r="K26" s="1378">
        <f>+'Costos a Sept-25'!C40</f>
        <v>0</v>
      </c>
      <c r="L26" s="1378">
        <f>+'Costos a Sept-25'!D40</f>
        <v>0</v>
      </c>
      <c r="M26" s="1378">
        <f>+'Costos a Sept-25'!E40</f>
        <v>0</v>
      </c>
      <c r="N26" s="1378">
        <f>+'Costos a Sept-25'!F40</f>
        <v>0</v>
      </c>
      <c r="O26" s="1378">
        <f>+'Costos a Sept-25'!G40</f>
        <v>0</v>
      </c>
      <c r="P26" s="1378">
        <f>+'Costos a Sept-25'!H40</f>
        <v>0</v>
      </c>
      <c r="Q26" s="1378">
        <f>+'Costos a Sept-25'!I40</f>
        <v>0</v>
      </c>
      <c r="R26" s="1378">
        <f>+'Costos a Sept-25'!J40</f>
        <v>0</v>
      </c>
      <c r="S26" s="1379">
        <f>+'Costos a Sept-25'!K40</f>
        <v>0</v>
      </c>
      <c r="T26" s="1379">
        <v>0</v>
      </c>
      <c r="U26" s="1379">
        <f>+'Costos a Nov-25'!M43</f>
        <v>0</v>
      </c>
      <c r="V26" s="1209">
        <f>+'Costos a Sept-25'!N40</f>
        <v>0</v>
      </c>
      <c r="W26" s="1209">
        <f>+'Costos a Sept-25'!O40</f>
        <v>0</v>
      </c>
      <c r="X26" s="1209">
        <f t="shared" si="4"/>
        <v>0</v>
      </c>
    </row>
    <row r="27" spans="2:24" s="1183" customFormat="1" ht="12">
      <c r="B27" s="1199" t="s">
        <v>47</v>
      </c>
      <c r="C27" s="1200">
        <f>SUM(C22:C26)</f>
        <v>686100715.89923203</v>
      </c>
      <c r="D27" s="1200">
        <f t="shared" ref="D27:X27" si="6">SUM(D22:D26)</f>
        <v>111419638.63</v>
      </c>
      <c r="E27" s="1200">
        <f t="shared" si="6"/>
        <v>574681077.26923203</v>
      </c>
      <c r="F27" s="1200">
        <f t="shared" si="6"/>
        <v>93257053.75999999</v>
      </c>
      <c r="G27" s="1200">
        <f t="shared" si="6"/>
        <v>111409392.90000001</v>
      </c>
      <c r="H27" s="1200">
        <f t="shared" si="6"/>
        <v>10245.73</v>
      </c>
      <c r="I27" s="1200">
        <f t="shared" si="6"/>
        <v>-18162584.870000001</v>
      </c>
      <c r="J27" s="1380">
        <f t="shared" si="6"/>
        <v>12160286.460000001</v>
      </c>
      <c r="K27" s="1380">
        <f t="shared" si="6"/>
        <v>959353.55</v>
      </c>
      <c r="L27" s="1380">
        <f t="shared" si="6"/>
        <v>2613690.2399999998</v>
      </c>
      <c r="M27" s="1380">
        <f t="shared" si="6"/>
        <v>1735659.41</v>
      </c>
      <c r="N27" s="1380">
        <f t="shared" si="6"/>
        <v>4178939.1799999997</v>
      </c>
      <c r="O27" s="1380">
        <f t="shared" si="6"/>
        <v>4059539.34</v>
      </c>
      <c r="P27" s="1380">
        <f t="shared" si="6"/>
        <v>5121829.5599999996</v>
      </c>
      <c r="Q27" s="1380">
        <f t="shared" si="6"/>
        <v>13348069.720000001</v>
      </c>
      <c r="R27" s="1380">
        <f t="shared" si="6"/>
        <v>18349823.130000003</v>
      </c>
      <c r="S27" s="1381">
        <f t="shared" si="6"/>
        <v>15032726.589999998</v>
      </c>
      <c r="T27" s="1381">
        <f t="shared" si="6"/>
        <v>15819287.650000002</v>
      </c>
      <c r="U27" s="1381">
        <f t="shared" si="6"/>
        <v>18030188.07</v>
      </c>
      <c r="V27" s="1210">
        <f t="shared" si="6"/>
        <v>4774823.2</v>
      </c>
      <c r="W27" s="1210">
        <f t="shared" si="6"/>
        <v>4595004</v>
      </c>
      <c r="X27" s="1210">
        <f t="shared" si="6"/>
        <v>43219302.920000002</v>
      </c>
    </row>
    <row r="28" spans="2:24" s="1183" customFormat="1" ht="12">
      <c r="B28" s="1201" t="s">
        <v>48</v>
      </c>
      <c r="C28" s="1198">
        <f>+'ADI 09-25'!C32</f>
        <v>30500000</v>
      </c>
      <c r="D28" s="1198">
        <f>SUM(G28:H28)</f>
        <v>18065990.899999995</v>
      </c>
      <c r="E28" s="1198">
        <f>+C28-D28</f>
        <v>12434009.100000005</v>
      </c>
      <c r="F28" s="1198">
        <f>SUM(G28:I28)</f>
        <v>17772968.679999996</v>
      </c>
      <c r="G28" s="1198">
        <f>SUM(J28:U28)</f>
        <v>18059319.019999996</v>
      </c>
      <c r="H28" s="1198">
        <f>+'Anticipos 11-25'!D10</f>
        <v>6671.88</v>
      </c>
      <c r="I28" s="1198">
        <f>-'CXP 11-25 RES'!H15</f>
        <v>-293022.21999999997</v>
      </c>
      <c r="J28" s="1378">
        <f>+'Costos a Sept-25'!B43</f>
        <v>12715384.379999999</v>
      </c>
      <c r="K28" s="1378">
        <f>+'Costos a Sept-25'!C43</f>
        <v>0</v>
      </c>
      <c r="L28" s="1378">
        <f>+'Costos a Sept-25'!D43</f>
        <v>0</v>
      </c>
      <c r="M28" s="1378">
        <f>+'Costos a Sept-25'!E43</f>
        <v>128745.38</v>
      </c>
      <c r="N28" s="1378">
        <f>+'Costos a Sept-25'!F43</f>
        <v>552632.57999999996</v>
      </c>
      <c r="O28" s="1378">
        <f>+'Costos a Sept-25'!G43</f>
        <v>120006</v>
      </c>
      <c r="P28" s="1378">
        <f>+'Costos a Sept-25'!H43</f>
        <v>1543136</v>
      </c>
      <c r="Q28" s="1378">
        <f>+'Costos a Sept-25'!I43</f>
        <v>300</v>
      </c>
      <c r="R28" s="1378">
        <f>+'Costos a Sept-25'!J43</f>
        <v>223322.53</v>
      </c>
      <c r="S28" s="1379">
        <f>+'Costos a Sept-25'!K43</f>
        <v>1594150.23</v>
      </c>
      <c r="T28" s="1379">
        <f>+'Costos a Oct-25'!L48</f>
        <v>842419.7</v>
      </c>
      <c r="U28" s="1379">
        <f>+'Costos a Nov-25'!M46</f>
        <v>339222.22</v>
      </c>
      <c r="V28" s="1209">
        <f>+'Compromisos 09-25'!H85</f>
        <v>2091958.99</v>
      </c>
      <c r="W28" s="1209">
        <f>+'Compromisos 09-25'!I85</f>
        <v>357835</v>
      </c>
      <c r="X28" s="1209">
        <f t="shared" si="4"/>
        <v>3631435.91</v>
      </c>
    </row>
    <row r="29" spans="2:24" s="1183" customFormat="1" ht="12">
      <c r="B29" s="1197" t="s">
        <v>49</v>
      </c>
      <c r="C29" s="1198">
        <f>+'ADI 09-25'!C33</f>
        <v>25000000</v>
      </c>
      <c r="D29" s="1198">
        <f>SUM(G29:H29)</f>
        <v>23982583.620000001</v>
      </c>
      <c r="E29" s="1198">
        <f>+C29-D29</f>
        <v>1017416.379999999</v>
      </c>
      <c r="F29" s="1198">
        <f>SUM(G29:I29)</f>
        <v>22410736.050000001</v>
      </c>
      <c r="G29" s="1198">
        <f>SUM(J29:U29)</f>
        <v>23709583.620000001</v>
      </c>
      <c r="H29" s="1198">
        <f>+'Anticipos 11-25'!D3</f>
        <v>273000</v>
      </c>
      <c r="I29" s="1198">
        <f>-'CXP 11-25 RES'!H6-'CXP MMHB 11-25'!E9</f>
        <v>-1571847.5699999998</v>
      </c>
      <c r="J29" s="1378">
        <f>+'Costos a Sept-25'!B4</f>
        <v>21168315.640000001</v>
      </c>
      <c r="K29" s="1378">
        <f>+'Costos a Sept-25'!C4</f>
        <v>239349.75</v>
      </c>
      <c r="L29" s="1378">
        <f>+'Costos a Sept-25'!D4</f>
        <v>0</v>
      </c>
      <c r="M29" s="1378">
        <f>+'Costos a Sept-25'!E4</f>
        <v>146320</v>
      </c>
      <c r="N29" s="1378">
        <f>+'Costos a Sept-25'!F4</f>
        <v>108350.26</v>
      </c>
      <c r="O29" s="1378">
        <f>+'Costos a Sept-25'!G4</f>
        <v>53100</v>
      </c>
      <c r="P29" s="1378">
        <f>+'Costos a Sept-25'!H4</f>
        <v>0</v>
      </c>
      <c r="Q29" s="1378">
        <f>+'Costos a Sept-25'!I4</f>
        <v>0</v>
      </c>
      <c r="R29" s="1378">
        <f>+'Costos a Sept-25'!J4</f>
        <v>1595686.82</v>
      </c>
      <c r="S29" s="1379">
        <f>+'Costos a Sept-25'!K4</f>
        <v>87792</v>
      </c>
      <c r="T29" s="1379">
        <f>+'Costos a Oct-25'!L4</f>
        <v>310669.15000000002</v>
      </c>
      <c r="U29" s="1379">
        <f>+'Costos a Nov-25'!M4</f>
        <v>0</v>
      </c>
      <c r="V29" s="1209">
        <f>+'Compromisos 09-25'!H11</f>
        <v>0</v>
      </c>
      <c r="W29" s="1209">
        <f>+'Compromisos 09-25'!I11</f>
        <v>0</v>
      </c>
      <c r="X29" s="1209">
        <f t="shared" si="4"/>
        <v>310669.15000000002</v>
      </c>
    </row>
    <row r="30" spans="2:24" s="1183" customFormat="1" ht="12">
      <c r="B30" s="1197" t="s">
        <v>50</v>
      </c>
      <c r="C30" s="1198">
        <f>+'ADI 09-25'!C34</f>
        <v>232739209.20512</v>
      </c>
      <c r="D30" s="1198">
        <f>SUM(G30:H30)</f>
        <v>5900</v>
      </c>
      <c r="E30" s="1198">
        <f>+C30-D30</f>
        <v>232733309.20512</v>
      </c>
      <c r="F30" s="1198">
        <f>SUM(G30:I30)</f>
        <v>5900</v>
      </c>
      <c r="G30" s="1198">
        <f>SUM(J30:U30)</f>
        <v>5900</v>
      </c>
      <c r="H30" s="1198"/>
      <c r="I30" s="1198"/>
      <c r="J30" s="1378">
        <f>+'Costos a Sept-25'!B47</f>
        <v>0</v>
      </c>
      <c r="K30" s="1378">
        <f>+'Costos a Sept-25'!C47</f>
        <v>0</v>
      </c>
      <c r="L30" s="1378">
        <f>+'Costos a Sept-25'!D47</f>
        <v>0</v>
      </c>
      <c r="M30" s="1378">
        <f>+'Costos a Sept-25'!E47</f>
        <v>0</v>
      </c>
      <c r="N30" s="1378">
        <f>+'Costos a Sept-25'!F47</f>
        <v>0</v>
      </c>
      <c r="O30" s="1378">
        <f>+'Costos a Sept-25'!G47</f>
        <v>0</v>
      </c>
      <c r="P30" s="1378">
        <f>+'Costos a Sept-25'!H47</f>
        <v>0</v>
      </c>
      <c r="Q30" s="1378">
        <f>+'Costos a Sept-25'!I47</f>
        <v>0</v>
      </c>
      <c r="R30" s="1378">
        <f>+'Costos a Sept-25'!J47</f>
        <v>0</v>
      </c>
      <c r="S30" s="1379">
        <f>+'Costos a Sept-25'!K47</f>
        <v>0</v>
      </c>
      <c r="T30" s="1379">
        <f>+'Costos a Oct-25'!L51</f>
        <v>5900</v>
      </c>
      <c r="U30" s="1379">
        <f>+'Costos a Nov-25'!M50</f>
        <v>0</v>
      </c>
      <c r="V30" s="1371">
        <v>650000</v>
      </c>
      <c r="W30" s="1371">
        <v>650000</v>
      </c>
      <c r="X30" s="1371">
        <f t="shared" si="4"/>
        <v>1305900</v>
      </c>
    </row>
    <row r="31" spans="2:24" s="1183" customFormat="1" ht="12">
      <c r="B31" s="1197" t="s">
        <v>51</v>
      </c>
      <c r="C31" s="1198">
        <f>+'ADI 09-25'!C35</f>
        <v>19863403.175999999</v>
      </c>
      <c r="D31" s="1198">
        <f>SUM(G31:H31)</f>
        <v>0</v>
      </c>
      <c r="E31" s="1198">
        <f>+C31-D31</f>
        <v>19863403.175999999</v>
      </c>
      <c r="F31" s="1198">
        <f>SUM(G31:I31)</f>
        <v>0</v>
      </c>
      <c r="G31" s="1198">
        <f>SUM(J31:U31)</f>
        <v>0</v>
      </c>
      <c r="H31" s="1198"/>
      <c r="I31" s="1198"/>
      <c r="J31" s="1378">
        <f>+'Costos a Sept-25'!B45</f>
        <v>0</v>
      </c>
      <c r="K31" s="1378">
        <f>+'Costos a Sept-25'!C45</f>
        <v>0</v>
      </c>
      <c r="L31" s="1378">
        <f>+'Costos a Sept-25'!D45</f>
        <v>0</v>
      </c>
      <c r="M31" s="1378">
        <f>+'Costos a Sept-25'!E45</f>
        <v>0</v>
      </c>
      <c r="N31" s="1378">
        <f>+'Costos a Sept-25'!F45</f>
        <v>0</v>
      </c>
      <c r="O31" s="1378">
        <f>+'Costos a Sept-25'!G45</f>
        <v>0</v>
      </c>
      <c r="P31" s="1378">
        <f>+'Costos a Sept-25'!H45</f>
        <v>0</v>
      </c>
      <c r="Q31" s="1378">
        <f>+'Costos a Sept-25'!I45</f>
        <v>0</v>
      </c>
      <c r="R31" s="1378">
        <f>+'Costos a Sept-25'!J45</f>
        <v>0</v>
      </c>
      <c r="S31" s="1379">
        <f>+'Costos a Sept-25'!K45</f>
        <v>0</v>
      </c>
      <c r="T31" s="1379">
        <f>+'Costos a Oct-25'!L45</f>
        <v>0</v>
      </c>
      <c r="U31" s="1379">
        <f>+'Costos a Nov-25'!M48</f>
        <v>0</v>
      </c>
      <c r="V31" s="1209">
        <f>+'Costos a Sept-25'!N45</f>
        <v>0</v>
      </c>
      <c r="W31" s="1209">
        <f>+'Costos a Sept-25'!O45</f>
        <v>0</v>
      </c>
      <c r="X31" s="1209">
        <f t="shared" si="4"/>
        <v>0</v>
      </c>
    </row>
    <row r="32" spans="2:24" s="1183" customFormat="1" ht="12">
      <c r="B32" s="1199" t="s">
        <v>52</v>
      </c>
      <c r="C32" s="1200">
        <f>SUM(C28:C31)</f>
        <v>308102612.38111997</v>
      </c>
      <c r="D32" s="1200">
        <f t="shared" ref="D32:X32" si="7">SUM(D28:D31)</f>
        <v>42054474.519999996</v>
      </c>
      <c r="E32" s="1200">
        <f t="shared" si="7"/>
        <v>266048137.86111999</v>
      </c>
      <c r="F32" s="1200">
        <f t="shared" si="7"/>
        <v>40189604.729999997</v>
      </c>
      <c r="G32" s="1200">
        <f t="shared" si="7"/>
        <v>41774802.640000001</v>
      </c>
      <c r="H32" s="1200">
        <f t="shared" si="7"/>
        <v>279671.88</v>
      </c>
      <c r="I32" s="1200">
        <f t="shared" si="7"/>
        <v>-1864869.7899999998</v>
      </c>
      <c r="J32" s="1380">
        <f t="shared" si="7"/>
        <v>33883700.019999996</v>
      </c>
      <c r="K32" s="1380">
        <f t="shared" si="7"/>
        <v>239349.75</v>
      </c>
      <c r="L32" s="1380">
        <f t="shared" si="7"/>
        <v>0</v>
      </c>
      <c r="M32" s="1380">
        <f t="shared" si="7"/>
        <v>275065.38</v>
      </c>
      <c r="N32" s="1380">
        <f t="shared" si="7"/>
        <v>660982.84</v>
      </c>
      <c r="O32" s="1380">
        <f t="shared" si="7"/>
        <v>173106</v>
      </c>
      <c r="P32" s="1380">
        <f t="shared" si="7"/>
        <v>1543136</v>
      </c>
      <c r="Q32" s="1380">
        <f t="shared" si="7"/>
        <v>300</v>
      </c>
      <c r="R32" s="1380">
        <f t="shared" si="7"/>
        <v>1819009.35</v>
      </c>
      <c r="S32" s="1381">
        <f t="shared" si="7"/>
        <v>1681942.23</v>
      </c>
      <c r="T32" s="1381">
        <f t="shared" si="7"/>
        <v>1158988.8500000001</v>
      </c>
      <c r="U32" s="1381">
        <f t="shared" si="7"/>
        <v>339222.22</v>
      </c>
      <c r="V32" s="1210">
        <f t="shared" si="7"/>
        <v>2741958.99</v>
      </c>
      <c r="W32" s="1210">
        <f t="shared" si="7"/>
        <v>1007835</v>
      </c>
      <c r="X32" s="1210">
        <f t="shared" si="7"/>
        <v>5248005.0600000005</v>
      </c>
    </row>
    <row r="33" spans="2:24" s="1183" customFormat="1" ht="12">
      <c r="B33" s="1202" t="s">
        <v>53</v>
      </c>
      <c r="C33" s="1203">
        <f t="shared" ref="C33:X33" si="8">+C14+C21+C27+C32</f>
        <v>3428528420.3315516</v>
      </c>
      <c r="D33" s="1203">
        <f t="shared" si="8"/>
        <v>475958155.40999997</v>
      </c>
      <c r="E33" s="1203">
        <f t="shared" si="8"/>
        <v>2952570264.9215527</v>
      </c>
      <c r="F33" s="1203">
        <f t="shared" si="8"/>
        <v>449582385.37</v>
      </c>
      <c r="G33" s="1203">
        <f t="shared" si="8"/>
        <v>462668237.79999995</v>
      </c>
      <c r="H33" s="1203">
        <f t="shared" si="8"/>
        <v>13289917.610000001</v>
      </c>
      <c r="I33" s="1203">
        <f t="shared" si="8"/>
        <v>-26375770.039999999</v>
      </c>
      <c r="J33" s="1382">
        <f t="shared" si="8"/>
        <v>151080073.93000001</v>
      </c>
      <c r="K33" s="1382">
        <f t="shared" si="8"/>
        <v>2968703.3</v>
      </c>
      <c r="L33" s="1382">
        <f t="shared" si="8"/>
        <v>2613690.2399999998</v>
      </c>
      <c r="M33" s="1382">
        <f t="shared" si="8"/>
        <v>2895724.79</v>
      </c>
      <c r="N33" s="1382">
        <f t="shared" si="8"/>
        <v>7649161.7599999998</v>
      </c>
      <c r="O33" s="1382">
        <f t="shared" si="8"/>
        <v>6705088.7199999997</v>
      </c>
      <c r="P33" s="1382">
        <f t="shared" si="8"/>
        <v>10036771</v>
      </c>
      <c r="Q33" s="1382">
        <f t="shared" si="8"/>
        <v>19175567.920000002</v>
      </c>
      <c r="R33" s="1382">
        <f t="shared" si="8"/>
        <v>195778925.68999997</v>
      </c>
      <c r="S33" s="1383">
        <f t="shared" si="8"/>
        <v>19508128.399999999</v>
      </c>
      <c r="T33" s="1383">
        <f t="shared" si="8"/>
        <v>20646777.380000003</v>
      </c>
      <c r="U33" s="1383">
        <f t="shared" si="8"/>
        <v>23609624.669999998</v>
      </c>
      <c r="V33" s="1211">
        <f t="shared" si="8"/>
        <v>16133746.49</v>
      </c>
      <c r="W33" s="1211">
        <f t="shared" si="8"/>
        <v>15403537.300000001</v>
      </c>
      <c r="X33" s="1211">
        <f t="shared" si="8"/>
        <v>75793685.840000004</v>
      </c>
    </row>
    <row r="34" spans="2:24" s="1183" customFormat="1" ht="12">
      <c r="B34" s="1267" t="s">
        <v>1922</v>
      </c>
      <c r="C34" s="1268"/>
      <c r="D34" s="1268"/>
      <c r="E34" s="1268"/>
      <c r="F34" s="1268"/>
      <c r="G34" s="1268">
        <v>438856745.83999997</v>
      </c>
      <c r="H34" s="1268">
        <v>13958578.380000001</v>
      </c>
      <c r="I34" s="1268">
        <f>-24006738.19-293474.91-824841.04</f>
        <v>-25125054.140000001</v>
      </c>
      <c r="J34" s="1205"/>
      <c r="T34" s="1435">
        <f>+'Costos a Oct-25'!L53</f>
        <v>20646777.379999999</v>
      </c>
      <c r="U34" s="1435"/>
    </row>
    <row r="35" spans="2:24" s="1183" customFormat="1" ht="12">
      <c r="C35" s="1188"/>
      <c r="D35" s="1206">
        <f t="shared" ref="D35" si="9">+D33-D14</f>
        <v>211513075.25</v>
      </c>
      <c r="E35" s="1206"/>
      <c r="F35" s="1206">
        <f>+F33-F14</f>
        <v>185137305.21000004</v>
      </c>
      <c r="G35" s="1206">
        <f>+G33-G34</f>
        <v>23811491.959999979</v>
      </c>
      <c r="H35" s="1206">
        <f t="shared" ref="H35:I35" si="10">+H33-H34</f>
        <v>-668660.76999999955</v>
      </c>
      <c r="I35" s="1206">
        <f t="shared" si="10"/>
        <v>-1250715.8999999985</v>
      </c>
      <c r="M35" s="1205"/>
      <c r="T35" s="1435">
        <f>+T33-T34</f>
        <v>0</v>
      </c>
      <c r="U35" s="1435"/>
    </row>
  </sheetData>
  <mergeCells count="3">
    <mergeCell ref="B3:C3"/>
    <mergeCell ref="D10:I10"/>
    <mergeCell ref="B11:C11"/>
  </mergeCells>
  <hyperlinks>
    <hyperlink ref="F1" r:id="rId1" xr:uid="{53686210-4C12-418C-BEDB-394F187C8802}"/>
  </hyperlinks>
  <pageMargins left="0.5" right="0.69" top="0.92" bottom="1" header="0" footer="0"/>
  <pageSetup scale="38" orientation="landscape" r:id="rId2"/>
  <legacyDrawing r:id="rId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C3522-36F3-4E27-B649-ADD463DF7F6E}">
  <dimension ref="A1:F53"/>
  <sheetViews>
    <sheetView showGridLines="0" topLeftCell="A4" zoomScaleNormal="100" workbookViewId="0">
      <selection activeCell="F33" sqref="F33"/>
    </sheetView>
  </sheetViews>
  <sheetFormatPr baseColWidth="10" defaultColWidth="8" defaultRowHeight="11.4"/>
  <cols>
    <col min="1" max="1" width="1.33203125" style="1586" customWidth="1"/>
    <col min="2" max="2" width="42.6640625" style="1586" customWidth="1"/>
    <col min="3" max="3" width="13.33203125" style="1586" customWidth="1"/>
    <col min="4" max="4" width="4.88671875" style="1586" customWidth="1"/>
    <col min="5" max="5" width="13.6640625" style="1586" customWidth="1"/>
    <col min="6" max="6" width="17.109375" style="1586" bestFit="1" customWidth="1"/>
    <col min="7" max="16384" width="8" style="1586"/>
  </cols>
  <sheetData>
    <row r="1" spans="1:4" s="1594" customFormat="1" ht="16.649999999999999" customHeight="1">
      <c r="A1" s="1995" t="s">
        <v>235</v>
      </c>
      <c r="B1" s="1995"/>
      <c r="C1" s="1995"/>
      <c r="D1" s="1995"/>
    </row>
    <row r="2" spans="1:4" s="1593" customFormat="1" ht="14.4" customHeight="1">
      <c r="A2" s="1996" t="s">
        <v>236</v>
      </c>
      <c r="B2" s="1996"/>
      <c r="C2" s="1996"/>
      <c r="D2" s="1996"/>
    </row>
    <row r="3" spans="1:4" s="1593" customFormat="1" ht="14.4" customHeight="1">
      <c r="A3" s="1996" t="s">
        <v>2019</v>
      </c>
      <c r="B3" s="1996"/>
      <c r="C3" s="1996"/>
      <c r="D3" s="1996"/>
    </row>
    <row r="4" spans="1:4" ht="13.35" customHeight="1"/>
    <row r="5" spans="1:4" s="1592" customFormat="1" ht="12.15" customHeight="1">
      <c r="A5" s="1997"/>
      <c r="B5" s="1998" t="s">
        <v>238</v>
      </c>
      <c r="C5" s="1999" t="s">
        <v>2195</v>
      </c>
      <c r="D5" s="1999"/>
    </row>
    <row r="6" spans="1:4" ht="13.35" customHeight="1"/>
    <row r="7" spans="1:4" s="1592" customFormat="1" ht="12.15" customHeight="1">
      <c r="A7" s="1997" t="s">
        <v>239</v>
      </c>
      <c r="B7" s="1997"/>
      <c r="C7" s="1997"/>
      <c r="D7" s="1997"/>
    </row>
    <row r="8" spans="1:4" ht="10.95" customHeight="1">
      <c r="A8" s="2000"/>
      <c r="B8" s="2000" t="s">
        <v>638</v>
      </c>
      <c r="C8" s="2000"/>
      <c r="D8" s="2000"/>
    </row>
    <row r="9" spans="1:4" ht="10.95" customHeight="1">
      <c r="B9" s="1588" t="s">
        <v>639</v>
      </c>
      <c r="C9" s="1589">
        <v>25418045.210000001</v>
      </c>
      <c r="D9" s="1588"/>
    </row>
    <row r="10" spans="1:4" ht="10.95" customHeight="1">
      <c r="B10" s="1588" t="s">
        <v>1608</v>
      </c>
      <c r="C10" s="1589">
        <v>12730324.32</v>
      </c>
      <c r="D10" s="1588" t="s">
        <v>641</v>
      </c>
    </row>
    <row r="11" spans="1:4" ht="10.95" customHeight="1">
      <c r="B11" s="1588" t="s">
        <v>640</v>
      </c>
      <c r="C11" s="1589">
        <v>11021.4</v>
      </c>
      <c r="D11" s="1588" t="s">
        <v>641</v>
      </c>
    </row>
    <row r="12" spans="1:4" ht="10.95" customHeight="1">
      <c r="B12" s="1588" t="s">
        <v>1392</v>
      </c>
      <c r="C12" s="1589">
        <v>84003507.290000007</v>
      </c>
      <c r="D12" s="1588" t="s">
        <v>641</v>
      </c>
    </row>
    <row r="13" spans="1:4" ht="10.95" customHeight="1">
      <c r="B13" s="1588" t="s">
        <v>1394</v>
      </c>
      <c r="C13" s="1589">
        <v>6901347.4900000002</v>
      </c>
      <c r="D13" s="1588"/>
    </row>
    <row r="14" spans="1:4" ht="10.95" customHeight="1">
      <c r="B14" s="1588" t="s">
        <v>844</v>
      </c>
      <c r="C14" s="1589">
        <v>7234841.2800000003</v>
      </c>
      <c r="D14" s="1588" t="s">
        <v>641</v>
      </c>
    </row>
    <row r="15" spans="1:4" ht="10.95" customHeight="1">
      <c r="B15" s="1588" t="s">
        <v>845</v>
      </c>
      <c r="C15" s="1589">
        <v>275879.71000000002</v>
      </c>
      <c r="D15" s="1588"/>
    </row>
    <row r="16" spans="1:4" ht="10.95" customHeight="1">
      <c r="B16" s="2001" t="s">
        <v>642</v>
      </c>
      <c r="C16" s="2002">
        <f>SUM(C9:C15)</f>
        <v>136574966.69999999</v>
      </c>
      <c r="D16" s="2001"/>
    </row>
    <row r="17" spans="1:4" ht="10.95" customHeight="1">
      <c r="A17" s="2000"/>
      <c r="B17" s="2000" t="s">
        <v>240</v>
      </c>
      <c r="C17" s="2000"/>
      <c r="D17" s="2000"/>
    </row>
    <row r="18" spans="1:4" ht="10.95" customHeight="1">
      <c r="B18" s="1588" t="s">
        <v>241</v>
      </c>
      <c r="C18" s="1589">
        <v>13289917.689999999</v>
      </c>
      <c r="D18" s="1588"/>
    </row>
    <row r="19" spans="1:4" ht="10.95" customHeight="1">
      <c r="B19" s="2001" t="s">
        <v>242</v>
      </c>
      <c r="C19" s="2002">
        <f>C18</f>
        <v>13289917.689999999</v>
      </c>
      <c r="D19" s="2001"/>
    </row>
    <row r="20" spans="1:4" ht="10.95" customHeight="1">
      <c r="A20" s="2000"/>
      <c r="B20" s="2000" t="s">
        <v>243</v>
      </c>
      <c r="C20" s="2000"/>
      <c r="D20" s="2000"/>
    </row>
    <row r="21" spans="1:4" ht="10.95" customHeight="1">
      <c r="B21" s="1588" t="s">
        <v>1278</v>
      </c>
      <c r="C21" s="1589">
        <v>4.1900000000000004</v>
      </c>
      <c r="D21" s="1588"/>
    </row>
    <row r="22" spans="1:4" ht="10.95" customHeight="1">
      <c r="B22" s="1588" t="s">
        <v>800</v>
      </c>
      <c r="C22" s="1589">
        <v>333193625.88</v>
      </c>
      <c r="D22" s="1588"/>
    </row>
    <row r="23" spans="1:4" ht="10.95" customHeight="1">
      <c r="B23" s="1588" t="s">
        <v>245</v>
      </c>
      <c r="C23" s="1589">
        <v>111415372.20999999</v>
      </c>
      <c r="D23" s="1588"/>
    </row>
    <row r="24" spans="1:4" ht="10.95" customHeight="1">
      <c r="B24" s="1588" t="s">
        <v>801</v>
      </c>
      <c r="C24" s="1589">
        <v>18065219.02</v>
      </c>
      <c r="D24" s="1588"/>
    </row>
    <row r="25" spans="1:4" ht="10.95" customHeight="1">
      <c r="B25" s="2001" t="s">
        <v>247</v>
      </c>
      <c r="C25" s="2002">
        <f>SUM(C21:C24)</f>
        <v>462674221.29999995</v>
      </c>
      <c r="D25" s="2001"/>
    </row>
    <row r="26" spans="1:4" ht="10.95" customHeight="1">
      <c r="A26" s="2001" t="s">
        <v>248</v>
      </c>
      <c r="C26" s="2002">
        <f>(0 + ((C16 + C19) + C25))</f>
        <v>612539105.68999994</v>
      </c>
      <c r="D26" s="2001"/>
    </row>
    <row r="27" spans="1:4" ht="13.35" customHeight="1"/>
    <row r="28" spans="1:4" s="1592" customFormat="1" ht="12.15" customHeight="1">
      <c r="A28" s="1997" t="s">
        <v>249</v>
      </c>
      <c r="B28" s="1997"/>
      <c r="C28" s="1997"/>
      <c r="D28" s="1997"/>
    </row>
    <row r="29" spans="1:4" ht="10.95" customHeight="1">
      <c r="A29" s="2000"/>
      <c r="B29" s="2000" t="s">
        <v>250</v>
      </c>
      <c r="C29" s="2000"/>
      <c r="D29" s="2000"/>
    </row>
    <row r="30" spans="1:4" ht="10.95" customHeight="1">
      <c r="B30" s="1588" t="s">
        <v>1825</v>
      </c>
      <c r="C30" s="1589">
        <v>144200000</v>
      </c>
      <c r="D30" s="1588"/>
    </row>
    <row r="31" spans="1:4" ht="10.95" customHeight="1">
      <c r="B31" s="1588" t="s">
        <v>799</v>
      </c>
      <c r="C31" s="1589">
        <v>61504.07</v>
      </c>
      <c r="D31" s="1588" t="s">
        <v>641</v>
      </c>
    </row>
    <row r="32" spans="1:4" ht="10.95" customHeight="1">
      <c r="B32" s="1588" t="s">
        <v>251</v>
      </c>
      <c r="C32" s="1589">
        <v>26180816.620000001</v>
      </c>
      <c r="D32" s="1588" t="s">
        <v>641</v>
      </c>
    </row>
    <row r="33" spans="1:6" ht="10.95" customHeight="1">
      <c r="B33" s="1595" t="s">
        <v>2196</v>
      </c>
      <c r="C33" s="1596">
        <v>60392.11</v>
      </c>
      <c r="D33" s="1595"/>
      <c r="E33" s="2003">
        <f>1000*64</f>
        <v>64000</v>
      </c>
      <c r="F33" s="1597" t="s">
        <v>2197</v>
      </c>
    </row>
    <row r="34" spans="1:6" ht="10.95" customHeight="1">
      <c r="B34" s="1588" t="s">
        <v>802</v>
      </c>
      <c r="C34" s="1589">
        <v>109553838.38</v>
      </c>
      <c r="D34" s="1588"/>
    </row>
    <row r="35" spans="1:6" ht="10.95" customHeight="1">
      <c r="B35" s="1588" t="s">
        <v>1826</v>
      </c>
      <c r="C35" s="1589">
        <v>382712.55</v>
      </c>
      <c r="D35" s="1588"/>
    </row>
    <row r="36" spans="1:6" ht="10.95" customHeight="1">
      <c r="B36" s="1588" t="s">
        <v>1284</v>
      </c>
      <c r="C36" s="1589">
        <v>24134.400000000001</v>
      </c>
      <c r="D36" s="1588"/>
    </row>
    <row r="37" spans="1:6" ht="10.95" customHeight="1">
      <c r="B37" s="1588" t="s">
        <v>804</v>
      </c>
      <c r="C37" s="1589">
        <v>281487.76</v>
      </c>
      <c r="D37" s="1588"/>
    </row>
    <row r="38" spans="1:6" ht="10.95" customHeight="1">
      <c r="B38" s="1588" t="s">
        <v>813</v>
      </c>
      <c r="C38" s="1589">
        <v>155784.57999999999</v>
      </c>
      <c r="D38" s="1588"/>
    </row>
    <row r="39" spans="1:6" ht="10.95" customHeight="1">
      <c r="B39" s="2001" t="s">
        <v>253</v>
      </c>
      <c r="C39" s="2002">
        <f>SUM(C30:C38)</f>
        <v>280900670.46999997</v>
      </c>
      <c r="D39" s="2001"/>
    </row>
    <row r="40" spans="1:6" ht="10.95" customHeight="1">
      <c r="A40" s="2001" t="s">
        <v>254</v>
      </c>
      <c r="C40" s="2002">
        <f>(0 + C39)</f>
        <v>280900670.46999997</v>
      </c>
      <c r="D40" s="2001"/>
    </row>
    <row r="41" spans="1:6" ht="13.35" customHeight="1"/>
    <row r="42" spans="1:6" ht="10.95" customHeight="1">
      <c r="B42" s="2004" t="s">
        <v>255</v>
      </c>
      <c r="C42" s="2005">
        <f>(C26 - C40)</f>
        <v>331638435.21999997</v>
      </c>
      <c r="D42" s="2004"/>
    </row>
    <row r="43" spans="1:6" ht="13.35" customHeight="1"/>
    <row r="44" spans="1:6" s="1592" customFormat="1" ht="12.15" customHeight="1">
      <c r="A44" s="1997" t="s">
        <v>256</v>
      </c>
      <c r="B44" s="1997"/>
      <c r="C44" s="1997"/>
      <c r="D44" s="1997"/>
      <c r="E44" s="2006"/>
      <c r="F44" s="2006"/>
    </row>
    <row r="45" spans="1:6" ht="10.95" customHeight="1">
      <c r="B45" s="1590" t="s">
        <v>257</v>
      </c>
      <c r="C45" s="1591">
        <v>329948451.97000003</v>
      </c>
      <c r="D45" s="1590"/>
    </row>
    <row r="46" spans="1:6" ht="10.95" customHeight="1">
      <c r="B46" s="1588" t="s">
        <v>647</v>
      </c>
      <c r="C46" s="1589">
        <v>1552144.78</v>
      </c>
      <c r="D46" s="1588"/>
    </row>
    <row r="47" spans="1:6" ht="10.95" customHeight="1">
      <c r="B47" s="1588" t="s">
        <v>846</v>
      </c>
      <c r="C47" s="1589">
        <v>137838.47</v>
      </c>
      <c r="D47" s="1588"/>
    </row>
    <row r="48" spans="1:6" ht="10.95" customHeight="1">
      <c r="A48" s="2001" t="s">
        <v>258</v>
      </c>
      <c r="C48" s="2002">
        <f>SUM(C45:C47)</f>
        <v>331638435.22000003</v>
      </c>
      <c r="D48" s="2001"/>
    </row>
    <row r="51" spans="1:1" ht="10.95" customHeight="1">
      <c r="A51" s="1587" t="s">
        <v>814</v>
      </c>
    </row>
    <row r="52" spans="1:1" ht="10.95" customHeight="1">
      <c r="A52" s="2007" t="s">
        <v>2195</v>
      </c>
    </row>
    <row r="53" spans="1:1" ht="10.95" customHeight="1">
      <c r="A53" s="1587" t="s">
        <v>2198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E8A2F-CE81-40CA-A21C-688ADED32310}">
  <dimension ref="A1:C28"/>
  <sheetViews>
    <sheetView showGridLines="0" zoomScaleNormal="100" workbookViewId="0">
      <selection activeCell="C10" sqref="C10"/>
    </sheetView>
  </sheetViews>
  <sheetFormatPr baseColWidth="10" defaultColWidth="8" defaultRowHeight="11.4"/>
  <cols>
    <col min="1" max="1" width="7" style="1440" customWidth="1"/>
    <col min="2" max="2" width="35.44140625" style="1440" customWidth="1"/>
    <col min="3" max="3" width="20.5546875" style="1440" customWidth="1"/>
    <col min="4" max="4" width="11.5546875" style="1440" bestFit="1" customWidth="1"/>
    <col min="5" max="16384" width="8" style="1440"/>
  </cols>
  <sheetData>
    <row r="1" spans="1:3" s="1437" customFormat="1" ht="16.649999999999999" customHeight="1">
      <c r="A1" s="2168"/>
      <c r="B1" s="2168"/>
      <c r="C1" s="2168"/>
    </row>
    <row r="2" spans="1:3" s="1439" customFormat="1" ht="21.6" customHeight="1">
      <c r="A2" s="2171" t="s">
        <v>236</v>
      </c>
      <c r="B2" s="2171"/>
      <c r="C2" s="2171"/>
    </row>
    <row r="3" spans="1:3" s="1439" customFormat="1" ht="14.4" customHeight="1">
      <c r="A3" s="2172" t="s">
        <v>2199</v>
      </c>
      <c r="B3" s="2172"/>
      <c r="C3" s="2172"/>
    </row>
    <row r="4" spans="1:3" ht="4.95" customHeight="1" thickBot="1"/>
    <row r="5" spans="1:3" s="1444" customFormat="1" ht="13.2">
      <c r="A5" s="1502"/>
      <c r="B5" s="1501" t="s">
        <v>2084</v>
      </c>
      <c r="C5" s="1598">
        <v>45991</v>
      </c>
    </row>
    <row r="6" spans="1:3" ht="9" customHeight="1">
      <c r="A6" s="1491"/>
      <c r="C6" s="1495"/>
    </row>
    <row r="7" spans="1:3" s="1444" customFormat="1" ht="13.2">
      <c r="A7" s="1494" t="s">
        <v>2085</v>
      </c>
      <c r="B7" s="1445"/>
      <c r="C7" s="1493"/>
    </row>
    <row r="8" spans="1:3">
      <c r="A8" s="1491"/>
      <c r="B8" s="1450" t="s">
        <v>2086</v>
      </c>
      <c r="C8" s="1601">
        <f>+'BCE 11-25'!C16</f>
        <v>136574966.69999999</v>
      </c>
    </row>
    <row r="9" spans="1:3">
      <c r="A9" s="1491"/>
      <c r="B9" s="1450" t="s">
        <v>241</v>
      </c>
      <c r="C9" s="1601">
        <f>+'BCE 11-25'!C19</f>
        <v>13289917.689999999</v>
      </c>
    </row>
    <row r="10" spans="1:3">
      <c r="A10" s="1491"/>
      <c r="B10" s="1450" t="s">
        <v>2087</v>
      </c>
      <c r="C10" s="1601">
        <f>+'BCE 11-25'!C25</f>
        <v>462674221.29999995</v>
      </c>
    </row>
    <row r="11" spans="1:3" ht="12">
      <c r="A11" s="1498" t="s">
        <v>2088</v>
      </c>
      <c r="C11" s="1602">
        <f>(0 + ((C8 + C9) + C10))</f>
        <v>612539105.68999994</v>
      </c>
    </row>
    <row r="12" spans="1:3" ht="8.4" customHeight="1">
      <c r="A12" s="1491"/>
      <c r="C12" s="1495"/>
    </row>
    <row r="13" spans="1:3" s="1444" customFormat="1" ht="13.2">
      <c r="A13" s="1494" t="s">
        <v>2089</v>
      </c>
      <c r="B13" s="1445"/>
      <c r="C13" s="1493"/>
    </row>
    <row r="14" spans="1:3">
      <c r="A14" s="1491"/>
      <c r="B14" s="1450" t="s">
        <v>1825</v>
      </c>
      <c r="C14" s="1601">
        <f>+'BCE 11-25'!C30</f>
        <v>144200000</v>
      </c>
    </row>
    <row r="15" spans="1:3">
      <c r="A15" s="1491"/>
      <c r="B15" s="1450" t="s">
        <v>251</v>
      </c>
      <c r="C15" s="1601">
        <f>+'BCE 11-25'!C31+'BCE 11-25'!C32+'BCE 11-25'!C35</f>
        <v>26625033.240000002</v>
      </c>
    </row>
    <row r="16" spans="1:3">
      <c r="A16" s="1491"/>
      <c r="B16" s="1450" t="s">
        <v>802</v>
      </c>
      <c r="C16" s="1601">
        <f>+'BCE 11-25'!C33+'BCE 11-25'!C34</f>
        <v>109614230.48999999</v>
      </c>
    </row>
    <row r="17" spans="1:3">
      <c r="A17" s="1491"/>
      <c r="B17" s="1450" t="s">
        <v>2090</v>
      </c>
      <c r="C17" s="1601">
        <f>+'BCE 11-25'!C36+'BCE 11-25'!C37+'BCE 11-25'!C38</f>
        <v>461406.74</v>
      </c>
    </row>
    <row r="18" spans="1:3" ht="12">
      <c r="A18" s="1498" t="s">
        <v>2091</v>
      </c>
      <c r="C18" s="1602">
        <f>SUM(C14:C17)</f>
        <v>280900670.47000003</v>
      </c>
    </row>
    <row r="19" spans="1:3">
      <c r="A19" s="1491"/>
      <c r="C19" s="1603"/>
    </row>
    <row r="20" spans="1:3" ht="18" customHeight="1">
      <c r="A20" s="1607"/>
      <c r="B20" s="1461" t="s">
        <v>2092</v>
      </c>
      <c r="C20" s="1604">
        <f>(C11 - C18)</f>
        <v>331638435.21999991</v>
      </c>
    </row>
    <row r="21" spans="1:3">
      <c r="A21" s="1491"/>
      <c r="C21" s="1495"/>
    </row>
    <row r="22" spans="1:3" s="1444" customFormat="1" ht="13.2">
      <c r="A22" s="1494" t="s">
        <v>2093</v>
      </c>
      <c r="B22" s="1445"/>
      <c r="C22" s="1493"/>
    </row>
    <row r="23" spans="1:3">
      <c r="A23" s="1491"/>
      <c r="B23" s="1446" t="s">
        <v>2094</v>
      </c>
      <c r="C23" s="1605">
        <f>+'BCE 11-25'!C45</f>
        <v>329948451.97000003</v>
      </c>
    </row>
    <row r="24" spans="1:3">
      <c r="A24" s="1491"/>
      <c r="B24" s="1450" t="s">
        <v>647</v>
      </c>
      <c r="C24" s="1601">
        <f>+'BCE 11-25'!C46</f>
        <v>1552144.78</v>
      </c>
    </row>
    <row r="25" spans="1:3">
      <c r="A25" s="1491"/>
      <c r="B25" s="1450" t="s">
        <v>846</v>
      </c>
      <c r="C25" s="1601">
        <f>+'BCE 11-25'!C47</f>
        <v>137838.47</v>
      </c>
    </row>
    <row r="26" spans="1:3" ht="12">
      <c r="A26" s="1498" t="s">
        <v>2095</v>
      </c>
      <c r="C26" s="1602">
        <f>SUM(C23:C25)</f>
        <v>331638435.22000003</v>
      </c>
    </row>
    <row r="27" spans="1:3">
      <c r="A27" s="1491"/>
      <c r="B27" s="1446"/>
      <c r="C27" s="1605"/>
    </row>
    <row r="28" spans="1:3" ht="19.2" customHeight="1" thickBot="1">
      <c r="A28" s="1608"/>
      <c r="B28" s="1489" t="s">
        <v>2095</v>
      </c>
      <c r="C28" s="1606">
        <f>+C26</f>
        <v>331638435.22000003</v>
      </c>
    </row>
  </sheetData>
  <mergeCells count="3">
    <mergeCell ref="A1:C1"/>
    <mergeCell ref="A2:C2"/>
    <mergeCell ref="A3:C3"/>
  </mergeCells>
  <pageMargins left="0.7" right="0.7" top="0.75" bottom="0.75" header="0.3" footer="0.3"/>
  <pageSetup paperSize="9" fitToWidth="0" fitToHeight="0" orientation="portrait" horizontalDpi="0" verticalDpi="0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B2FF1-670A-431F-A4D2-518E7CCC5756}">
  <sheetPr>
    <tabColor theme="5" tint="0.79998168889431442"/>
  </sheetPr>
  <dimension ref="A1:U50"/>
  <sheetViews>
    <sheetView showGridLines="0" topLeftCell="A2" zoomScale="110" zoomScaleNormal="110" workbookViewId="0">
      <pane xSplit="7" ySplit="3" topLeftCell="H10" activePane="bottomRight" state="frozen"/>
      <selection pane="topRight" activeCell="H2" sqref="H2"/>
      <selection pane="bottomLeft" activeCell="A5" sqref="A5"/>
      <selection pane="bottomRight" activeCell="O17" sqref="O17"/>
    </sheetView>
  </sheetViews>
  <sheetFormatPr baseColWidth="10" defaultColWidth="11.44140625" defaultRowHeight="14.4"/>
  <cols>
    <col min="1" max="1" width="3.6640625" customWidth="1"/>
    <col min="2" max="2" width="27.109375" customWidth="1"/>
    <col min="3" max="5" width="18" hidden="1" customWidth="1"/>
    <col min="6" max="6" width="14.6640625" style="841" hidden="1" customWidth="1"/>
    <col min="7" max="7" width="17.6640625" style="841" customWidth="1"/>
    <col min="8" max="8" width="13.33203125" customWidth="1"/>
    <col min="9" max="9" width="16.33203125" customWidth="1"/>
    <col min="10" max="10" width="13.6640625" customWidth="1"/>
    <col min="11" max="11" width="13.6640625" hidden="1" customWidth="1"/>
    <col min="12" max="12" width="13.33203125" hidden="1" customWidth="1"/>
    <col min="13" max="13" width="15" hidden="1" customWidth="1"/>
    <col min="14" max="14" width="15.6640625" hidden="1" customWidth="1"/>
    <col min="15" max="15" width="15.5546875" customWidth="1"/>
    <col min="16" max="16" width="18.109375" customWidth="1"/>
    <col min="17" max="17" width="17.6640625" customWidth="1"/>
    <col min="18" max="18" width="16.109375" customWidth="1"/>
    <col min="19" max="19" width="18.5546875" customWidth="1"/>
    <col min="20" max="20" width="17" customWidth="1"/>
    <col min="21" max="23" width="15.44140625" bestFit="1" customWidth="1"/>
    <col min="24" max="24" width="14.44140625" bestFit="1" customWidth="1"/>
  </cols>
  <sheetData>
    <row r="1" spans="1:21" ht="21.6" customHeight="1">
      <c r="E1" s="370"/>
      <c r="H1" s="370"/>
      <c r="J1" s="370"/>
      <c r="K1" s="370"/>
      <c r="O1" s="732"/>
      <c r="R1" s="2109" t="s">
        <v>185</v>
      </c>
      <c r="S1" s="2109"/>
      <c r="T1" s="2109"/>
      <c r="U1" s="2109"/>
    </row>
    <row r="2" spans="1:21" ht="15" thickBot="1">
      <c r="E2" s="509"/>
      <c r="F2" s="840"/>
      <c r="G2" s="840"/>
      <c r="H2" s="509"/>
      <c r="I2" s="181" t="s">
        <v>197</v>
      </c>
      <c r="J2" s="1621"/>
      <c r="K2" s="2148" t="s">
        <v>1611</v>
      </c>
      <c r="L2" s="2148"/>
      <c r="M2" s="2148"/>
      <c r="N2" s="2148"/>
      <c r="O2" s="1111"/>
      <c r="P2" s="181" t="s">
        <v>199</v>
      </c>
      <c r="Q2" s="181" t="s">
        <v>225</v>
      </c>
      <c r="R2" s="2109"/>
      <c r="S2" s="2109"/>
      <c r="T2" s="2109"/>
      <c r="U2" s="2109"/>
    </row>
    <row r="3" spans="1:21" ht="15.6" customHeight="1" thickBot="1">
      <c r="B3" s="1033" t="s">
        <v>1445</v>
      </c>
      <c r="C3" s="1034"/>
      <c r="D3" s="1035"/>
      <c r="E3" s="1035"/>
      <c r="F3" s="1036"/>
      <c r="G3" s="1036"/>
      <c r="H3" s="1565">
        <v>61</v>
      </c>
      <c r="I3" s="2142" t="s">
        <v>145</v>
      </c>
      <c r="J3" s="2142" t="s">
        <v>650</v>
      </c>
      <c r="K3" s="2146" t="s">
        <v>2080</v>
      </c>
      <c r="L3" s="2146" t="s">
        <v>1541</v>
      </c>
      <c r="M3" s="2146" t="s">
        <v>1613</v>
      </c>
      <c r="N3" s="2146" t="s">
        <v>652</v>
      </c>
      <c r="O3" s="2142" t="s">
        <v>227</v>
      </c>
      <c r="P3" s="2142" t="s">
        <v>807</v>
      </c>
      <c r="Q3" s="2142" t="s">
        <v>146</v>
      </c>
      <c r="R3" s="183"/>
      <c r="S3" s="183"/>
      <c r="T3" s="183"/>
      <c r="U3" s="183"/>
    </row>
    <row r="4" spans="1:21" ht="16.95" customHeight="1" thickBot="1">
      <c r="A4" s="152"/>
      <c r="B4" s="1038" t="s">
        <v>29</v>
      </c>
      <c r="C4" s="1039" t="s">
        <v>762</v>
      </c>
      <c r="D4" s="1038" t="s">
        <v>763</v>
      </c>
      <c r="E4" s="1110" t="s">
        <v>1446</v>
      </c>
      <c r="F4" s="1110" t="s">
        <v>1614</v>
      </c>
      <c r="G4" s="1038" t="s">
        <v>1614</v>
      </c>
      <c r="H4" s="1038" t="s">
        <v>31</v>
      </c>
      <c r="I4" s="2143"/>
      <c r="J4" s="2143"/>
      <c r="K4" s="2147"/>
      <c r="L4" s="2147"/>
      <c r="M4" s="2147"/>
      <c r="N4" s="2147"/>
      <c r="O4" s="2143"/>
      <c r="P4" s="2143"/>
      <c r="Q4" s="2143"/>
      <c r="R4" s="183"/>
      <c r="S4" s="183"/>
      <c r="T4" s="183"/>
      <c r="U4" s="183"/>
    </row>
    <row r="5" spans="1:21">
      <c r="A5">
        <v>1</v>
      </c>
      <c r="B5" s="335" t="s">
        <v>33</v>
      </c>
      <c r="C5" s="1025">
        <f>SUM('budget (11)'!D2:D3)</f>
        <v>103385169</v>
      </c>
      <c r="D5" s="1053">
        <v>103385169</v>
      </c>
      <c r="E5" s="1053">
        <f>+'ADI 462 julio 25 '!D18</f>
        <v>105180000</v>
      </c>
      <c r="F5" s="1054">
        <f>+'ADI 462 AGO25'!D18</f>
        <v>106933000</v>
      </c>
      <c r="G5" s="1054">
        <f>+'ADI 09-25'!C18</f>
        <v>106933000</v>
      </c>
      <c r="H5" s="1053">
        <f>G5/H3</f>
        <v>1753000</v>
      </c>
      <c r="I5" s="1055">
        <f>+'Proc. 11-25'!C2</f>
        <v>264445080.16</v>
      </c>
      <c r="J5" s="1055">
        <f>+'Costos a Nov-25'!N2</f>
        <v>264445080.15999997</v>
      </c>
      <c r="K5" s="1055">
        <f>+'Flujo y Ejecución 10-25'!H14</f>
        <v>0</v>
      </c>
      <c r="L5" s="1055"/>
      <c r="M5" s="1055"/>
      <c r="N5" s="1055"/>
      <c r="O5" s="1055">
        <f t="shared" ref="O5:O11" si="0">+J5-L5-M5+N5</f>
        <v>264445080.15999997</v>
      </c>
      <c r="P5" s="1056">
        <f>I5-O5</f>
        <v>0</v>
      </c>
      <c r="Q5" s="1056">
        <f t="shared" ref="Q5:Q11" si="1">+G5-I5</f>
        <v>-157512080.16</v>
      </c>
      <c r="R5" s="183"/>
      <c r="S5" s="183"/>
      <c r="T5" s="183"/>
      <c r="U5" s="183"/>
    </row>
    <row r="6" spans="1:21">
      <c r="B6" s="1044" t="s">
        <v>35</v>
      </c>
      <c r="C6" s="1017">
        <f>SUM('budget (11)'!D11:D24)</f>
        <v>451758999.99999994</v>
      </c>
      <c r="D6" s="1057">
        <v>451758999.99999994</v>
      </c>
      <c r="E6" s="1057">
        <f>+'ADI 462 julio 25 '!D19</f>
        <v>461429397</v>
      </c>
      <c r="F6" s="1058">
        <f>+'ADI 462 AGO25'!D19</f>
        <v>469173666.60000002</v>
      </c>
      <c r="G6" s="1058">
        <f>+'ADI 09-25'!C19</f>
        <v>469173666.60000002</v>
      </c>
      <c r="H6" s="1057">
        <f>G6/$H$3</f>
        <v>7691371.5836065579</v>
      </c>
      <c r="I6" s="1059">
        <f>+'Proc. 11-25'!C4</f>
        <v>43099036.450000003</v>
      </c>
      <c r="J6" s="1059">
        <f>+'Costos a Nov-25'!N6</f>
        <v>18604463.190000001</v>
      </c>
      <c r="K6" s="1059">
        <f>+'Proc. 11-25'!F4</f>
        <v>14291211.33</v>
      </c>
      <c r="L6" s="1059"/>
      <c r="M6" s="1059">
        <f>+'CXP 11-25'!D19</f>
        <v>1484041.4</v>
      </c>
      <c r="N6" s="1059">
        <f>+'Anticipos 11-25'!D8</f>
        <v>13000000</v>
      </c>
      <c r="O6" s="1059">
        <f t="shared" si="0"/>
        <v>30120421.790000003</v>
      </c>
      <c r="P6" s="1060">
        <f>I6-O6</f>
        <v>12978614.66</v>
      </c>
      <c r="Q6" s="1060">
        <f t="shared" si="1"/>
        <v>426074630.15000004</v>
      </c>
      <c r="R6" s="183"/>
      <c r="S6" s="184"/>
      <c r="T6" s="183"/>
      <c r="U6" s="183"/>
    </row>
    <row r="7" spans="1:21" ht="13.95" customHeight="1">
      <c r="B7" s="1044" t="s">
        <v>38</v>
      </c>
      <c r="C7" s="1020">
        <f>SUM('budget (11)'!D25:D39)</f>
        <v>1265953920</v>
      </c>
      <c r="D7" s="1057">
        <f>1447934796</f>
        <v>1447934796</v>
      </c>
      <c r="E7" s="1057">
        <f>+'ADI 462 julio 25 '!D22</f>
        <v>1521122757</v>
      </c>
      <c r="F7" s="1058">
        <f>+'ADI 462 AGO25'!D20</f>
        <v>1517166651</v>
      </c>
      <c r="G7" s="1058">
        <f>+'ADI 09-25'!C20</f>
        <v>1517166651</v>
      </c>
      <c r="H7" s="1057">
        <f t="shared" ref="H7:H11" si="2">G7/$H$3</f>
        <v>24871584.442622952</v>
      </c>
      <c r="I7" s="1061">
        <f>+'Proc. 11-25'!C5</f>
        <v>711013.02</v>
      </c>
      <c r="J7" s="1061">
        <f>+'Costos a Nov-25'!N8</f>
        <v>0</v>
      </c>
      <c r="K7" s="1061">
        <f>+'Flujo y Ejecución 10-25'!H16</f>
        <v>0</v>
      </c>
      <c r="L7" s="1061"/>
      <c r="M7" s="1061"/>
      <c r="N7" s="1061"/>
      <c r="O7" s="1061">
        <f t="shared" si="0"/>
        <v>0</v>
      </c>
      <c r="P7" s="1062">
        <f>I7-O7</f>
        <v>711013.02</v>
      </c>
      <c r="Q7" s="1062">
        <f t="shared" si="1"/>
        <v>1516455637.98</v>
      </c>
      <c r="R7" s="183"/>
      <c r="S7" s="184"/>
      <c r="T7" s="183"/>
      <c r="U7" s="183"/>
    </row>
    <row r="8" spans="1:21" ht="13.95" customHeight="1">
      <c r="B8" s="1044" t="s">
        <v>767</v>
      </c>
      <c r="C8" s="1020">
        <f>SUM('budget (11)'!D40:D41)</f>
        <v>171771292</v>
      </c>
      <c r="D8" s="1057">
        <v>189969380</v>
      </c>
      <c r="E8" s="1057">
        <f>+'ADI 462 julio 25 '!D23</f>
        <v>198255215.40000001</v>
      </c>
      <c r="F8" s="1058">
        <f>+'ADI 462 AGO25'!D21</f>
        <v>198634031.75999999</v>
      </c>
      <c r="G8" s="1058">
        <f>+'ADI 09-25'!C21</f>
        <v>234388157.47679996</v>
      </c>
      <c r="H8" s="1057">
        <f t="shared" si="2"/>
        <v>3842428.8110950813</v>
      </c>
      <c r="I8" s="1061">
        <f>+'Proc. 11-25'!C6</f>
        <v>24078093.649999999</v>
      </c>
      <c r="J8" s="1061">
        <f>+'Costos a Nov-25'!N10</f>
        <v>24061306.359999999</v>
      </c>
      <c r="K8" s="1061">
        <f>+'Flujo y Ejecución 10-25'!H17</f>
        <v>0</v>
      </c>
      <c r="L8" s="1061"/>
      <c r="M8" s="1061">
        <f>+'CXP 11-25'!D27</f>
        <v>3473040.04</v>
      </c>
      <c r="N8" s="1061"/>
      <c r="O8" s="1061">
        <f t="shared" si="0"/>
        <v>20588266.32</v>
      </c>
      <c r="P8" s="1062">
        <f>I8-O8</f>
        <v>3489827.3299999982</v>
      </c>
      <c r="Q8" s="1062">
        <f t="shared" si="1"/>
        <v>210310063.82679996</v>
      </c>
      <c r="R8" s="183"/>
      <c r="S8" s="184"/>
      <c r="T8" s="183"/>
      <c r="U8" s="183"/>
    </row>
    <row r="9" spans="1:21" ht="13.95" customHeight="1">
      <c r="B9" s="1044" t="s">
        <v>1607</v>
      </c>
      <c r="C9" s="1114"/>
      <c r="D9" s="1057">
        <v>0</v>
      </c>
      <c r="E9" s="1057">
        <v>0</v>
      </c>
      <c r="F9" s="1058">
        <f>+'ADI 462 AGO25'!D22</f>
        <v>19863403.175999999</v>
      </c>
      <c r="G9" s="1058">
        <f>+'ADI 09-25'!C22</f>
        <v>19264643</v>
      </c>
      <c r="H9" s="1057">
        <f t="shared" si="2"/>
        <v>315813.81967213115</v>
      </c>
      <c r="I9" s="1061">
        <f>+'Proc. 11-25'!C9</f>
        <v>1520892.9</v>
      </c>
      <c r="J9" s="1061">
        <f>+'Costos a Nov-25'!N22</f>
        <v>1520892.9</v>
      </c>
      <c r="K9" s="1061">
        <f>+'Flujo y Ejecución 10-25'!H18</f>
        <v>0</v>
      </c>
      <c r="L9" s="1061"/>
      <c r="M9" s="1061">
        <f>+'CXP 11-25'!D47</f>
        <v>1068062.08</v>
      </c>
      <c r="N9" s="1061"/>
      <c r="O9" s="1061">
        <f t="shared" si="0"/>
        <v>452830.81999999983</v>
      </c>
      <c r="P9" s="1062"/>
      <c r="Q9" s="1062">
        <f t="shared" si="1"/>
        <v>17743750.100000001</v>
      </c>
      <c r="R9" s="183"/>
      <c r="S9" s="184"/>
      <c r="T9" s="183"/>
      <c r="U9" s="183"/>
    </row>
    <row r="10" spans="1:21">
      <c r="B10" s="1044" t="s">
        <v>40</v>
      </c>
      <c r="C10" s="1020">
        <f>SUM('budget (11)'!D42)</f>
        <v>34354258</v>
      </c>
      <c r="D10" s="1057">
        <v>37993876</v>
      </c>
      <c r="E10" s="1057">
        <f>+'ADI 462 julio 25 '!D24/2</f>
        <v>39651043.079999998</v>
      </c>
      <c r="F10" s="1058">
        <f>+'ADI 462 AGO25'!D23</f>
        <v>47672167.622400001</v>
      </c>
      <c r="G10" s="1058">
        <f>+'ADI 09-25'!C23</f>
        <v>47672167.622400001</v>
      </c>
      <c r="H10" s="1057">
        <f t="shared" si="2"/>
        <v>781510.94462950819</v>
      </c>
      <c r="I10" s="1061">
        <f>+'Proc. 11-25'!C7</f>
        <v>852299.65</v>
      </c>
      <c r="J10" s="1061">
        <f>+'Costos a Nov-25'!N12</f>
        <v>852299.65</v>
      </c>
      <c r="K10" s="1061">
        <f>+'Flujo y Ejecución 10-25'!H19</f>
        <v>0</v>
      </c>
      <c r="L10" s="1061"/>
      <c r="M10" s="1061">
        <f>+'CXP 11-25'!D31+'CXP 11-25'!D36+'CXP 11-25'!D41</f>
        <v>431171.86</v>
      </c>
      <c r="N10" s="1061"/>
      <c r="O10" s="1061">
        <f t="shared" si="0"/>
        <v>421127.79000000004</v>
      </c>
      <c r="P10" s="1062">
        <f>I10-O10</f>
        <v>431171.86</v>
      </c>
      <c r="Q10" s="1062">
        <f t="shared" si="1"/>
        <v>46819867.972400002</v>
      </c>
      <c r="R10" s="183"/>
      <c r="S10" s="184"/>
      <c r="T10" s="183"/>
      <c r="U10" s="183"/>
    </row>
    <row r="11" spans="1:21">
      <c r="B11" s="1044" t="s">
        <v>764</v>
      </c>
      <c r="C11" s="1020">
        <v>0</v>
      </c>
      <c r="D11" s="1057">
        <v>37993876</v>
      </c>
      <c r="E11" s="1057">
        <f>+'ADI 462 julio 25 '!D24/2</f>
        <v>39651043.079999998</v>
      </c>
      <c r="F11" s="1058">
        <f>+'ADI 462 AGO25'!D24</f>
        <v>39726806.351999998</v>
      </c>
      <c r="G11" s="1058">
        <f>+'ADI 09-25'!C24</f>
        <v>39726806.351999998</v>
      </c>
      <c r="H11" s="1057">
        <f t="shared" si="2"/>
        <v>651259.12052459014</v>
      </c>
      <c r="I11" s="1061">
        <f>+'Proc. 11-25'!C8</f>
        <v>0</v>
      </c>
      <c r="J11" s="1061">
        <f>+'Costos a Nov-25'!N20</f>
        <v>0</v>
      </c>
      <c r="K11" s="1061">
        <f>+'Flujo y Ejecución 10-25'!H20</f>
        <v>0</v>
      </c>
      <c r="L11" s="1061"/>
      <c r="M11" s="1061"/>
      <c r="N11" s="1061"/>
      <c r="O11" s="1061">
        <f t="shared" si="0"/>
        <v>0</v>
      </c>
      <c r="P11" s="1062">
        <f>I11-O11</f>
        <v>0</v>
      </c>
      <c r="Q11" s="1062">
        <f t="shared" si="1"/>
        <v>39726806.351999998</v>
      </c>
      <c r="R11" s="183"/>
      <c r="S11" s="184"/>
      <c r="T11" s="183"/>
      <c r="U11" s="183"/>
    </row>
    <row r="12" spans="1:21">
      <c r="B12" s="254" t="s">
        <v>41</v>
      </c>
      <c r="C12" s="665">
        <f>SUM(C6:C10)</f>
        <v>1923838470</v>
      </c>
      <c r="D12" s="1063">
        <f t="shared" ref="D12:Q12" si="3">SUM(D6:D11)</f>
        <v>2165650928</v>
      </c>
      <c r="E12" s="1063">
        <f t="shared" si="3"/>
        <v>2260109455.5599999</v>
      </c>
      <c r="F12" s="1063">
        <f t="shared" si="3"/>
        <v>2292236726.5103998</v>
      </c>
      <c r="G12" s="1063">
        <f t="shared" si="3"/>
        <v>2327392092.0511999</v>
      </c>
      <c r="H12" s="1063">
        <f t="shared" si="3"/>
        <v>38153968.722150818</v>
      </c>
      <c r="I12" s="1064">
        <f t="shared" si="3"/>
        <v>70261335.670000017</v>
      </c>
      <c r="J12" s="1064">
        <f t="shared" si="3"/>
        <v>45038962.099999994</v>
      </c>
      <c r="K12" s="1064">
        <f t="shared" si="3"/>
        <v>14291211.33</v>
      </c>
      <c r="L12" s="1064">
        <f t="shared" si="3"/>
        <v>0</v>
      </c>
      <c r="M12" s="1064">
        <f>SUM(M6:M11)</f>
        <v>6456315.3799999999</v>
      </c>
      <c r="N12" s="1064">
        <f t="shared" si="3"/>
        <v>13000000</v>
      </c>
      <c r="O12" s="1064">
        <f t="shared" si="3"/>
        <v>51582646.719999999</v>
      </c>
      <c r="P12" s="1064">
        <f t="shared" si="3"/>
        <v>17610626.869999997</v>
      </c>
      <c r="Q12" s="1064">
        <f t="shared" si="3"/>
        <v>2257130756.3811998</v>
      </c>
      <c r="R12" s="183"/>
      <c r="S12" s="184"/>
      <c r="T12" s="183"/>
      <c r="U12" s="183"/>
    </row>
    <row r="13" spans="1:21">
      <c r="B13" s="1044" t="s">
        <v>42</v>
      </c>
      <c r="C13" s="1023">
        <f>SUM('budget (11)'!D43)</f>
        <v>137417034</v>
      </c>
      <c r="D13" s="1065">
        <v>151975504</v>
      </c>
      <c r="E13" s="1057">
        <f>+'ADI 462 julio 25 '!D26</f>
        <v>158604172.31999999</v>
      </c>
      <c r="F13" s="1058">
        <f>+'ADI 462 AGO25'!D26</f>
        <v>158907225.40799999</v>
      </c>
      <c r="G13" s="1058">
        <f>+'ADI 09-25'!C26</f>
        <v>187510525.98143998</v>
      </c>
      <c r="H13" s="1057">
        <f>G13/$H$3</f>
        <v>3073943.0488760653</v>
      </c>
      <c r="I13" s="1066">
        <f>+'Proc. 11-25'!C10</f>
        <v>14321175.970000001</v>
      </c>
      <c r="J13" s="1066">
        <f>+'Costos a Nov-25'!N24</f>
        <v>14321175.969999999</v>
      </c>
      <c r="K13" s="1066">
        <f>+'Flujo y Ejecución 10-25'!H22</f>
        <v>0</v>
      </c>
      <c r="L13" s="1066"/>
      <c r="M13" s="1066">
        <f>+'CXP 11-25'!D51</f>
        <v>1770000</v>
      </c>
      <c r="N13" s="1066"/>
      <c r="O13" s="1066">
        <f>+J13-L13-M13+N13</f>
        <v>12551175.969999999</v>
      </c>
      <c r="P13" s="1066">
        <f>I13-O13</f>
        <v>1770000.0000000019</v>
      </c>
      <c r="Q13" s="1066">
        <f>+G13-I13</f>
        <v>173189350.01143998</v>
      </c>
      <c r="R13" s="183"/>
      <c r="S13" s="184"/>
      <c r="T13" s="183"/>
      <c r="U13" s="183"/>
    </row>
    <row r="14" spans="1:21">
      <c r="B14" s="1044" t="s">
        <v>43</v>
      </c>
      <c r="C14" s="1023">
        <f>SUM('budget (11)'!D45:D46)</f>
        <v>281704919</v>
      </c>
      <c r="D14" s="1065">
        <v>308130334</v>
      </c>
      <c r="E14" s="1065">
        <f>+'ADI 462 julio 25 '!D27</f>
        <v>356859387.71999997</v>
      </c>
      <c r="F14" s="1067">
        <f>+'ADI 462 AGO25'!D27</f>
        <v>365486618.43839997</v>
      </c>
      <c r="G14" s="1067">
        <f>+'ADI 09-25'!C27</f>
        <v>327746152.40399998</v>
      </c>
      <c r="H14" s="1057">
        <f>G14/$H$3</f>
        <v>5372887.7443278683</v>
      </c>
      <c r="I14" s="1066">
        <f>+'Proc. 11-25'!C11</f>
        <v>70331613.25</v>
      </c>
      <c r="J14" s="1066">
        <f>+'Costos a Nov-25'!N26</f>
        <v>70315528.280000001</v>
      </c>
      <c r="K14" s="1066">
        <f>+'Flujo y Ejecución 10-25'!H23</f>
        <v>0</v>
      </c>
      <c r="L14" s="1066"/>
      <c r="M14" s="1066">
        <f>+'CXP 11-25'!D58+'CXP 11-25'!D62+'CXP 11-25'!D66+'CXP 11-25'!D73</f>
        <v>14837567.92</v>
      </c>
      <c r="N14" s="1066"/>
      <c r="O14" s="1066">
        <f>+J14-L14-M14+N14</f>
        <v>55477960.359999999</v>
      </c>
      <c r="P14" s="1066">
        <f>I14-O14</f>
        <v>14853652.890000001</v>
      </c>
      <c r="Q14" s="1066">
        <f>+G14-I14</f>
        <v>257414539.15399998</v>
      </c>
      <c r="R14" s="183"/>
      <c r="S14" s="184"/>
      <c r="T14" s="183"/>
      <c r="U14" s="183"/>
    </row>
    <row r="15" spans="1:21">
      <c r="B15" s="1044" t="s">
        <v>44</v>
      </c>
      <c r="C15" s="1023">
        <f>SUM('budget (11)'!D47)</f>
        <v>67334346</v>
      </c>
      <c r="D15" s="1065">
        <v>75797782</v>
      </c>
      <c r="E15" s="1065">
        <f>+'ADI 462 julio 25 '!D28</f>
        <v>79103830.944600001</v>
      </c>
      <c r="F15" s="1067">
        <f>+'ADI 462 AGO25'!D28</f>
        <v>80228285.427864</v>
      </c>
      <c r="G15" s="1067">
        <f>+'ADI 09-25'!C28</f>
        <v>81458723.221791998</v>
      </c>
      <c r="H15" s="1057">
        <f>G15/$H$3</f>
        <v>1335388.9052752787</v>
      </c>
      <c r="I15" s="1066">
        <f>+'Proc. 11-25'!C12</f>
        <v>2374295.34</v>
      </c>
      <c r="J15" s="1066">
        <f>+'Costos a Nov-25'!N31</f>
        <v>2374295.3399999994</v>
      </c>
      <c r="K15" s="1066">
        <f>+'Flujo y Ejecución 10-25'!H24</f>
        <v>0</v>
      </c>
      <c r="L15" s="1066"/>
      <c r="M15" s="1066">
        <f>+'CXP 11-25'!D77</f>
        <v>74273.210000000006</v>
      </c>
      <c r="N15" s="1066"/>
      <c r="O15" s="1066">
        <f>+J15-L15-M15+N15</f>
        <v>2300022.1299999994</v>
      </c>
      <c r="P15" s="1066">
        <f>I15-O15</f>
        <v>74273.210000000428</v>
      </c>
      <c r="Q15" s="1066">
        <f>+G15-I15</f>
        <v>79084427.881791994</v>
      </c>
      <c r="R15" s="183"/>
      <c r="S15" s="184"/>
      <c r="T15" s="183"/>
      <c r="U15" s="183"/>
    </row>
    <row r="16" spans="1:21">
      <c r="A16">
        <v>1</v>
      </c>
      <c r="B16" s="1044" t="s">
        <v>45</v>
      </c>
      <c r="C16" s="1023">
        <f>SUM('budget (11)'!D48:D49)</f>
        <v>51531387.949999996</v>
      </c>
      <c r="D16" s="1065">
        <v>56990814</v>
      </c>
      <c r="E16" s="1065">
        <f>+'ADI 462 julio 25 '!D29</f>
        <v>59476564.619999997</v>
      </c>
      <c r="F16" s="1067">
        <f>+'ADI 462 AGO25'!D29</f>
        <v>69521911.115999997</v>
      </c>
      <c r="G16" s="1067">
        <f>+'ADI 09-25'!C29</f>
        <v>69521911.115999997</v>
      </c>
      <c r="H16" s="1057">
        <f>G16/$H$3</f>
        <v>1139703.4609180328</v>
      </c>
      <c r="I16" s="1066">
        <f>+'Proc. 11-25'!C13</f>
        <v>25311900.93</v>
      </c>
      <c r="J16" s="1066">
        <f>+'Costos a Nov-25'!N34</f>
        <v>24398393.309999999</v>
      </c>
      <c r="K16" s="1066">
        <v>0</v>
      </c>
      <c r="L16" s="1066">
        <f>+'CXP MMHB 11-25'!E13+'CXP MMHB 11-25'!E18+'CXP MMHB 11-25'!E22</f>
        <v>342712.54999999993</v>
      </c>
      <c r="M16" s="1066">
        <f>+'CXP 11-25'!D81+'CXP 11-25'!D87+'CXP 11-25'!D93+'CXP 11-25'!D97+'CXP 11-25'!D102+'CXP 11-25'!D108</f>
        <v>1138031.19</v>
      </c>
      <c r="N16" s="1066">
        <f>+'Anticipos 11-25'!D12</f>
        <v>10245.73</v>
      </c>
      <c r="O16" s="1066">
        <f>+J16-L16-M16+N16</f>
        <v>22927895.299999997</v>
      </c>
      <c r="P16" s="1066">
        <f>I16-O16</f>
        <v>2384005.6300000027</v>
      </c>
      <c r="Q16" s="1066">
        <f>+G16-I16</f>
        <v>44210010.185999997</v>
      </c>
      <c r="R16" s="183"/>
      <c r="S16" s="184"/>
      <c r="T16" s="183"/>
      <c r="U16" s="183"/>
    </row>
    <row r="17" spans="2:21">
      <c r="B17" s="1044" t="s">
        <v>46</v>
      </c>
      <c r="C17" s="1023">
        <f>SUM('budget (11)'!D50)</f>
        <v>19238385</v>
      </c>
      <c r="D17" s="1065">
        <v>21656506</v>
      </c>
      <c r="E17" s="1065">
        <f>+'ADI 462 julio 25 '!D30</f>
        <v>19825521.539999999</v>
      </c>
      <c r="F17" s="1067">
        <f>+'ADI 462 AGO25'!D30</f>
        <v>19863403.175999999</v>
      </c>
      <c r="G17" s="1067">
        <f>+'ADI 09-25'!C30</f>
        <v>19863403.175999999</v>
      </c>
      <c r="H17" s="1057">
        <f>G17/$H$3</f>
        <v>325629.56026229507</v>
      </c>
      <c r="I17" s="1066">
        <f>+'Proc. 11-25'!C14</f>
        <v>0</v>
      </c>
      <c r="J17" s="1066">
        <f>+'Costos a Nov-25'!N43</f>
        <v>0</v>
      </c>
      <c r="K17" s="1066">
        <f>+'Flujo y Ejecución 10-25'!H26</f>
        <v>0</v>
      </c>
      <c r="L17" s="1066"/>
      <c r="M17" s="1066"/>
      <c r="N17" s="1066"/>
      <c r="O17" s="1066">
        <f>+J17-L17-M17+N17</f>
        <v>0</v>
      </c>
      <c r="P17" s="1066">
        <f>I17-O17</f>
        <v>0</v>
      </c>
      <c r="Q17" s="1066">
        <f>+G17-I17</f>
        <v>19863403.175999999</v>
      </c>
      <c r="R17" s="183"/>
      <c r="S17" s="184"/>
      <c r="T17" s="183"/>
      <c r="U17" s="183"/>
    </row>
    <row r="18" spans="2:21">
      <c r="B18" s="254" t="s">
        <v>47</v>
      </c>
      <c r="C18" s="665">
        <f t="shared" ref="C18:P18" si="4">SUM(C13:C17)</f>
        <v>557226071.95000005</v>
      </c>
      <c r="D18" s="1063">
        <f t="shared" si="4"/>
        <v>614550940</v>
      </c>
      <c r="E18" s="1063">
        <f t="shared" ref="E18:G18" si="5">SUM(E13:E17)</f>
        <v>673869477.14459991</v>
      </c>
      <c r="F18" s="1063">
        <f t="shared" si="5"/>
        <v>694007443.56626403</v>
      </c>
      <c r="G18" s="1063">
        <f t="shared" si="5"/>
        <v>686100715.89923203</v>
      </c>
      <c r="H18" s="1063">
        <f>SUM(H13:H17)</f>
        <v>11247552.719659541</v>
      </c>
      <c r="I18" s="1064">
        <f>SUM(I13:I17)</f>
        <v>112338985.49000001</v>
      </c>
      <c r="J18" s="1064">
        <f t="shared" si="4"/>
        <v>111409392.90000001</v>
      </c>
      <c r="K18" s="1064">
        <f t="shared" ref="K18:L18" si="6">SUM(K13:K17)</f>
        <v>0</v>
      </c>
      <c r="L18" s="1064">
        <f t="shared" si="6"/>
        <v>342712.54999999993</v>
      </c>
      <c r="M18" s="1064">
        <f>SUM(M13:M17)</f>
        <v>17819872.32</v>
      </c>
      <c r="N18" s="1064">
        <f t="shared" si="4"/>
        <v>10245.73</v>
      </c>
      <c r="O18" s="1064">
        <f t="shared" si="4"/>
        <v>93257053.75999999</v>
      </c>
      <c r="P18" s="1064">
        <f t="shared" si="4"/>
        <v>19081931.730000004</v>
      </c>
      <c r="Q18" s="1064">
        <f t="shared" ref="Q18" si="7">SUM(Q13:Q17)</f>
        <v>573761730.40923202</v>
      </c>
      <c r="R18" s="183"/>
      <c r="S18" s="184"/>
      <c r="T18" s="183"/>
      <c r="U18" s="183"/>
    </row>
    <row r="19" spans="2:21">
      <c r="B19" s="1044" t="s">
        <v>48</v>
      </c>
      <c r="C19" s="1023">
        <f>SUM('budget (11)'!D51:D52)</f>
        <v>15000000</v>
      </c>
      <c r="D19" s="1065">
        <v>30500000</v>
      </c>
      <c r="E19" s="1065">
        <f>+'ADI 462 julio 25 '!D32</f>
        <v>30500000</v>
      </c>
      <c r="F19" s="1067">
        <f>+'ADI 462 AGO25'!D32</f>
        <v>30500000</v>
      </c>
      <c r="G19" s="1067">
        <f>+'ADI 09-25'!C32</f>
        <v>30500000</v>
      </c>
      <c r="H19" s="1065">
        <f>G19/$H$3</f>
        <v>500000</v>
      </c>
      <c r="I19" s="1066">
        <f>+'Proc. 11-25'!C15</f>
        <v>20971798.77</v>
      </c>
      <c r="J19" s="1066">
        <f>+'Costos a Nov-25'!N46</f>
        <v>18059319.019999996</v>
      </c>
      <c r="K19" s="1066"/>
      <c r="L19" s="1066"/>
      <c r="M19" s="1066">
        <f>+'CXP 11-25'!D115</f>
        <v>293022.22000000003</v>
      </c>
      <c r="N19" s="1066">
        <f>+'Anticipos 11-25'!D10</f>
        <v>6671.88</v>
      </c>
      <c r="O19" s="1066">
        <f>+J19-L19-M19+N19</f>
        <v>17772968.679999996</v>
      </c>
      <c r="P19" s="1066">
        <f>I19-O19</f>
        <v>3198830.0900000036</v>
      </c>
      <c r="Q19" s="1066">
        <f>+G19-I19</f>
        <v>9528201.2300000004</v>
      </c>
      <c r="R19" s="183"/>
      <c r="S19" s="184"/>
      <c r="T19" s="183"/>
      <c r="U19" s="185"/>
    </row>
    <row r="20" spans="2:21">
      <c r="B20" s="1044" t="s">
        <v>49</v>
      </c>
      <c r="C20" s="1023">
        <f>SUM('budget (11)'!D4:D10)</f>
        <v>20789999.999999996</v>
      </c>
      <c r="D20" s="1065">
        <v>20789999.999999996</v>
      </c>
      <c r="E20" s="1065">
        <f>+'ADI 462 julio 25 '!D33</f>
        <v>25000000</v>
      </c>
      <c r="F20" s="1067">
        <f>+'ADI 462 AGO25'!D33</f>
        <v>25000000</v>
      </c>
      <c r="G20" s="1067">
        <f>+'ADI 09-25'!C33</f>
        <v>25000000</v>
      </c>
      <c r="H20" s="1065">
        <f>G20/$H$3</f>
        <v>409836.06557377049</v>
      </c>
      <c r="I20" s="1066">
        <f>+'Proc. 11-25'!C3</f>
        <v>24416648.699999999</v>
      </c>
      <c r="J20" s="1066">
        <f>+'Costos a Nov-25'!N4</f>
        <v>23709583.620000001</v>
      </c>
      <c r="K20" s="1066">
        <f>+'Proc. 11-25'!F3</f>
        <v>278099.52</v>
      </c>
      <c r="L20" s="1066">
        <f>+'CXP MMHB 11-25'!E9</f>
        <v>40000</v>
      </c>
      <c r="M20" s="1066">
        <f>+'CXP 11-25'!D11</f>
        <v>1531847.5699999998</v>
      </c>
      <c r="N20" s="1066">
        <f>+'Anticipos 11-25'!D3</f>
        <v>273000</v>
      </c>
      <c r="O20" s="1066">
        <f>+J20-L20-M20+N20</f>
        <v>22410736.050000001</v>
      </c>
      <c r="P20" s="1066">
        <f>I20-O20</f>
        <v>2005912.6499999985</v>
      </c>
      <c r="Q20" s="1066">
        <f>+G20-I20</f>
        <v>583351.30000000075</v>
      </c>
      <c r="R20" s="183"/>
      <c r="S20" s="184"/>
      <c r="T20" s="183"/>
      <c r="U20" s="183"/>
    </row>
    <row r="21" spans="2:21">
      <c r="B21" s="1044" t="s">
        <v>50</v>
      </c>
      <c r="C21" s="1023">
        <f>SUM('budget (11)'!D54)</f>
        <v>192383847</v>
      </c>
      <c r="D21" s="1065">
        <v>216565093</v>
      </c>
      <c r="E21" s="1065">
        <f>+'ADI 462 julio 25 '!D34</f>
        <v>226010945.55599999</v>
      </c>
      <c r="F21" s="1067">
        <f>+'ADI 462 AGO25'!D34</f>
        <v>229223672.65103999</v>
      </c>
      <c r="G21" s="1067">
        <f>+'ADI 09-25'!C34</f>
        <v>232739209.20512</v>
      </c>
      <c r="H21" s="1065">
        <f>G21/$H$3</f>
        <v>3815396.8722150819</v>
      </c>
      <c r="I21" s="1066">
        <f>+'Proc. 11-25'!C16</f>
        <v>3968048.34</v>
      </c>
      <c r="J21" s="1066">
        <f>+'Costos a Nov-25'!N50</f>
        <v>5900</v>
      </c>
      <c r="K21" s="1066">
        <f>+'Proc. 11-25'!F16</f>
        <v>3349823.34</v>
      </c>
      <c r="L21" s="1066"/>
      <c r="M21" s="1066"/>
      <c r="N21" s="1066"/>
      <c r="O21" s="1066">
        <f>+J21-L21-M21+N21</f>
        <v>5900</v>
      </c>
      <c r="P21" s="1066">
        <f>I21-O21</f>
        <v>3962148.34</v>
      </c>
      <c r="Q21" s="1066">
        <f>+G21-I21</f>
        <v>228771160.86511999</v>
      </c>
      <c r="R21" s="183"/>
      <c r="S21" s="184"/>
      <c r="T21" s="183"/>
      <c r="U21" s="183"/>
    </row>
    <row r="22" spans="2:21">
      <c r="B22" s="1044" t="s">
        <v>51</v>
      </c>
      <c r="C22" s="1023">
        <f>SUM('budget (11)'!D53)</f>
        <v>19238385</v>
      </c>
      <c r="D22" s="1065">
        <v>21656509</v>
      </c>
      <c r="E22" s="1065">
        <f>+'ADI 462 julio 25 '!D35</f>
        <v>19825521.539999999</v>
      </c>
      <c r="F22" s="1067">
        <f>+'ADI 462 AGO25'!D35</f>
        <v>19863403.175999999</v>
      </c>
      <c r="G22" s="1067">
        <f>+'ADI 09-25'!C35</f>
        <v>19863403.175999999</v>
      </c>
      <c r="H22" s="1065">
        <f>G22/$H$3</f>
        <v>325629.56026229507</v>
      </c>
      <c r="I22" s="1066">
        <f>+'Proc. 11-25'!C17</f>
        <v>0</v>
      </c>
      <c r="J22" s="1066">
        <f>+'Costos a Nov-25'!N48</f>
        <v>0</v>
      </c>
      <c r="K22" s="1066">
        <f>+'Flujo y Ejecución 10-25'!H31</f>
        <v>0</v>
      </c>
      <c r="L22" s="1066"/>
      <c r="M22" s="1066"/>
      <c r="N22" s="1066"/>
      <c r="O22" s="1066">
        <f>+J22-L22-M22+N22</f>
        <v>0</v>
      </c>
      <c r="P22" s="1066">
        <f>I22-O22</f>
        <v>0</v>
      </c>
      <c r="Q22" s="1066">
        <f>+G22-I22</f>
        <v>19863403.175999999</v>
      </c>
      <c r="R22" s="183"/>
      <c r="S22" s="184"/>
      <c r="T22" s="183"/>
      <c r="U22" s="183"/>
    </row>
    <row r="23" spans="2:21" ht="15" thickBot="1">
      <c r="B23" s="254" t="s">
        <v>52</v>
      </c>
      <c r="C23" s="665">
        <f t="shared" ref="C23:Q23" si="8">SUM(C19:C22)</f>
        <v>247412232</v>
      </c>
      <c r="D23" s="1063">
        <f t="shared" si="8"/>
        <v>289511602</v>
      </c>
      <c r="E23" s="1063">
        <f t="shared" ref="E23" si="9">SUM(E19:E22)</f>
        <v>301336467.09600002</v>
      </c>
      <c r="F23" s="1063">
        <f>SUM(F19:F22)</f>
        <v>304587075.82703996</v>
      </c>
      <c r="G23" s="1063">
        <f>SUM(G19:G22)</f>
        <v>308102612.38111997</v>
      </c>
      <c r="H23" s="1063">
        <f>SUM(H19:H22)</f>
        <v>5050862.4980511479</v>
      </c>
      <c r="I23" s="1064">
        <f>SUM(I19:I22)</f>
        <v>49356495.810000002</v>
      </c>
      <c r="J23" s="1064">
        <f t="shared" si="8"/>
        <v>41774802.640000001</v>
      </c>
      <c r="K23" s="1064">
        <f t="shared" ref="K23:L23" si="10">SUM(K19:K22)</f>
        <v>3627922.86</v>
      </c>
      <c r="L23" s="1064">
        <f t="shared" si="10"/>
        <v>40000</v>
      </c>
      <c r="M23" s="1064">
        <f>SUM(M19:M22)</f>
        <v>1824869.7899999998</v>
      </c>
      <c r="N23" s="1064">
        <f t="shared" si="8"/>
        <v>279671.88</v>
      </c>
      <c r="O23" s="1064">
        <f t="shared" si="8"/>
        <v>40189604.729999997</v>
      </c>
      <c r="P23" s="1064">
        <f t="shared" si="8"/>
        <v>9166891.0800000019</v>
      </c>
      <c r="Q23" s="1064">
        <f t="shared" si="8"/>
        <v>258746116.57111999</v>
      </c>
      <c r="R23" s="183"/>
      <c r="S23" s="184"/>
      <c r="T23" s="183"/>
      <c r="U23" s="183"/>
    </row>
    <row r="24" spans="2:21" ht="16.2" thickBot="1">
      <c r="B24" s="1041" t="s">
        <v>1156</v>
      </c>
      <c r="C24" s="1042">
        <f t="shared" ref="C24:H24" si="11">C5+C12+C18+C23</f>
        <v>2831861942.9499998</v>
      </c>
      <c r="D24" s="1068">
        <f t="shared" si="11"/>
        <v>3173098639</v>
      </c>
      <c r="E24" s="1043">
        <f t="shared" si="11"/>
        <v>3340495399.8006001</v>
      </c>
      <c r="F24" s="1043">
        <f t="shared" si="11"/>
        <v>3397764245.9037037</v>
      </c>
      <c r="G24" s="1043">
        <f t="shared" si="11"/>
        <v>3428528420.3315516</v>
      </c>
      <c r="H24" s="1043">
        <f t="shared" si="11"/>
        <v>56205383.939861506</v>
      </c>
      <c r="I24" s="1043">
        <f t="shared" ref="I24:Q24" si="12">I23+I18+I12+I5</f>
        <v>496401897.13</v>
      </c>
      <c r="J24" s="1043">
        <f t="shared" si="12"/>
        <v>462668237.79999995</v>
      </c>
      <c r="K24" s="1043">
        <f t="shared" si="12"/>
        <v>17919134.190000001</v>
      </c>
      <c r="L24" s="1043">
        <f t="shared" si="12"/>
        <v>382712.54999999993</v>
      </c>
      <c r="M24" s="1043">
        <f>M23+M18+M12+M5</f>
        <v>26101057.489999998</v>
      </c>
      <c r="N24" s="1043">
        <f t="shared" si="12"/>
        <v>13289917.609999999</v>
      </c>
      <c r="O24" s="1043">
        <f t="shared" si="12"/>
        <v>449474385.36999995</v>
      </c>
      <c r="P24" s="1043">
        <f t="shared" si="12"/>
        <v>45859449.680000007</v>
      </c>
      <c r="Q24" s="1043">
        <f t="shared" si="12"/>
        <v>2932126523.2015519</v>
      </c>
      <c r="R24" s="183"/>
      <c r="S24" s="184"/>
      <c r="T24" s="183"/>
      <c r="U24" s="183"/>
    </row>
    <row r="25" spans="2:21" ht="15" thickBot="1">
      <c r="E25" s="509"/>
      <c r="H25" s="509"/>
      <c r="I25" s="369"/>
      <c r="J25" s="369"/>
      <c r="K25" s="369"/>
      <c r="L25" s="369"/>
      <c r="M25" s="369"/>
      <c r="N25" s="369"/>
      <c r="O25" s="730"/>
      <c r="P25" s="320"/>
      <c r="Q25" s="320"/>
    </row>
    <row r="26" spans="2:21" ht="15" thickBot="1">
      <c r="D26" s="320"/>
      <c r="E26" s="320"/>
      <c r="H26" s="320"/>
      <c r="I26" s="368"/>
      <c r="J26" s="368"/>
      <c r="K26" s="368"/>
      <c r="L26" s="368"/>
      <c r="M26" s="434" t="s">
        <v>653</v>
      </c>
      <c r="N26" s="435">
        <f>+'BCE 07-25'!C45</f>
        <v>159695773.63999999</v>
      </c>
      <c r="O26" s="1016"/>
      <c r="P26" s="142"/>
      <c r="Q26" s="142"/>
      <c r="S26" s="186" t="s">
        <v>189</v>
      </c>
      <c r="T26" s="190">
        <v>2831861942.3920002</v>
      </c>
    </row>
    <row r="27" spans="2:21" ht="18.600000000000001" thickBot="1">
      <c r="B27" s="333" t="s">
        <v>1447</v>
      </c>
      <c r="C27" s="672">
        <v>3515158425</v>
      </c>
      <c r="D27" s="672">
        <f t="shared" ref="D27" si="13">+D14/0.08</f>
        <v>3851629175</v>
      </c>
      <c r="E27" s="672">
        <f>+E28*60</f>
        <v>3996000000</v>
      </c>
      <c r="H27" s="672"/>
      <c r="I27" s="368"/>
      <c r="J27" s="368"/>
      <c r="K27" s="368"/>
      <c r="L27" s="368"/>
      <c r="M27" s="586" t="s">
        <v>1157</v>
      </c>
      <c r="N27" s="587">
        <f>+'BCE 07-25'!C33</f>
        <v>48015000</v>
      </c>
      <c r="O27" s="1016"/>
      <c r="P27" s="1098"/>
      <c r="Q27" s="142"/>
      <c r="S27" s="186"/>
      <c r="T27" s="190"/>
    </row>
    <row r="28" spans="2:21" ht="15" thickBot="1">
      <c r="C28" s="370">
        <f>+C27/59</f>
        <v>59578956.355932206</v>
      </c>
      <c r="D28" s="370">
        <f>+D27/59</f>
        <v>65281850.423728816</v>
      </c>
      <c r="E28" s="370">
        <v>66600000</v>
      </c>
      <c r="H28" s="370"/>
      <c r="I28" s="474"/>
      <c r="M28" s="436" t="s">
        <v>654</v>
      </c>
      <c r="N28" s="437">
        <f>-'BCE 07-25'!C17</f>
        <v>-45448879.799999997</v>
      </c>
      <c r="O28" s="12"/>
      <c r="P28" s="320"/>
      <c r="Q28" s="320"/>
      <c r="S28" s="188" t="s">
        <v>190</v>
      </c>
      <c r="T28" s="189">
        <f>C24</f>
        <v>2831861942.9499998</v>
      </c>
    </row>
    <row r="29" spans="2:21" ht="15" thickBot="1">
      <c r="C29" s="489"/>
      <c r="D29" s="370"/>
      <c r="E29" s="370"/>
      <c r="H29" s="370"/>
      <c r="I29" s="474"/>
      <c r="M29" s="441" t="s">
        <v>655</v>
      </c>
      <c r="N29" s="442">
        <f>+'BCE 07-25'!C35+'BCE 07-25'!C36+'BCE 07-25'!C37+'BCE 07-25'!C38</f>
        <v>432311.75</v>
      </c>
      <c r="O29" s="445"/>
      <c r="P29" s="320"/>
      <c r="Q29" s="320"/>
      <c r="S29" s="187" t="s">
        <v>191</v>
      </c>
      <c r="T29" s="191">
        <f>T26-T28</f>
        <v>-0.55799961090087891</v>
      </c>
    </row>
    <row r="30" spans="2:21" ht="18.600000000000001" thickBot="1">
      <c r="B30" s="333" t="s">
        <v>1448</v>
      </c>
      <c r="C30" s="672">
        <f>+C27-C24</f>
        <v>683296482.05000019</v>
      </c>
      <c r="D30" s="672">
        <f t="shared" ref="D30" si="14">+D27-D24</f>
        <v>678530536</v>
      </c>
      <c r="E30" s="672">
        <f>+E27-E24</f>
        <v>655504600.19939995</v>
      </c>
      <c r="H30" s="672"/>
      <c r="I30" s="474"/>
      <c r="M30" s="441" t="s">
        <v>808</v>
      </c>
      <c r="N30" s="442">
        <f>+'BCE 07-25'!C34</f>
        <v>42907921.100000001</v>
      </c>
      <c r="O30" s="445"/>
      <c r="P30" s="320"/>
      <c r="Q30" s="320"/>
      <c r="S30" s="183"/>
      <c r="T30" s="508"/>
    </row>
    <row r="31" spans="2:21">
      <c r="C31" s="370">
        <f>+C30/59</f>
        <v>11581296.305932207</v>
      </c>
      <c r="D31" s="370">
        <f t="shared" ref="D31" si="15">+D30/59</f>
        <v>11500517.559322033</v>
      </c>
      <c r="E31" s="370">
        <f>+E30/60</f>
        <v>10925076.669989999</v>
      </c>
      <c r="H31" s="370"/>
      <c r="I31" s="474"/>
      <c r="M31" s="441"/>
      <c r="N31" s="442"/>
      <c r="O31" s="445"/>
      <c r="P31" s="320"/>
      <c r="Q31" s="320"/>
      <c r="S31" s="183"/>
      <c r="T31" s="508"/>
    </row>
    <row r="32" spans="2:21">
      <c r="C32" s="489"/>
      <c r="D32" s="370"/>
      <c r="E32" s="370"/>
      <c r="H32" s="370"/>
      <c r="I32" s="474"/>
      <c r="M32" s="441" t="s">
        <v>888</v>
      </c>
      <c r="N32" s="442">
        <f>+'CXP 07-25'!E13</f>
        <v>364684.38</v>
      </c>
      <c r="O32" s="445"/>
      <c r="P32" s="320"/>
      <c r="Q32" s="320"/>
      <c r="S32" s="183"/>
      <c r="T32" s="508"/>
    </row>
    <row r="33" spans="2:16" ht="15" thickBot="1">
      <c r="C33" s="369"/>
      <c r="D33" s="370"/>
      <c r="E33" s="370"/>
      <c r="H33" s="370"/>
      <c r="M33" s="438" t="s">
        <v>656</v>
      </c>
      <c r="N33" s="439">
        <f>SUM(N26:N32)</f>
        <v>205966811.06999996</v>
      </c>
      <c r="O33" s="445"/>
    </row>
    <row r="34" spans="2:16">
      <c r="C34" s="161"/>
      <c r="D34" s="370"/>
      <c r="E34" s="370"/>
      <c r="H34" s="370"/>
      <c r="M34" s="440" t="s">
        <v>657</v>
      </c>
      <c r="N34" s="445">
        <f>+O24</f>
        <v>449474385.36999995</v>
      </c>
    </row>
    <row r="35" spans="2:16">
      <c r="M35" s="443" t="s">
        <v>658</v>
      </c>
      <c r="N35" s="443">
        <f>+N33-N34</f>
        <v>-243507574.29999998</v>
      </c>
      <c r="O35" s="444">
        <f>+'BCE 07-25'!C46+'BCE 07-25'!C47</f>
        <v>953438.13</v>
      </c>
      <c r="P35" s="444">
        <f>+N35+O35</f>
        <v>-242554136.16999999</v>
      </c>
    </row>
    <row r="36" spans="2:16">
      <c r="B36" s="192"/>
      <c r="C36" s="192"/>
      <c r="D36" s="192"/>
      <c r="E36" s="192"/>
      <c r="F36" s="843"/>
      <c r="G36" s="843"/>
      <c r="H36" s="192"/>
      <c r="I36" s="192"/>
      <c r="J36" s="192"/>
      <c r="K36" s="192"/>
      <c r="L36" s="192"/>
      <c r="M36" s="192"/>
      <c r="N36" s="192"/>
      <c r="O36" s="192"/>
      <c r="P36" s="192"/>
    </row>
    <row r="38" spans="2:16">
      <c r="B38" s="254" t="s">
        <v>47</v>
      </c>
    </row>
    <row r="39" spans="2:16">
      <c r="B39" s="112" t="s">
        <v>48</v>
      </c>
    </row>
    <row r="40" spans="2:16">
      <c r="B40" s="115" t="s">
        <v>49</v>
      </c>
    </row>
    <row r="41" spans="2:16">
      <c r="B41" s="112" t="s">
        <v>50</v>
      </c>
    </row>
    <row r="42" spans="2:16">
      <c r="B42" s="115" t="s">
        <v>51</v>
      </c>
    </row>
    <row r="43" spans="2:16">
      <c r="B43" s="254" t="s">
        <v>52</v>
      </c>
    </row>
    <row r="44" spans="2:16" ht="18.600000000000001" thickBot="1">
      <c r="B44" s="333" t="s">
        <v>229</v>
      </c>
    </row>
    <row r="46" spans="2:16" ht="15" thickBot="1"/>
    <row r="47" spans="2:16">
      <c r="B47" s="335" t="s">
        <v>234</v>
      </c>
      <c r="C47" s="336">
        <v>160000000</v>
      </c>
      <c r="D47" s="336"/>
      <c r="E47" s="336"/>
      <c r="F47" s="844"/>
      <c r="G47" s="844"/>
      <c r="H47" s="336"/>
    </row>
    <row r="48" spans="2:16">
      <c r="B48" s="588" t="s">
        <v>1158</v>
      </c>
      <c r="C48" s="589">
        <v>22200000</v>
      </c>
      <c r="D48" s="589"/>
      <c r="E48" s="589"/>
      <c r="F48" s="845"/>
      <c r="G48" s="845"/>
      <c r="H48" s="589"/>
    </row>
    <row r="49" spans="2:8">
      <c r="B49" s="112" t="s">
        <v>153</v>
      </c>
      <c r="C49" s="403">
        <f>+O24+P24</f>
        <v>495333835.04999995</v>
      </c>
      <c r="D49" s="403"/>
      <c r="E49" s="403"/>
      <c r="F49" s="846"/>
      <c r="G49" s="846"/>
      <c r="H49" s="403">
        <f>C49/C47</f>
        <v>3.0958364690624998</v>
      </c>
    </row>
    <row r="50" spans="2:8" ht="15" thickBot="1">
      <c r="B50" s="339" t="s">
        <v>154</v>
      </c>
      <c r="C50" s="340">
        <f>+C47+C48-C49</f>
        <v>-313133835.04999995</v>
      </c>
      <c r="D50" s="340"/>
      <c r="E50" s="340"/>
      <c r="F50" s="847"/>
      <c r="G50" s="847"/>
      <c r="H50" s="340">
        <f>C50/C47</f>
        <v>-1.9570864690624996</v>
      </c>
    </row>
  </sheetData>
  <mergeCells count="11">
    <mergeCell ref="Q3:Q4"/>
    <mergeCell ref="R1:U2"/>
    <mergeCell ref="I3:I4"/>
    <mergeCell ref="J3:J4"/>
    <mergeCell ref="K3:K4"/>
    <mergeCell ref="L3:L4"/>
    <mergeCell ref="M3:M4"/>
    <mergeCell ref="N3:N4"/>
    <mergeCell ref="O3:O4"/>
    <mergeCell ref="P3:P4"/>
    <mergeCell ref="K2:N2"/>
  </mergeCells>
  <conditionalFormatting sqref="R6:R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R8:R9">
    <cfRule type="iconSet" priority="1">
      <iconSet iconSet="3Arrows">
        <cfvo type="percent" val="0"/>
        <cfvo type="percent" val="45"/>
        <cfvo type="percent" val="80"/>
      </iconSet>
    </cfRule>
  </conditionalFormatting>
  <conditionalFormatting sqref="R14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R16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R20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R22">
    <cfRule type="iconSet" priority="2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ignoredErrors>
    <ignoredError sqref="H12:Q12 H18:Q18" formula="1"/>
  </ignoredErrors>
  <drawing r:id="rId2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F366C-86CA-4AD1-BEDC-F9DB4D6B5707}">
  <dimension ref="B3:J42"/>
  <sheetViews>
    <sheetView showGridLines="0" topLeftCell="A15" zoomScaleNormal="100" workbookViewId="0">
      <selection activeCell="D17" sqref="D17"/>
    </sheetView>
  </sheetViews>
  <sheetFormatPr baseColWidth="10" defaultColWidth="11.44140625" defaultRowHeight="14.4"/>
  <cols>
    <col min="1" max="1" width="2.44140625" customWidth="1"/>
    <col min="2" max="2" width="30.88671875" bestFit="1" customWidth="1"/>
    <col min="3" max="3" width="20.6640625" style="731" customWidth="1"/>
    <col min="4" max="4" width="16.6640625" style="730" bestFit="1" customWidth="1"/>
    <col min="5" max="8" width="14.109375" style="730" bestFit="1" customWidth="1"/>
    <col min="9" max="9" width="14.5546875" style="731" bestFit="1" customWidth="1"/>
    <col min="10" max="10" width="20.6640625" bestFit="1" customWidth="1"/>
    <col min="11" max="12" width="12.33203125" bestFit="1" customWidth="1"/>
  </cols>
  <sheetData>
    <row r="3" spans="2:10" hidden="1">
      <c r="B3" s="142">
        <v>160000000</v>
      </c>
    </row>
    <row r="4" spans="2:10" ht="15" hidden="1" thickBot="1">
      <c r="B4" s="284" t="s">
        <v>259</v>
      </c>
    </row>
    <row r="5" spans="2:10" ht="15" hidden="1" thickBot="1">
      <c r="B5" s="284" t="s">
        <v>260</v>
      </c>
    </row>
    <row r="6" spans="2:10" ht="15.6" hidden="1" thickTop="1" thickBot="1">
      <c r="B6" s="285" t="s">
        <v>261</v>
      </c>
    </row>
    <row r="7" spans="2:10" ht="15.6" hidden="1" thickTop="1" thickBot="1">
      <c r="B7" s="285" t="s">
        <v>149</v>
      </c>
    </row>
    <row r="8" spans="2:10" ht="15.6" hidden="1" thickTop="1" thickBot="1">
      <c r="B8" s="285" t="s">
        <v>262</v>
      </c>
    </row>
    <row r="9" spans="2:10" hidden="1"/>
    <row r="10" spans="2:10" hidden="1"/>
    <row r="11" spans="2:10" hidden="1"/>
    <row r="12" spans="2:10" hidden="1"/>
    <row r="13" spans="2:10" hidden="1"/>
    <row r="14" spans="2:10" hidden="1"/>
    <row r="15" spans="2:10" ht="15" thickBot="1">
      <c r="C15" s="1154" t="s">
        <v>1286</v>
      </c>
      <c r="F15" s="733"/>
      <c r="G15" s="733"/>
    </row>
    <row r="16" spans="2:10" ht="16.2" thickBot="1">
      <c r="B16" s="676"/>
      <c r="C16" s="734" t="s">
        <v>2200</v>
      </c>
      <c r="D16" s="735">
        <v>45992</v>
      </c>
      <c r="E16" s="735">
        <v>46023</v>
      </c>
      <c r="F16" s="735">
        <v>46054</v>
      </c>
      <c r="G16" s="735">
        <v>46082</v>
      </c>
      <c r="H16" s="735">
        <v>46113</v>
      </c>
      <c r="I16" s="807" t="s">
        <v>1290</v>
      </c>
      <c r="J16" s="732"/>
    </row>
    <row r="17" spans="2:10" ht="16.2" thickBot="1">
      <c r="B17" s="736" t="s">
        <v>1291</v>
      </c>
      <c r="C17" s="737">
        <f>+'BCE 11-25'!C34+'BCE 11-25'!E33+'BCE 11-25'!C33</f>
        <v>109678230.48999999</v>
      </c>
      <c r="D17" s="737">
        <f>+'Proyección de Ventas y Comision'!G8</f>
        <v>17868882.98</v>
      </c>
      <c r="E17" s="737">
        <f>+'Proyección de Ventas y Comision'!H8</f>
        <v>18765790.48</v>
      </c>
      <c r="F17" s="737">
        <f>+'Proyección de Ventas y Comision'!I8</f>
        <v>20809928.620000001</v>
      </c>
      <c r="G17" s="737">
        <f>+'Proyección de Ventas y Comision'!J8</f>
        <v>21442474.32</v>
      </c>
      <c r="H17" s="737">
        <v>19000000</v>
      </c>
      <c r="I17" s="808">
        <f>SUM(C17:H17)</f>
        <v>207565306.88999999</v>
      </c>
    </row>
    <row r="18" spans="2:10" ht="15.6" hidden="1">
      <c r="B18" s="681" t="s">
        <v>2097</v>
      </c>
      <c r="C18" s="738"/>
      <c r="D18" s="738">
        <f>+C17+D17</f>
        <v>127547113.47</v>
      </c>
      <c r="E18" s="738">
        <f>+D18+E17</f>
        <v>146312903.94999999</v>
      </c>
      <c r="F18" s="738">
        <f t="shared" ref="F18:H18" si="0">+E18+F17</f>
        <v>167122832.56999999</v>
      </c>
      <c r="G18" s="738">
        <f t="shared" si="0"/>
        <v>188565306.88999999</v>
      </c>
      <c r="H18" s="738">
        <f t="shared" si="0"/>
        <v>207565306.88999999</v>
      </c>
      <c r="I18" s="809"/>
    </row>
    <row r="19" spans="2:10" ht="15.6" hidden="1">
      <c r="B19" s="681"/>
      <c r="C19" s="738"/>
      <c r="D19" s="738"/>
      <c r="E19" s="738">
        <f>+E18+E26</f>
        <v>191601322.48601997</v>
      </c>
      <c r="F19" s="738">
        <f>+F18+F26</f>
        <v>205804034.32602</v>
      </c>
      <c r="G19" s="738">
        <f>+G18+G26</f>
        <v>222275185.51101997</v>
      </c>
      <c r="H19" s="738">
        <f>+H18+H26</f>
        <v>239365875.11101997</v>
      </c>
      <c r="I19" s="809"/>
    </row>
    <row r="20" spans="2:10" ht="15.6">
      <c r="B20" s="681" t="s">
        <v>1616</v>
      </c>
      <c r="C20" s="738">
        <v>330000000</v>
      </c>
      <c r="D20" s="739"/>
      <c r="E20" s="739"/>
      <c r="F20" s="739"/>
      <c r="G20" s="739"/>
      <c r="H20" s="739"/>
      <c r="I20" s="809">
        <f>SUM(C20:H20)</f>
        <v>330000000</v>
      </c>
    </row>
    <row r="21" spans="2:10" ht="15.6">
      <c r="B21" s="681" t="s">
        <v>2005</v>
      </c>
      <c r="C21" s="738">
        <f>+'Préstamos 11-25'!H6</f>
        <v>100000000</v>
      </c>
      <c r="D21" s="739"/>
      <c r="E21" s="739"/>
      <c r="F21" s="739"/>
      <c r="G21" s="739"/>
      <c r="H21" s="739"/>
      <c r="I21" s="809">
        <f t="shared" ref="I21:I25" si="1">SUM(C21:H21)</f>
        <v>100000000</v>
      </c>
    </row>
    <row r="22" spans="2:10" ht="15.6" hidden="1">
      <c r="B22" s="681"/>
      <c r="C22" s="738"/>
      <c r="D22" s="739">
        <f>+C21+D21</f>
        <v>100000000</v>
      </c>
      <c r="E22" s="739">
        <f>+D22+E21</f>
        <v>100000000</v>
      </c>
      <c r="F22" s="739">
        <f t="shared" ref="F22:H22" si="2">+E22+F21</f>
        <v>100000000</v>
      </c>
      <c r="G22" s="739">
        <f t="shared" si="2"/>
        <v>100000000</v>
      </c>
      <c r="H22" s="739">
        <f t="shared" si="2"/>
        <v>100000000</v>
      </c>
      <c r="I22" s="809">
        <f>+I21</f>
        <v>100000000</v>
      </c>
    </row>
    <row r="23" spans="2:10" ht="15.6">
      <c r="B23" s="681" t="s">
        <v>1617</v>
      </c>
      <c r="C23" s="738">
        <f>+'Préstamos 11-25'!H4+'Préstamos 11-25'!H5</f>
        <v>49200000</v>
      </c>
      <c r="D23" s="739"/>
      <c r="E23" s="739"/>
      <c r="F23" s="739"/>
      <c r="G23" s="738"/>
      <c r="H23" s="739"/>
      <c r="I23" s="809">
        <f t="shared" si="1"/>
        <v>49200000</v>
      </c>
      <c r="J23" s="732"/>
    </row>
    <row r="24" spans="2:10" ht="15.6">
      <c r="B24" s="681" t="s">
        <v>1618</v>
      </c>
      <c r="C24" s="738">
        <f>+'Préstamos 11-25'!J4+'Préstamos 11-25'!J5</f>
        <v>-5000000</v>
      </c>
      <c r="D24" s="739">
        <v>-44200000</v>
      </c>
      <c r="E24" s="739"/>
      <c r="F24" s="739"/>
      <c r="G24" s="738"/>
      <c r="H24" s="739"/>
      <c r="I24" s="809">
        <f t="shared" si="1"/>
        <v>-49200000</v>
      </c>
      <c r="J24" s="732"/>
    </row>
    <row r="25" spans="2:10" ht="15.6" hidden="1">
      <c r="B25" s="681"/>
      <c r="C25" s="738"/>
      <c r="D25" s="739">
        <f>+C23+D23+D20+C24</f>
        <v>44200000</v>
      </c>
      <c r="E25" s="739">
        <f>+D25+E20+D24</f>
        <v>0</v>
      </c>
      <c r="F25" s="739">
        <f>+E25+F20+F24</f>
        <v>0</v>
      </c>
      <c r="G25" s="739">
        <f>+F25+G23+G24</f>
        <v>0</v>
      </c>
      <c r="H25" s="739"/>
      <c r="I25" s="809">
        <f t="shared" si="1"/>
        <v>44200000</v>
      </c>
    </row>
    <row r="26" spans="2:10" ht="15.6">
      <c r="B26" s="681" t="s">
        <v>266</v>
      </c>
      <c r="C26" s="738">
        <f>+C20+C21+C23-C27+C24</f>
        <v>24725614.629999995</v>
      </c>
      <c r="D26" s="739">
        <f>+C26+D21+D24-D27+C17+D17</f>
        <v>56685561.506019995</v>
      </c>
      <c r="E26" s="739">
        <f>+D26+E21+E24-E27+E17</f>
        <v>45288418.536019996</v>
      </c>
      <c r="F26" s="739">
        <f>+E26+F21+F24-F27+F17</f>
        <v>38681201.756019995</v>
      </c>
      <c r="G26" s="739">
        <f t="shared" ref="G26:H26" si="3">+F26+G21+G24-G27+G17</f>
        <v>33709878.621019997</v>
      </c>
      <c r="H26" s="739">
        <f t="shared" si="3"/>
        <v>31800568.221019998</v>
      </c>
      <c r="I26" s="809">
        <f>+H26</f>
        <v>31800568.221019998</v>
      </c>
      <c r="J26" s="732"/>
    </row>
    <row r="27" spans="2:10" ht="15.6">
      <c r="B27" s="740" t="s">
        <v>267</v>
      </c>
      <c r="C27" s="741">
        <f t="shared" ref="C27:H27" si="4">SUM(C28:C42)</f>
        <v>449474385.37</v>
      </c>
      <c r="D27" s="741">
        <f t="shared" si="4"/>
        <v>51387166.593979999</v>
      </c>
      <c r="E27" s="741">
        <f t="shared" si="4"/>
        <v>30162933.450000003</v>
      </c>
      <c r="F27" s="741">
        <f t="shared" si="4"/>
        <v>27417145.400000002</v>
      </c>
      <c r="G27" s="741">
        <f t="shared" si="4"/>
        <v>26413797.454999998</v>
      </c>
      <c r="H27" s="741">
        <f t="shared" si="4"/>
        <v>20909310.399999999</v>
      </c>
      <c r="I27" s="810">
        <f>SUM(C27:H27)</f>
        <v>605764738.66898</v>
      </c>
      <c r="J27" s="732"/>
    </row>
    <row r="28" spans="2:10" ht="15.6">
      <c r="B28" s="694" t="s">
        <v>33</v>
      </c>
      <c r="C28" s="743">
        <f>+'PRESENTACIÓN 11-25'!O5</f>
        <v>264445080.15999997</v>
      </c>
      <c r="D28" s="742">
        <v>0</v>
      </c>
      <c r="E28" s="742">
        <v>0</v>
      </c>
      <c r="F28" s="742">
        <v>0</v>
      </c>
      <c r="G28" s="742">
        <v>0</v>
      </c>
      <c r="H28" s="742">
        <v>0</v>
      </c>
      <c r="I28" s="811">
        <f t="shared" ref="I28:I41" si="5">SUM(C28:H28)</f>
        <v>264445080.15999997</v>
      </c>
      <c r="J28" s="732"/>
    </row>
    <row r="29" spans="2:10" ht="15.6">
      <c r="B29" s="697" t="s">
        <v>49</v>
      </c>
      <c r="C29" s="738">
        <f>+'PRESENTACIÓN 11-25'!O20</f>
        <v>22410736.050000001</v>
      </c>
      <c r="D29" s="739">
        <f>+'Compromisos 11-25'!F11</f>
        <v>1531847.5699999998</v>
      </c>
      <c r="E29" s="739">
        <f>+'Compromisos 11-25'!G11</f>
        <v>0</v>
      </c>
      <c r="F29" s="739">
        <f>+'Compromisos 11-25'!H11</f>
        <v>0</v>
      </c>
      <c r="G29" s="739">
        <f>+'Compromisos 11-25'!I11</f>
        <v>0</v>
      </c>
      <c r="H29" s="739">
        <f>+'Compromisos 11-25'!J11</f>
        <v>0</v>
      </c>
      <c r="I29" s="809">
        <f t="shared" si="5"/>
        <v>23942583.620000001</v>
      </c>
      <c r="J29" s="732"/>
    </row>
    <row r="30" spans="2:10" ht="15.6">
      <c r="B30" s="697" t="s">
        <v>717</v>
      </c>
      <c r="C30" s="743">
        <f>+'PRESENTACIÓN 11-25'!O19</f>
        <v>17772968.679999996</v>
      </c>
      <c r="D30" s="742">
        <f>+'Compromisos 11-25'!F153</f>
        <v>4489193.16</v>
      </c>
      <c r="E30" s="742">
        <f>+'Compromisos 11-25'!G153</f>
        <v>753623.05</v>
      </c>
      <c r="F30" s="742">
        <f>+'Compromisos 11-25'!H153</f>
        <v>357835</v>
      </c>
      <c r="G30" s="742">
        <f>+'Compromisos 11-25'!I153</f>
        <v>715670</v>
      </c>
      <c r="H30" s="742">
        <f>+'Compromisos 11-25'!J153</f>
        <v>0</v>
      </c>
      <c r="I30" s="811">
        <f t="shared" si="5"/>
        <v>24089289.889999997</v>
      </c>
      <c r="J30" s="732"/>
    </row>
    <row r="31" spans="2:10" ht="15.6">
      <c r="B31" s="697" t="s">
        <v>1764</v>
      </c>
      <c r="C31" s="738">
        <f>+'PRESENTACIÓN 11-25'!O6</f>
        <v>30120421.790000003</v>
      </c>
      <c r="D31" s="739">
        <f>+'Compromisos 11-25'!F23</f>
        <v>4559041.4000000004</v>
      </c>
      <c r="E31" s="739">
        <f>+'Compromisos 11-25'!G23</f>
        <v>3125000</v>
      </c>
      <c r="F31" s="739">
        <f>+'Compromisos 11-25'!H23</f>
        <v>2325000</v>
      </c>
      <c r="G31" s="739">
        <f>+'Compromisos 11-25'!I23</f>
        <v>825000</v>
      </c>
      <c r="H31" s="739">
        <f>+'Compromisos 11-25'!J23</f>
        <v>175000</v>
      </c>
      <c r="I31" s="809">
        <f t="shared" si="5"/>
        <v>41129463.190000005</v>
      </c>
      <c r="J31" s="732"/>
    </row>
    <row r="32" spans="2:10" ht="15.6">
      <c r="B32" s="697" t="s">
        <v>1765</v>
      </c>
      <c r="C32" s="738">
        <f>+'PRESENTACIÓN 11-25'!O7</f>
        <v>0</v>
      </c>
      <c r="D32" s="739">
        <f>+'Compromisos 11-25'!F28</f>
        <v>3075000</v>
      </c>
      <c r="E32" s="739">
        <f>+'Compromisos 11-25'!G28</f>
        <v>5725000</v>
      </c>
      <c r="F32" s="739">
        <f>+'Compromisos 11-25'!H28</f>
        <v>4175000</v>
      </c>
      <c r="G32" s="739">
        <f>+'Compromisos 11-25'!I28</f>
        <v>175000</v>
      </c>
      <c r="H32" s="739">
        <f>+'Compromisos 11-25'!J28</f>
        <v>175000</v>
      </c>
      <c r="I32" s="809">
        <f t="shared" si="5"/>
        <v>13325000</v>
      </c>
    </row>
    <row r="33" spans="2:10" ht="15.6">
      <c r="B33" s="697" t="s">
        <v>40</v>
      </c>
      <c r="C33" s="738">
        <f>+'PRESENTACIÓN 11-25'!O10</f>
        <v>421127.79000000004</v>
      </c>
      <c r="D33" s="739">
        <f>+'Compromisos 11-25'!F42+'Compromisos 11-25'!F48+'Compromisos 11-25'!F54</f>
        <v>431171.86</v>
      </c>
      <c r="E33" s="739">
        <f>+'Compromisos 11-25'!G42+'Compromisos 11-25'!G48+'Compromisos 11-25'!G54</f>
        <v>300000</v>
      </c>
      <c r="F33" s="739">
        <f>+'Compromisos 11-25'!H42+'Compromisos 11-25'!H48+'Compromisos 11-25'!H54</f>
        <v>300000</v>
      </c>
      <c r="G33" s="739">
        <f>+'Compromisos 11-25'!I42+'Compromisos 11-25'!I48+'Compromisos 11-25'!I54</f>
        <v>300000</v>
      </c>
      <c r="H33" s="739">
        <f>+'Compromisos 11-25'!J42+'Compromisos 11-25'!J48+'Compromisos 11-25'!J54</f>
        <v>300000</v>
      </c>
      <c r="I33" s="809">
        <f>SUM(C33:H33)</f>
        <v>2052299.65</v>
      </c>
      <c r="J33">
        <v>1746009.99</v>
      </c>
    </row>
    <row r="34" spans="2:10" ht="15.6">
      <c r="B34" s="697" t="s">
        <v>2016</v>
      </c>
      <c r="C34" s="743">
        <f>+'PRESENTACIÓN 11-25'!O16</f>
        <v>22927895.299999997</v>
      </c>
      <c r="D34" s="742">
        <f>+'Compromisos 11-25'!F104+'Compromisos 11-25'!F110+'Compromisos 11-25'!F115+'Compromisos 11-25'!F124+'Compromisos 11-25'!F130+'Compromisos 11-25'!F136+'Compromisos 11-25'!F143</f>
        <v>2311002.25</v>
      </c>
      <c r="E34" s="742">
        <f>+'Compromisos 11-25'!G104+'Compromisos 11-25'!G110+'Compromisos 11-25'!G115+'Compromisos 11-25'!G124+'Compromisos 11-25'!G130+'Compromisos 11-25'!G136+'Compromisos 11-25'!G143</f>
        <v>984946.1</v>
      </c>
      <c r="F34" s="742">
        <f>+'Compromisos 11-25'!H104+'Compromisos 11-25'!H110+'Compromisos 11-25'!H115+'Compromisos 11-25'!H124+'Compromisos 11-25'!H130+'Compromisos 11-25'!H136+'Compromisos 11-25'!H143</f>
        <v>984946.1</v>
      </c>
      <c r="G34" s="742">
        <f>+'Compromisos 11-25'!I104+'Compromisos 11-25'!I110+'Compromisos 11-25'!I115+'Compromisos 11-25'!I124+'Compromisos 11-25'!I130+'Compromisos 11-25'!I136+'Compromisos 11-25'!I143</f>
        <v>984946.1</v>
      </c>
      <c r="H34" s="742">
        <f>+'Compromisos 11-25'!J104+'Compromisos 11-25'!J110+'Compromisos 11-25'!J115+'Compromisos 11-25'!J124+'Compromisos 11-25'!J130+'Compromisos 11-25'!J136+'Compromisos 11-25'!J143</f>
        <v>984946.1</v>
      </c>
      <c r="I34" s="811">
        <f t="shared" si="5"/>
        <v>29178681.950000003</v>
      </c>
      <c r="J34">
        <f>+C17/J33</f>
        <v>62.816496536769527</v>
      </c>
    </row>
    <row r="35" spans="2:10" s="747" customFormat="1" ht="15.6">
      <c r="B35" s="744" t="s">
        <v>672</v>
      </c>
      <c r="C35" s="746">
        <f>+'PRESENTACIÓN 11-25'!O15</f>
        <v>2300022.1299999994</v>
      </c>
      <c r="D35" s="745">
        <f>+'Compromisos 11-25'!F100</f>
        <v>324273.21000000002</v>
      </c>
      <c r="E35" s="745">
        <f>+'Compromisos 11-25'!G100</f>
        <v>250000</v>
      </c>
      <c r="F35" s="745">
        <f>+'Compromisos 11-25'!H100</f>
        <v>250000</v>
      </c>
      <c r="G35" s="745">
        <f>+'Compromisos 11-25'!I100</f>
        <v>250000</v>
      </c>
      <c r="H35" s="745">
        <f>+'Compromisos 11-25'!J100</f>
        <v>250000</v>
      </c>
      <c r="I35" s="812">
        <f t="shared" si="5"/>
        <v>3624295.3399999994</v>
      </c>
    </row>
    <row r="36" spans="2:10" s="747" customFormat="1" ht="15.6">
      <c r="B36" s="703" t="s">
        <v>767</v>
      </c>
      <c r="C36" s="749">
        <f>+'PRESENTACIÓN 11-25'!O8</f>
        <v>20588266.32</v>
      </c>
      <c r="D36" s="750">
        <f>+'Compromisos 11-25'!F37</f>
        <v>5538040.04</v>
      </c>
      <c r="E36" s="750">
        <f>+'Compromisos 11-25'!G37</f>
        <v>2360000</v>
      </c>
      <c r="F36" s="750">
        <f>+'Compromisos 11-25'!H37</f>
        <v>2360000</v>
      </c>
      <c r="G36" s="750">
        <f>+'Compromisos 11-25'!I37</f>
        <v>2360000</v>
      </c>
      <c r="H36" s="750">
        <f>+'Compromisos 11-25'!J37</f>
        <v>2360000</v>
      </c>
      <c r="I36" s="813">
        <f t="shared" si="5"/>
        <v>35566306.359999999</v>
      </c>
    </row>
    <row r="37" spans="2:10" s="747" customFormat="1" ht="15.6">
      <c r="B37" s="703" t="s">
        <v>1607</v>
      </c>
      <c r="C37" s="749">
        <f>+'PRESENTACIÓN 11-25'!O9</f>
        <v>452830.81999999983</v>
      </c>
      <c r="D37" s="750">
        <f>+'Compromisos 11-25'!F61</f>
        <v>1575026.3800000001</v>
      </c>
      <c r="E37" s="750">
        <f>+'Compromisos 11-25'!G61</f>
        <v>506964.3</v>
      </c>
      <c r="F37" s="750">
        <f>+'Compromisos 11-25'!H61</f>
        <v>506964.3</v>
      </c>
      <c r="G37" s="750">
        <f>+'Compromisos 11-25'!I61</f>
        <v>506964.3</v>
      </c>
      <c r="H37" s="750">
        <f>+'Compromisos 11-25'!J61</f>
        <v>506964.3</v>
      </c>
      <c r="I37" s="814">
        <f>SUM(C37:H37)</f>
        <v>4055714.3999999994</v>
      </c>
      <c r="J37" s="1398"/>
    </row>
    <row r="38" spans="2:10" s="747" customFormat="1" ht="15.6">
      <c r="B38" s="703" t="s">
        <v>768</v>
      </c>
      <c r="C38" s="748">
        <f>+'PRESENTACIÓN 11-25'!O13</f>
        <v>12551175.969999999</v>
      </c>
      <c r="D38" s="751">
        <f>+'Compromisos 11-25'!F66</f>
        <v>3540000</v>
      </c>
      <c r="E38" s="751">
        <f>+'Compromisos 11-25'!G66</f>
        <v>1770000</v>
      </c>
      <c r="F38" s="751">
        <f>+'Compromisos 11-25'!H66</f>
        <v>1770000</v>
      </c>
      <c r="G38" s="751">
        <f>+'Compromisos 11-25'!I66</f>
        <v>1770000</v>
      </c>
      <c r="H38" s="751">
        <f>+'Compromisos 11-25'!J66</f>
        <v>1770000</v>
      </c>
      <c r="I38" s="814">
        <f t="shared" si="5"/>
        <v>23171175.969999999</v>
      </c>
      <c r="J38" s="1398"/>
    </row>
    <row r="39" spans="2:10" s="747" customFormat="1" ht="15.6">
      <c r="B39" s="703" t="s">
        <v>1451</v>
      </c>
      <c r="C39" s="749">
        <f>+'Costos a Nov-25'!N29+'Costos a Nov-25'!N30-'CXP 11-25'!D66-'CXP 11-25'!D73</f>
        <v>8724424.2000000011</v>
      </c>
      <c r="D39" s="750">
        <f>+'Compromisos 11-25'!F86+'Compromisos 11-25'!F95</f>
        <v>2857729.2399999998</v>
      </c>
      <c r="E39" s="750">
        <f>+'Compromisos 11-25'!G86+'Compromisos 11-25'!G95</f>
        <v>1425000</v>
      </c>
      <c r="F39" s="750">
        <f>+'Compromisos 11-25'!H86+'Compromisos 11-25'!H95</f>
        <v>1425000</v>
      </c>
      <c r="G39" s="750">
        <f>+'Compromisos 11-25'!I86+'Compromisos 11-25'!I95</f>
        <v>1425000</v>
      </c>
      <c r="H39" s="750">
        <f>+'Compromisos 11-25'!J86+'Compromisos 11-25'!J95</f>
        <v>1425000</v>
      </c>
      <c r="I39" s="813">
        <f t="shared" si="5"/>
        <v>17282153.440000001</v>
      </c>
      <c r="J39" s="1398"/>
    </row>
    <row r="40" spans="2:10" s="747" customFormat="1" ht="15.6">
      <c r="B40" s="752" t="s">
        <v>962</v>
      </c>
      <c r="C40" s="748">
        <f>+'Costos a Nov-25'!N28-'CXP 11-25'!D62</f>
        <v>5369000</v>
      </c>
      <c r="D40" s="751">
        <f>+'Compromisos 11-25'!F81</f>
        <v>1534000</v>
      </c>
      <c r="E40" s="751">
        <f>+'Compromisos 11-25'!G81</f>
        <v>767000</v>
      </c>
      <c r="F40" s="751">
        <f>+'Compromisos 11-25'!H81</f>
        <v>767000</v>
      </c>
      <c r="G40" s="751">
        <f>+'Compromisos 11-25'!I81</f>
        <v>767000</v>
      </c>
      <c r="H40" s="751">
        <f>+'Compromisos 11-25'!J81</f>
        <v>767000</v>
      </c>
      <c r="I40" s="814">
        <f t="shared" si="5"/>
        <v>9971000</v>
      </c>
      <c r="J40" s="1398"/>
    </row>
    <row r="41" spans="2:10" ht="15.6">
      <c r="B41" s="752" t="s">
        <v>770</v>
      </c>
      <c r="C41" s="743">
        <f>+'Costos a Nov-25'!N27-'CXP 11-25'!D58</f>
        <v>41384536.160000004</v>
      </c>
      <c r="D41" s="742">
        <f>+'Compromisos 11-25'!F76</f>
        <v>15314461.313980002</v>
      </c>
      <c r="E41" s="742">
        <f>+'Compromisos 11-25'!G76</f>
        <v>12195400.000000002</v>
      </c>
      <c r="F41" s="742">
        <f>+'Compromisos 11-25'!H76</f>
        <v>12195400.000000002</v>
      </c>
      <c r="G41" s="742">
        <f>+'Compromisos 11-25'!I76</f>
        <v>12195400.000000002</v>
      </c>
      <c r="H41" s="742">
        <f>+'Compromisos 11-25'!J76</f>
        <v>12195400.000000002</v>
      </c>
      <c r="I41" s="811">
        <f t="shared" si="5"/>
        <v>105480597.47398001</v>
      </c>
    </row>
    <row r="42" spans="2:10" ht="16.2" thickBot="1">
      <c r="B42" s="756" t="s">
        <v>50</v>
      </c>
      <c r="C42" s="1600">
        <f>+'PRESENTACIÓN 11-25'!O21</f>
        <v>5900</v>
      </c>
      <c r="D42" s="1397">
        <f>+'Intereses 11-25'!X14</f>
        <v>4306380.1700000009</v>
      </c>
      <c r="E42" s="1397"/>
      <c r="F42" s="1397"/>
      <c r="G42" s="1397">
        <f>+'Intereses 11-25'!X15+'Intereses 11-25'!X16</f>
        <v>4138817.0549999997</v>
      </c>
      <c r="H42" s="1397"/>
      <c r="I42" s="1599">
        <f>SUM(C42:G42)</f>
        <v>8451097.2250000015</v>
      </c>
    </row>
  </sheetData>
  <pageMargins left="0.7" right="0.7" top="0.75" bottom="0.75" header="0.3" footer="0.3"/>
  <ignoredErrors>
    <ignoredError sqref="I26" formula="1"/>
  </ignoredError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320E5-D3E6-4772-BFDE-7F9F3F1C71D4}">
  <dimension ref="A1:G19"/>
  <sheetViews>
    <sheetView zoomScale="85" zoomScaleNormal="85" workbookViewId="0">
      <selection activeCell="F7" sqref="F7"/>
    </sheetView>
  </sheetViews>
  <sheetFormatPr baseColWidth="10" defaultColWidth="11.5546875" defaultRowHeight="14.4"/>
  <cols>
    <col min="1" max="1" width="37.109375" style="455" bestFit="1" customWidth="1"/>
    <col min="2" max="2" width="23.6640625" style="1470" customWidth="1"/>
    <col min="3" max="3" width="22.33203125" style="1470" customWidth="1"/>
    <col min="4" max="4" width="26.44140625" style="1470" bestFit="1" customWidth="1"/>
    <col min="5" max="5" width="15.33203125" style="1470" bestFit="1" customWidth="1"/>
    <col min="6" max="6" width="16.33203125" style="1470" customWidth="1"/>
    <col min="7" max="7" width="17.109375" style="1470" bestFit="1" customWidth="1"/>
    <col min="8" max="16384" width="11.5546875" style="455"/>
  </cols>
  <sheetData>
    <row r="1" spans="1:6" ht="19.95" customHeight="1">
      <c r="A1" s="1408" t="s">
        <v>458</v>
      </c>
      <c r="B1" s="1469" t="s">
        <v>849</v>
      </c>
      <c r="C1" s="1469" t="s">
        <v>850</v>
      </c>
      <c r="D1" s="1469" t="s">
        <v>851</v>
      </c>
      <c r="E1" s="1469"/>
    </row>
    <row r="2" spans="1:6" s="1472" customFormat="1" ht="19.95" customHeight="1">
      <c r="A2" s="455" t="s">
        <v>65</v>
      </c>
      <c r="B2" s="1471">
        <v>106933000</v>
      </c>
      <c r="C2" s="1471">
        <v>264445080.16</v>
      </c>
      <c r="D2" s="1471">
        <v>264445081.16</v>
      </c>
      <c r="E2" s="1471"/>
      <c r="F2" s="1473"/>
    </row>
    <row r="3" spans="1:6" ht="19.95" customHeight="1">
      <c r="A3" s="455" t="s">
        <v>1662</v>
      </c>
      <c r="B3" s="1471">
        <v>25000000</v>
      </c>
      <c r="C3" s="1471">
        <v>24418753.809999999</v>
      </c>
      <c r="D3" s="1471">
        <v>23983270.809999999</v>
      </c>
      <c r="E3" s="1471"/>
      <c r="F3" s="1470">
        <v>278099.52</v>
      </c>
    </row>
    <row r="4" spans="1:6" ht="19.95" customHeight="1">
      <c r="A4" s="455" t="s">
        <v>78</v>
      </c>
      <c r="B4" s="1471">
        <v>469787395.51000005</v>
      </c>
      <c r="C4" s="1471">
        <v>34260105.009999998</v>
      </c>
      <c r="D4" s="1471">
        <v>34011769.700000003</v>
      </c>
      <c r="E4" s="1471"/>
    </row>
    <row r="5" spans="1:6" ht="19.95" customHeight="1">
      <c r="A5" s="455" t="s">
        <v>90</v>
      </c>
      <c r="B5" s="1471">
        <v>1517615075.7500005</v>
      </c>
      <c r="C5" s="1471">
        <v>1410570.24</v>
      </c>
      <c r="D5" s="1471">
        <v>991237.18</v>
      </c>
      <c r="E5" s="1471"/>
    </row>
    <row r="6" spans="1:6" ht="19.95" customHeight="1">
      <c r="A6" s="455" t="s">
        <v>105</v>
      </c>
      <c r="B6" s="1471">
        <v>198740247.96000001</v>
      </c>
      <c r="C6" s="1471">
        <v>25848093.649999999</v>
      </c>
      <c r="D6" s="1471">
        <v>25831306.359999999</v>
      </c>
      <c r="E6" s="1471"/>
    </row>
    <row r="7" spans="1:6" ht="19.95" customHeight="1">
      <c r="A7" s="455" t="s">
        <v>108</v>
      </c>
      <c r="B7" s="1471">
        <v>47896399.740000002</v>
      </c>
      <c r="C7" s="1471">
        <v>945000.45</v>
      </c>
      <c r="D7" s="1471">
        <v>945000.45</v>
      </c>
      <c r="E7" s="1471"/>
    </row>
    <row r="8" spans="1:6" ht="19.95" customHeight="1">
      <c r="A8" s="455" t="s">
        <v>816</v>
      </c>
      <c r="B8" s="1471">
        <v>39748049.590000004</v>
      </c>
      <c r="C8" s="1471">
        <v>0</v>
      </c>
      <c r="D8" s="1471">
        <v>0</v>
      </c>
      <c r="E8" s="1471"/>
    </row>
    <row r="9" spans="1:6" ht="19.95" customHeight="1">
      <c r="A9" s="455" t="s">
        <v>1458</v>
      </c>
      <c r="B9" s="1471">
        <v>17866748.260000002</v>
      </c>
      <c r="C9" s="1471">
        <v>2027857.2</v>
      </c>
      <c r="D9" s="1471">
        <v>2027857.2</v>
      </c>
      <c r="E9" s="1471"/>
    </row>
    <row r="10" spans="1:6" ht="19.95" customHeight="1">
      <c r="A10" s="455" t="s">
        <v>112</v>
      </c>
      <c r="B10" s="1471">
        <v>158992198.37</v>
      </c>
      <c r="C10" s="1471">
        <v>16091175.970000001</v>
      </c>
      <c r="D10" s="1471">
        <v>16091175.970000001</v>
      </c>
      <c r="E10" s="1471"/>
    </row>
    <row r="11" spans="1:6" ht="19.95" customHeight="1">
      <c r="A11" s="455" t="s">
        <v>115</v>
      </c>
      <c r="B11" s="1471">
        <v>329908811.24000001</v>
      </c>
      <c r="C11" s="1471">
        <v>75937988.409999996</v>
      </c>
      <c r="D11" s="1471">
        <v>75937988.409999996</v>
      </c>
      <c r="E11" s="1471"/>
    </row>
    <row r="12" spans="1:6" ht="19.95" customHeight="1">
      <c r="A12" s="455" t="s">
        <v>119</v>
      </c>
      <c r="B12" s="1471">
        <v>80207886.760000005</v>
      </c>
      <c r="C12" s="1471">
        <v>2561939.65</v>
      </c>
      <c r="D12" s="1471">
        <v>2561939.65</v>
      </c>
      <c r="E12" s="1471"/>
    </row>
    <row r="13" spans="1:6" ht="19.95" customHeight="1">
      <c r="A13" s="455" t="s">
        <v>122</v>
      </c>
      <c r="B13" s="1471">
        <v>69559086.769999996</v>
      </c>
      <c r="C13" s="1471">
        <v>26411333.16</v>
      </c>
      <c r="D13" s="1471">
        <v>25398992.379999999</v>
      </c>
      <c r="E13" s="1471"/>
    </row>
    <row r="14" spans="1:6" ht="19.95" customHeight="1">
      <c r="A14" s="455" t="s">
        <v>126</v>
      </c>
      <c r="B14" s="1471">
        <v>19874021.48</v>
      </c>
      <c r="C14" s="1471">
        <v>0</v>
      </c>
      <c r="D14" s="1471">
        <v>0</v>
      </c>
      <c r="E14" s="1471"/>
    </row>
    <row r="15" spans="1:6" ht="19.95" customHeight="1">
      <c r="A15" s="455" t="s">
        <v>193</v>
      </c>
      <c r="B15" s="1471">
        <v>30500000</v>
      </c>
      <c r="C15" s="1471">
        <v>23517978.77</v>
      </c>
      <c r="D15" s="1471">
        <v>20612016.449999999</v>
      </c>
      <c r="E15" s="1471"/>
    </row>
    <row r="16" spans="1:6" ht="19.95" customHeight="1">
      <c r="A16" s="455" t="s">
        <v>136</v>
      </c>
      <c r="B16" s="1471">
        <v>229165392.31</v>
      </c>
      <c r="C16" s="1475">
        <v>4414348</v>
      </c>
      <c r="D16" s="1471">
        <v>4414348</v>
      </c>
      <c r="E16" s="1471"/>
    </row>
    <row r="17" spans="1:6" ht="19.95" customHeight="1">
      <c r="A17" s="455" t="s">
        <v>1663</v>
      </c>
      <c r="B17" s="1471">
        <v>19874024.48</v>
      </c>
      <c r="C17" s="1471">
        <v>0</v>
      </c>
      <c r="D17" s="1471">
        <v>0</v>
      </c>
      <c r="E17" s="1471"/>
    </row>
    <row r="18" spans="1:6" ht="19.95" customHeight="1">
      <c r="A18" s="1408" t="s">
        <v>1982</v>
      </c>
      <c r="B18" s="1473">
        <f>SUM(B2:B17)</f>
        <v>3361668338.2200003</v>
      </c>
      <c r="C18" s="1473">
        <f>SUM(C2:C17)</f>
        <v>502290224.47999996</v>
      </c>
      <c r="D18" s="1473">
        <f>SUM(D2:D17)</f>
        <v>497251983.71999997</v>
      </c>
      <c r="E18" s="1473">
        <f t="shared" ref="E18:F18" si="0">SUM(E2:E17)</f>
        <v>0</v>
      </c>
      <c r="F18" s="1473">
        <f t="shared" si="0"/>
        <v>278099.52</v>
      </c>
    </row>
    <row r="19" spans="1:6" ht="19.95" customHeight="1">
      <c r="E19" s="1622">
        <f>+'PRESENTACIÓN 10-25'!J24</f>
        <v>439052713.13</v>
      </c>
      <c r="F19" s="1473">
        <f>+D18-E19</f>
        <v>58199270.589999974</v>
      </c>
    </row>
  </sheetData>
  <autoFilter ref="A1:D17" xr:uid="{33E5389C-C572-4585-A645-EB85C8057B2A}"/>
  <pageMargins left="0.7" right="0.7" top="0.75" bottom="0.75" header="0.3" footer="0.3"/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36E9C-7228-40C2-BB25-23694AFAD375}">
  <dimension ref="A1:M25"/>
  <sheetViews>
    <sheetView showGridLines="0" zoomScaleNormal="100" workbookViewId="0">
      <selection activeCell="F7" sqref="F7"/>
    </sheetView>
  </sheetViews>
  <sheetFormatPr baseColWidth="10" defaultColWidth="8" defaultRowHeight="11.4"/>
  <cols>
    <col min="1" max="1" width="13.88671875" style="408" customWidth="1"/>
    <col min="2" max="2" width="30.5546875" style="528" customWidth="1"/>
    <col min="3" max="3" width="12" style="408" bestFit="1" customWidth="1"/>
    <col min="4" max="4" width="11.88671875" style="408" bestFit="1" customWidth="1"/>
    <col min="5" max="5" width="13.6640625" style="408" customWidth="1"/>
    <col min="6" max="6" width="29.33203125" style="408" bestFit="1" customWidth="1"/>
    <col min="7" max="7" width="13.44140625" style="408" bestFit="1" customWidth="1"/>
    <col min="8" max="8" width="11" style="408" bestFit="1" customWidth="1"/>
    <col min="9" max="9" width="11.33203125" style="408" bestFit="1" customWidth="1"/>
    <col min="10" max="10" width="13" style="408" bestFit="1" customWidth="1"/>
    <col min="11" max="11" width="11.6640625" style="408" bestFit="1" customWidth="1"/>
    <col min="12" max="12" width="8" style="408"/>
    <col min="13" max="13" width="9.6640625" style="408" bestFit="1" customWidth="1"/>
    <col min="14" max="16384" width="8" style="408"/>
  </cols>
  <sheetData>
    <row r="1" spans="1:13" s="405" customFormat="1" ht="16.649999999999999" customHeight="1">
      <c r="A1" s="404" t="s">
        <v>1771</v>
      </c>
      <c r="B1" s="526"/>
      <c r="C1" s="404"/>
      <c r="D1" s="404"/>
      <c r="E1" s="404"/>
      <c r="F1" s="408"/>
      <c r="G1" s="408"/>
      <c r="H1" s="408"/>
      <c r="I1" s="408"/>
      <c r="J1" s="408"/>
      <c r="K1" s="408"/>
      <c r="L1" s="408"/>
      <c r="M1" s="408"/>
    </row>
    <row r="2" spans="1:13" s="407" customFormat="1" ht="14.4" customHeight="1">
      <c r="A2" s="406" t="s">
        <v>236</v>
      </c>
      <c r="B2" s="527"/>
      <c r="C2" s="406"/>
      <c r="D2" s="406"/>
      <c r="E2" s="406"/>
      <c r="F2" s="408"/>
      <c r="G2" s="408"/>
      <c r="H2" s="408"/>
      <c r="I2" s="408"/>
      <c r="J2" s="408"/>
      <c r="K2" s="408"/>
      <c r="L2" s="408"/>
      <c r="M2" s="408"/>
    </row>
    <row r="3" spans="1:13" ht="13.35" customHeight="1">
      <c r="F3" s="1256" t="s">
        <v>1772</v>
      </c>
      <c r="G3" s="1249" t="s">
        <v>1773</v>
      </c>
      <c r="H3" s="1249" t="s">
        <v>1774</v>
      </c>
      <c r="I3" s="1249" t="s">
        <v>1775</v>
      </c>
      <c r="J3" s="1249" t="s">
        <v>1776</v>
      </c>
      <c r="K3" s="1249" t="s">
        <v>1777</v>
      </c>
      <c r="L3" s="1249" t="s">
        <v>1298</v>
      </c>
      <c r="M3" s="1249" t="s">
        <v>1778</v>
      </c>
    </row>
    <row r="4" spans="1:13" ht="13.35" customHeight="1">
      <c r="F4" s="1250" t="s">
        <v>1779</v>
      </c>
      <c r="G4" s="1251">
        <v>34200000</v>
      </c>
      <c r="H4" s="1251">
        <f>+E15+E16+E17</f>
        <v>34200000</v>
      </c>
      <c r="I4" s="1251">
        <f>+G4-H4</f>
        <v>0</v>
      </c>
      <c r="J4" s="1251">
        <f>-H4</f>
        <v>-34200000</v>
      </c>
      <c r="K4" s="1251">
        <f>+H4+J4</f>
        <v>0</v>
      </c>
      <c r="L4" s="1253">
        <v>0.1595</v>
      </c>
      <c r="M4" s="1254">
        <v>45923</v>
      </c>
    </row>
    <row r="5" spans="1:13" ht="13.35" customHeight="1">
      <c r="A5" s="410" t="s">
        <v>1485</v>
      </c>
      <c r="B5" s="529" t="s">
        <v>817</v>
      </c>
      <c r="C5" s="410" t="s">
        <v>691</v>
      </c>
      <c r="D5" s="411" t="s">
        <v>665</v>
      </c>
      <c r="E5" s="411" t="s">
        <v>666</v>
      </c>
      <c r="F5" s="1250" t="s">
        <v>1779</v>
      </c>
      <c r="G5" s="1251">
        <v>15000000</v>
      </c>
      <c r="H5" s="1251">
        <f>+E19+E20+E18</f>
        <v>15000000</v>
      </c>
      <c r="I5" s="1251"/>
      <c r="J5" s="1251">
        <f>-H5</f>
        <v>-15000000</v>
      </c>
      <c r="K5" s="1251">
        <f>+H5+J5</f>
        <v>0</v>
      </c>
      <c r="L5" s="1253">
        <v>0.19</v>
      </c>
      <c r="M5" s="1254">
        <v>45939</v>
      </c>
    </row>
    <row r="6" spans="1:13" ht="13.35" customHeight="1">
      <c r="F6" s="1250" t="s">
        <v>1780</v>
      </c>
      <c r="G6" s="1251">
        <v>100000000</v>
      </c>
      <c r="H6" s="1251">
        <f>+E12</f>
        <v>100000000</v>
      </c>
      <c r="I6" s="1251">
        <f>+G6-H6</f>
        <v>0</v>
      </c>
      <c r="J6" s="1251">
        <v>0</v>
      </c>
      <c r="K6" s="1251">
        <f>+H6+J6</f>
        <v>100000000</v>
      </c>
      <c r="L6" s="1253">
        <v>0.18</v>
      </c>
      <c r="M6" s="1254">
        <v>46274</v>
      </c>
    </row>
    <row r="7" spans="1:13" ht="13.35" customHeight="1">
      <c r="A7" s="409" t="s">
        <v>1782</v>
      </c>
      <c r="B7" s="530"/>
      <c r="C7" s="409"/>
      <c r="D7" s="409"/>
      <c r="E7" s="409"/>
      <c r="F7" s="1248" t="s">
        <v>1781</v>
      </c>
      <c r="G7" s="1255">
        <f>SUM(G4:G6)</f>
        <v>149200000</v>
      </c>
      <c r="H7" s="1255">
        <f t="shared" ref="H7:K7" si="0">SUM(H4:H6)</f>
        <v>149200000</v>
      </c>
      <c r="I7" s="1255">
        <f t="shared" si="0"/>
        <v>0</v>
      </c>
      <c r="J7" s="1255">
        <f t="shared" si="0"/>
        <v>-49200000</v>
      </c>
      <c r="K7" s="1255">
        <f t="shared" si="0"/>
        <v>100000000</v>
      </c>
      <c r="L7" s="1255"/>
      <c r="M7" s="1255"/>
    </row>
    <row r="8" spans="1:13" ht="13.35" customHeight="1">
      <c r="A8" s="429">
        <v>45909</v>
      </c>
      <c r="B8" s="531" t="s">
        <v>1783</v>
      </c>
      <c r="C8" s="421" t="s">
        <v>1784</v>
      </c>
      <c r="D8" s="422">
        <v>0</v>
      </c>
      <c r="E8" s="422">
        <v>25000000</v>
      </c>
      <c r="J8" s="1623">
        <f>-D23</f>
        <v>-49200000</v>
      </c>
    </row>
    <row r="9" spans="1:13" s="412" customFormat="1" ht="12.15" customHeight="1">
      <c r="A9" s="430">
        <v>45926</v>
      </c>
      <c r="B9" s="533" t="s">
        <v>1783</v>
      </c>
      <c r="C9" s="414" t="s">
        <v>1784</v>
      </c>
      <c r="D9" s="415">
        <v>0</v>
      </c>
      <c r="E9" s="415">
        <v>30184227.399999999</v>
      </c>
      <c r="F9" s="408"/>
      <c r="G9" s="408"/>
      <c r="H9" s="408"/>
      <c r="I9" s="408"/>
      <c r="J9" s="1623">
        <f>+J7-J8</f>
        <v>0</v>
      </c>
      <c r="K9" s="408"/>
      <c r="L9" s="408"/>
      <c r="M9" s="408"/>
    </row>
    <row r="10" spans="1:13" ht="13.35" customHeight="1">
      <c r="A10" s="430">
        <v>45966</v>
      </c>
      <c r="B10" s="533" t="s">
        <v>1783</v>
      </c>
      <c r="C10" s="414" t="s">
        <v>1784</v>
      </c>
      <c r="D10" s="415">
        <v>0</v>
      </c>
      <c r="E10" s="415">
        <v>22000000</v>
      </c>
    </row>
    <row r="11" spans="1:13" s="412" customFormat="1" ht="12.15" customHeight="1">
      <c r="A11" s="430">
        <v>45989</v>
      </c>
      <c r="B11" s="533" t="s">
        <v>1783</v>
      </c>
      <c r="C11" s="414" t="s">
        <v>1784</v>
      </c>
      <c r="D11" s="415">
        <v>0</v>
      </c>
      <c r="E11" s="415">
        <v>22815772.600000001</v>
      </c>
    </row>
    <row r="12" spans="1:13" ht="12">
      <c r="A12" s="416" t="s">
        <v>1785</v>
      </c>
      <c r="B12" s="532"/>
      <c r="C12" s="416"/>
      <c r="D12" s="417">
        <f>SUM(D8:D9)</f>
        <v>0</v>
      </c>
      <c r="E12" s="417">
        <f>SUM(E8:E11)</f>
        <v>100000000</v>
      </c>
    </row>
    <row r="13" spans="1:13" ht="13.2">
      <c r="F13" s="412"/>
      <c r="G13" s="412"/>
      <c r="H13" s="412"/>
      <c r="I13" s="412"/>
      <c r="J13" s="412"/>
      <c r="K13" s="412"/>
      <c r="L13" s="412"/>
      <c r="M13" s="412"/>
    </row>
    <row r="14" spans="1:13" ht="13.2">
      <c r="A14" s="409" t="s">
        <v>1786</v>
      </c>
      <c r="B14" s="530"/>
      <c r="C14" s="409"/>
      <c r="D14" s="409"/>
      <c r="E14" s="409"/>
      <c r="F14" s="412"/>
      <c r="G14" s="412"/>
      <c r="H14" s="412"/>
      <c r="I14" s="412"/>
      <c r="J14" s="412"/>
      <c r="K14" s="412"/>
      <c r="L14" s="412"/>
      <c r="M14" s="412"/>
    </row>
    <row r="15" spans="1:13" ht="13.2">
      <c r="A15" s="429">
        <v>45761</v>
      </c>
      <c r="B15" s="531" t="s">
        <v>1787</v>
      </c>
      <c r="C15" s="414" t="s">
        <v>1788</v>
      </c>
      <c r="D15" s="422">
        <v>0</v>
      </c>
      <c r="E15" s="422">
        <v>15000000</v>
      </c>
      <c r="F15" s="412"/>
      <c r="G15" s="412"/>
      <c r="H15" s="412"/>
      <c r="I15" s="412"/>
      <c r="J15" s="412"/>
      <c r="K15" s="412"/>
      <c r="L15" s="412"/>
      <c r="M15" s="412"/>
    </row>
    <row r="16" spans="1:13" ht="10.95" customHeight="1">
      <c r="A16" s="430">
        <v>45792</v>
      </c>
      <c r="B16" s="531" t="s">
        <v>1787</v>
      </c>
      <c r="C16" s="414" t="s">
        <v>1788</v>
      </c>
      <c r="D16" s="415">
        <v>0</v>
      </c>
      <c r="E16" s="415">
        <v>7200000</v>
      </c>
    </row>
    <row r="17" spans="1:5" ht="13.35" customHeight="1">
      <c r="A17" s="430">
        <v>45820</v>
      </c>
      <c r="B17" s="531" t="s">
        <v>1787</v>
      </c>
      <c r="C17" s="414" t="s">
        <v>1788</v>
      </c>
      <c r="D17" s="415">
        <v>0</v>
      </c>
      <c r="E17" s="415">
        <v>12000000</v>
      </c>
    </row>
    <row r="18" spans="1:5" s="412" customFormat="1" ht="12.15" customHeight="1">
      <c r="A18" s="430">
        <v>45853</v>
      </c>
      <c r="B18" s="533" t="s">
        <v>1789</v>
      </c>
      <c r="C18" s="414" t="s">
        <v>1788</v>
      </c>
      <c r="D18" s="415">
        <v>0</v>
      </c>
      <c r="E18" s="415">
        <v>1185000</v>
      </c>
    </row>
    <row r="19" spans="1:5" ht="10.95" customHeight="1">
      <c r="A19" s="430">
        <v>45854</v>
      </c>
      <c r="B19" s="531" t="s">
        <v>1787</v>
      </c>
      <c r="C19" s="414" t="s">
        <v>1788</v>
      </c>
      <c r="D19" s="415">
        <v>0</v>
      </c>
      <c r="E19" s="415">
        <v>11000000</v>
      </c>
    </row>
    <row r="20" spans="1:5" ht="10.95" customHeight="1">
      <c r="A20" s="430">
        <v>45862</v>
      </c>
      <c r="B20" s="531" t="s">
        <v>1787</v>
      </c>
      <c r="C20" s="414" t="s">
        <v>1788</v>
      </c>
      <c r="D20" s="415">
        <v>0</v>
      </c>
      <c r="E20" s="415">
        <v>2815000</v>
      </c>
    </row>
    <row r="21" spans="1:5" ht="10.95" customHeight="1">
      <c r="A21" s="430">
        <v>45937</v>
      </c>
      <c r="B21" s="531" t="s">
        <v>2017</v>
      </c>
      <c r="C21" s="414" t="s">
        <v>1788</v>
      </c>
      <c r="D21" s="415">
        <v>5000000</v>
      </c>
      <c r="E21" s="415">
        <v>0</v>
      </c>
    </row>
    <row r="22" spans="1:5" ht="22.8">
      <c r="A22" s="430">
        <v>46020</v>
      </c>
      <c r="B22" s="531" t="s">
        <v>2201</v>
      </c>
      <c r="C22" s="414" t="s">
        <v>1788</v>
      </c>
      <c r="D22" s="415">
        <v>44200000</v>
      </c>
      <c r="E22" s="415">
        <v>0</v>
      </c>
    </row>
    <row r="23" spans="1:5" ht="10.95" customHeight="1">
      <c r="A23" s="416" t="s">
        <v>1790</v>
      </c>
      <c r="B23" s="532"/>
      <c r="C23" s="416"/>
      <c r="D23" s="417">
        <f>SUM(D15:D22)</f>
        <v>49200000</v>
      </c>
      <c r="E23" s="417">
        <f>SUM(E15:E21)</f>
        <v>49200000</v>
      </c>
    </row>
    <row r="24" spans="1:5" ht="10.95" customHeight="1"/>
    <row r="25" spans="1:5" ht="10.95" customHeight="1">
      <c r="A25" s="419" t="s">
        <v>164</v>
      </c>
      <c r="B25" s="534"/>
      <c r="C25" s="419"/>
      <c r="D25" s="420">
        <f>SUM(D12,D23)</f>
        <v>49200000</v>
      </c>
      <c r="E25" s="420">
        <f>SUM(E12,E23)</f>
        <v>149200000</v>
      </c>
    </row>
  </sheetData>
  <pageMargins left="0.7" right="0.7" top="0.75" bottom="0.75" header="0.3" footer="0.3"/>
  <pageSetup paperSize="9" fitToWidth="0" fitToHeight="0" orientation="portrait" r:id="rId1"/>
  <ignoredErrors>
    <ignoredError sqref="E23" formulaRange="1"/>
  </ignoredError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B8EAE-3FAC-4F85-A7CF-D7F7FC9F0845}">
  <dimension ref="A3:AE23"/>
  <sheetViews>
    <sheetView showGridLines="0" workbookViewId="0">
      <selection activeCell="F7" sqref="F7"/>
    </sheetView>
  </sheetViews>
  <sheetFormatPr baseColWidth="10" defaultColWidth="11.44140625" defaultRowHeight="14.4"/>
  <cols>
    <col min="1" max="1" width="24.6640625" customWidth="1"/>
    <col min="2" max="2" width="11.5546875" hidden="1" customWidth="1"/>
    <col min="3" max="3" width="14.6640625" customWidth="1"/>
    <col min="4" max="4" width="13.6640625" bestFit="1" customWidth="1"/>
    <col min="5" max="5" width="14.33203125" bestFit="1" customWidth="1"/>
    <col min="6" max="6" width="7" style="181" bestFit="1" customWidth="1"/>
    <col min="7" max="8" width="11.5546875" hidden="1" customWidth="1"/>
    <col min="9" max="9" width="10.5546875" customWidth="1"/>
    <col min="10" max="10" width="13.109375" hidden="1" customWidth="1"/>
    <col min="11" max="11" width="4.6640625" hidden="1" customWidth="1"/>
    <col min="12" max="16" width="8.88671875" hidden="1" customWidth="1"/>
    <col min="17" max="17" width="10.44140625" hidden="1" customWidth="1"/>
    <col min="18" max="18" width="10.33203125" hidden="1" customWidth="1"/>
    <col min="19" max="20" width="10.44140625" hidden="1" customWidth="1"/>
    <col min="21" max="21" width="10.44140625" customWidth="1"/>
    <col min="22" max="26" width="10.44140625" bestFit="1" customWidth="1"/>
    <col min="27" max="27" width="11.88671875" customWidth="1"/>
    <col min="28" max="28" width="13" hidden="1" customWidth="1"/>
  </cols>
  <sheetData>
    <row r="3" spans="1:31" ht="15.6">
      <c r="A3" s="1508" t="s">
        <v>2109</v>
      </c>
      <c r="B3" s="1505"/>
      <c r="C3" s="1505"/>
      <c r="D3" s="1505"/>
      <c r="E3" s="1505"/>
      <c r="F3" s="1506"/>
      <c r="G3" s="1505"/>
      <c r="H3" s="1505"/>
      <c r="I3" s="1505"/>
      <c r="J3" s="1505"/>
      <c r="K3" s="1505"/>
      <c r="L3" s="1505"/>
      <c r="AB3" s="1507"/>
    </row>
    <row r="4" spans="1:31">
      <c r="A4" s="1509"/>
      <c r="B4" s="1510"/>
      <c r="C4" s="1510"/>
      <c r="D4" s="1510"/>
      <c r="E4" s="1510"/>
      <c r="F4" s="1511"/>
      <c r="G4" s="1510"/>
      <c r="H4" s="1510"/>
      <c r="I4" s="1510"/>
      <c r="J4" s="1510"/>
      <c r="K4" s="1510"/>
      <c r="L4" s="1510"/>
      <c r="AB4" s="1507"/>
    </row>
    <row r="5" spans="1:31" ht="15" thickBot="1">
      <c r="A5" s="1504"/>
      <c r="B5" s="1510"/>
      <c r="C5" s="1510"/>
      <c r="D5" s="1510"/>
      <c r="E5" s="1510"/>
      <c r="F5" s="1511"/>
      <c r="G5" s="1510"/>
      <c r="H5" s="1510"/>
      <c r="I5" s="1510"/>
      <c r="J5" s="1510"/>
      <c r="K5" s="1510"/>
      <c r="L5" s="1510"/>
      <c r="AB5" s="1512"/>
    </row>
    <row r="6" spans="1:31" s="455" customFormat="1" ht="28.8">
      <c r="A6" s="1545" t="s">
        <v>2110</v>
      </c>
      <c r="B6" s="1546" t="s">
        <v>2111</v>
      </c>
      <c r="C6" s="1579" t="s">
        <v>2126</v>
      </c>
      <c r="D6" s="1579" t="s">
        <v>2127</v>
      </c>
      <c r="E6" s="1579" t="s">
        <v>2112</v>
      </c>
      <c r="F6" s="1546" t="s">
        <v>1298</v>
      </c>
      <c r="G6" s="1546" t="s">
        <v>2113</v>
      </c>
      <c r="H6" s="1546" t="s">
        <v>2114</v>
      </c>
      <c r="I6" s="1619" t="s">
        <v>2115</v>
      </c>
      <c r="J6" s="1546" t="s">
        <v>2116</v>
      </c>
      <c r="K6" s="1546" t="s">
        <v>2117</v>
      </c>
      <c r="L6" s="1547">
        <v>45748</v>
      </c>
      <c r="M6" s="1547">
        <v>45778</v>
      </c>
      <c r="N6" s="1547">
        <v>45809</v>
      </c>
      <c r="O6" s="1547">
        <v>45839</v>
      </c>
      <c r="P6" s="1547">
        <v>45870</v>
      </c>
      <c r="Q6" s="1547">
        <v>45901</v>
      </c>
      <c r="R6" s="1547">
        <v>45931</v>
      </c>
      <c r="S6" s="1547">
        <v>45962</v>
      </c>
      <c r="T6" s="1547">
        <v>45992</v>
      </c>
      <c r="U6" s="1548" t="s">
        <v>2202</v>
      </c>
      <c r="V6" s="1547">
        <v>46023</v>
      </c>
      <c r="W6" s="1547">
        <v>46054</v>
      </c>
      <c r="X6" s="1547">
        <v>46082</v>
      </c>
      <c r="Y6" s="1547">
        <v>46113</v>
      </c>
      <c r="Z6" s="1547">
        <v>46143</v>
      </c>
      <c r="AA6" s="1549" t="s">
        <v>2203</v>
      </c>
      <c r="AB6" s="1534" t="s">
        <v>2120</v>
      </c>
    </row>
    <row r="7" spans="1:31" s="455" customFormat="1" hidden="1">
      <c r="A7" s="1535" t="s">
        <v>1786</v>
      </c>
      <c r="B7" s="1536" t="s">
        <v>2122</v>
      </c>
      <c r="C7" s="1540">
        <v>15000000</v>
      </c>
      <c r="D7" s="1540">
        <v>15000000</v>
      </c>
      <c r="E7" s="1540">
        <v>0</v>
      </c>
      <c r="F7" s="1538">
        <v>0.1595</v>
      </c>
      <c r="G7" s="1537">
        <f t="shared" ref="G7:G12" si="0">+E7*F7/360*30</f>
        <v>0</v>
      </c>
      <c r="H7" s="1539">
        <v>45757</v>
      </c>
      <c r="I7" s="1539">
        <v>45761</v>
      </c>
      <c r="J7" s="1539">
        <v>45777</v>
      </c>
      <c r="K7" s="1540">
        <f t="shared" ref="K7:K12" si="1">+J7-I7</f>
        <v>16</v>
      </c>
      <c r="L7" s="1540">
        <f>+E7*F7/360*K7</f>
        <v>0</v>
      </c>
      <c r="M7" s="630">
        <f>+G7</f>
        <v>0</v>
      </c>
      <c r="N7" s="630">
        <f>+M7</f>
        <v>0</v>
      </c>
      <c r="O7" s="630">
        <f>+N7</f>
        <v>0</v>
      </c>
      <c r="P7" s="630">
        <f>+O7</f>
        <v>0</v>
      </c>
      <c r="Q7" s="630">
        <f>+P7</f>
        <v>0</v>
      </c>
      <c r="R7" s="630">
        <f>+Q7</f>
        <v>0</v>
      </c>
      <c r="S7" s="630">
        <v>199375</v>
      </c>
      <c r="T7" s="768">
        <f t="shared" ref="T7:T12" si="2">((+(E7*F7)/12)/30)*22</f>
        <v>0</v>
      </c>
      <c r="U7" s="630">
        <f>SUM(L7:T7)</f>
        <v>199375</v>
      </c>
      <c r="V7" s="630"/>
      <c r="W7" s="630"/>
      <c r="X7" s="630"/>
      <c r="Y7" s="630"/>
      <c r="Z7" s="630"/>
      <c r="AA7" s="1552">
        <f t="shared" ref="AA7:AA12" si="3">SUM(U7:X7)</f>
        <v>199375</v>
      </c>
      <c r="AB7" s="1513">
        <v>45939</v>
      </c>
    </row>
    <row r="8" spans="1:31" s="455" customFormat="1" hidden="1">
      <c r="A8" s="1535" t="s">
        <v>1786</v>
      </c>
      <c r="B8" s="1536" t="s">
        <v>2122</v>
      </c>
      <c r="C8" s="1540">
        <v>7200000</v>
      </c>
      <c r="D8" s="1540">
        <v>7200000</v>
      </c>
      <c r="E8" s="1540">
        <v>0</v>
      </c>
      <c r="F8" s="1538">
        <v>0.1595</v>
      </c>
      <c r="G8" s="1537">
        <f t="shared" si="0"/>
        <v>0</v>
      </c>
      <c r="H8" s="1539">
        <v>45792</v>
      </c>
      <c r="I8" s="1539">
        <v>45792</v>
      </c>
      <c r="J8" s="1539">
        <v>45808</v>
      </c>
      <c r="K8" s="1540">
        <f t="shared" si="1"/>
        <v>16</v>
      </c>
      <c r="L8" s="1540"/>
      <c r="M8" s="630">
        <f>+E8*F8/360*K8</f>
        <v>0</v>
      </c>
      <c r="N8" s="630">
        <f>+G8</f>
        <v>0</v>
      </c>
      <c r="O8" s="630">
        <f>+G8</f>
        <v>0</v>
      </c>
      <c r="P8" s="630">
        <f>+G8</f>
        <v>0</v>
      </c>
      <c r="Q8" s="630">
        <f>+P8</f>
        <v>0</v>
      </c>
      <c r="R8" s="630">
        <f>+Q8</f>
        <v>0</v>
      </c>
      <c r="S8" s="630">
        <v>95700</v>
      </c>
      <c r="T8" s="768">
        <f t="shared" si="2"/>
        <v>0</v>
      </c>
      <c r="U8" s="630">
        <f t="shared" ref="U8:U12" si="4">SUM(L8:T8)</f>
        <v>95700</v>
      </c>
      <c r="V8" s="630"/>
      <c r="W8" s="630"/>
      <c r="X8" s="630"/>
      <c r="Y8" s="630"/>
      <c r="Z8" s="630"/>
      <c r="AA8" s="1552">
        <f t="shared" si="3"/>
        <v>95700</v>
      </c>
      <c r="AB8" s="1513">
        <v>45939</v>
      </c>
      <c r="AE8" s="455">
        <f>250-85</f>
        <v>165</v>
      </c>
    </row>
    <row r="9" spans="1:31" s="455" customFormat="1" hidden="1">
      <c r="A9" s="1535" t="s">
        <v>1786</v>
      </c>
      <c r="B9" s="1536" t="s">
        <v>2122</v>
      </c>
      <c r="C9" s="1540">
        <v>12000000</v>
      </c>
      <c r="D9" s="1540">
        <v>12000000</v>
      </c>
      <c r="E9" s="1540">
        <v>0</v>
      </c>
      <c r="F9" s="1538">
        <v>0.1595</v>
      </c>
      <c r="G9" s="1537">
        <f t="shared" si="0"/>
        <v>0</v>
      </c>
      <c r="H9" s="1539">
        <v>45820</v>
      </c>
      <c r="I9" s="1539">
        <v>45820</v>
      </c>
      <c r="J9" s="1539">
        <v>45838</v>
      </c>
      <c r="K9" s="1540">
        <f t="shared" si="1"/>
        <v>18</v>
      </c>
      <c r="L9" s="1540"/>
      <c r="M9" s="630"/>
      <c r="N9" s="630">
        <f>+E9*F9/360*K9</f>
        <v>0</v>
      </c>
      <c r="O9" s="630">
        <f>+E9*F9/360*31</f>
        <v>0</v>
      </c>
      <c r="P9" s="630">
        <f>+O9</f>
        <v>0</v>
      </c>
      <c r="Q9" s="630">
        <f>+P9</f>
        <v>0</v>
      </c>
      <c r="R9" s="630">
        <f>+Q9</f>
        <v>0</v>
      </c>
      <c r="S9" s="630">
        <v>164816.66666666669</v>
      </c>
      <c r="T9" s="768">
        <f t="shared" si="2"/>
        <v>0</v>
      </c>
      <c r="U9" s="630">
        <f t="shared" si="4"/>
        <v>164816.66666666669</v>
      </c>
      <c r="V9" s="630"/>
      <c r="W9" s="630"/>
      <c r="X9" s="630"/>
      <c r="Y9" s="630"/>
      <c r="Z9" s="630"/>
      <c r="AA9" s="1552">
        <f t="shared" si="3"/>
        <v>164816.66666666669</v>
      </c>
      <c r="AB9" s="1513">
        <v>45939</v>
      </c>
      <c r="AE9" s="455">
        <f>320-160</f>
        <v>160</v>
      </c>
    </row>
    <row r="10" spans="1:31" s="455" customFormat="1" hidden="1">
      <c r="A10" s="1535" t="s">
        <v>1786</v>
      </c>
      <c r="B10" s="1536" t="s">
        <v>2121</v>
      </c>
      <c r="C10" s="1540">
        <f>11000000</f>
        <v>11000000</v>
      </c>
      <c r="D10" s="1540">
        <v>11000000</v>
      </c>
      <c r="E10" s="1540">
        <v>0</v>
      </c>
      <c r="F10" s="1538">
        <v>0.19</v>
      </c>
      <c r="G10" s="1537">
        <f t="shared" si="0"/>
        <v>0</v>
      </c>
      <c r="H10" s="1539">
        <v>45847</v>
      </c>
      <c r="I10" s="1539">
        <v>45854</v>
      </c>
      <c r="J10" s="1539">
        <v>45869</v>
      </c>
      <c r="K10" s="1540">
        <f t="shared" si="1"/>
        <v>15</v>
      </c>
      <c r="L10" s="1540"/>
      <c r="M10" s="630"/>
      <c r="N10" s="630"/>
      <c r="O10" s="630">
        <v>87083.33</v>
      </c>
      <c r="P10" s="630">
        <v>174166.67</v>
      </c>
      <c r="Q10" s="630">
        <v>174166.67</v>
      </c>
      <c r="R10" s="630">
        <f>((11000000*19%)/360)*7+((6000000*19%)/360)*23</f>
        <v>113472.22222222222</v>
      </c>
      <c r="S10" s="630">
        <f>+E10*F10/12</f>
        <v>0</v>
      </c>
      <c r="T10" s="768">
        <f t="shared" si="2"/>
        <v>0</v>
      </c>
      <c r="U10" s="630">
        <f t="shared" si="4"/>
        <v>548888.89222222229</v>
      </c>
      <c r="V10" s="630"/>
      <c r="W10" s="630"/>
      <c r="X10" s="630"/>
      <c r="Y10" s="630"/>
      <c r="Z10" s="630"/>
      <c r="AA10" s="1552">
        <f t="shared" si="3"/>
        <v>548888.89222222229</v>
      </c>
      <c r="AB10" s="1513">
        <v>45923</v>
      </c>
      <c r="AE10" s="455">
        <f>250-85</f>
        <v>165</v>
      </c>
    </row>
    <row r="11" spans="1:31" s="455" customFormat="1" hidden="1">
      <c r="A11" s="1535" t="s">
        <v>1786</v>
      </c>
      <c r="B11" s="1536" t="s">
        <v>2121</v>
      </c>
      <c r="C11" s="1540">
        <v>2815000</v>
      </c>
      <c r="D11" s="1540">
        <v>2815000</v>
      </c>
      <c r="E11" s="1540">
        <v>0</v>
      </c>
      <c r="F11" s="1538">
        <v>0.19</v>
      </c>
      <c r="G11" s="1537">
        <f t="shared" si="0"/>
        <v>0</v>
      </c>
      <c r="H11" s="1539">
        <v>45847</v>
      </c>
      <c r="I11" s="1539">
        <v>45862</v>
      </c>
      <c r="J11" s="1539">
        <v>45869</v>
      </c>
      <c r="K11" s="1540">
        <f t="shared" si="1"/>
        <v>7</v>
      </c>
      <c r="L11" s="1540"/>
      <c r="M11" s="630"/>
      <c r="N11" s="630"/>
      <c r="O11" s="630">
        <f>+E11*F11/360*K11</f>
        <v>0</v>
      </c>
      <c r="P11" s="630">
        <f>+G11</f>
        <v>0</v>
      </c>
      <c r="Q11" s="630">
        <f>+P11</f>
        <v>0</v>
      </c>
      <c r="R11" s="630">
        <f>+Q11</f>
        <v>0</v>
      </c>
      <c r="S11" s="630">
        <v>44570.833333333328</v>
      </c>
      <c r="T11" s="768">
        <f t="shared" si="2"/>
        <v>0</v>
      </c>
      <c r="U11" s="630">
        <f t="shared" si="4"/>
        <v>44570.833333333328</v>
      </c>
      <c r="V11" s="630"/>
      <c r="W11" s="630"/>
      <c r="X11" s="630"/>
      <c r="Y11" s="630"/>
      <c r="Z11" s="630"/>
      <c r="AA11" s="1552">
        <f t="shared" si="3"/>
        <v>44570.833333333328</v>
      </c>
      <c r="AB11" s="1513">
        <v>45923</v>
      </c>
    </row>
    <row r="12" spans="1:31" s="455" customFormat="1" hidden="1">
      <c r="A12" s="1535" t="s">
        <v>1786</v>
      </c>
      <c r="B12" s="1536" t="s">
        <v>2121</v>
      </c>
      <c r="C12" s="1540">
        <v>1185000</v>
      </c>
      <c r="D12" s="1540">
        <v>1185000</v>
      </c>
      <c r="E12" s="1540">
        <v>0</v>
      </c>
      <c r="F12" s="1538">
        <v>0.19</v>
      </c>
      <c r="G12" s="1537">
        <f t="shared" si="0"/>
        <v>0</v>
      </c>
      <c r="H12" s="1539">
        <v>45847</v>
      </c>
      <c r="I12" s="1539">
        <v>45862</v>
      </c>
      <c r="J12" s="1539">
        <v>45869</v>
      </c>
      <c r="K12" s="1540">
        <f t="shared" si="1"/>
        <v>7</v>
      </c>
      <c r="L12" s="1540"/>
      <c r="M12" s="630"/>
      <c r="N12" s="630"/>
      <c r="O12" s="630">
        <f>+E12*F12/360*K12</f>
        <v>0</v>
      </c>
      <c r="P12" s="630">
        <f>+G12</f>
        <v>0</v>
      </c>
      <c r="Q12" s="630">
        <f>+P12</f>
        <v>0</v>
      </c>
      <c r="R12" s="630">
        <f>+Q12</f>
        <v>0</v>
      </c>
      <c r="S12" s="630">
        <v>18762.5</v>
      </c>
      <c r="T12" s="768">
        <f t="shared" si="2"/>
        <v>0</v>
      </c>
      <c r="U12" s="630">
        <f t="shared" si="4"/>
        <v>18762.5</v>
      </c>
      <c r="V12" s="630"/>
      <c r="W12" s="630"/>
      <c r="X12" s="630"/>
      <c r="Y12" s="630"/>
      <c r="Z12" s="630"/>
      <c r="AA12" s="1552">
        <f t="shared" si="3"/>
        <v>18762.5</v>
      </c>
      <c r="AB12" s="1513"/>
    </row>
    <row r="13" spans="1:31" s="1472" customFormat="1" ht="18" customHeight="1" thickBot="1">
      <c r="A13" s="1580" t="s">
        <v>1790</v>
      </c>
      <c r="B13" s="1581"/>
      <c r="C13" s="1582">
        <f>SUM(C7:C12)</f>
        <v>49200000</v>
      </c>
      <c r="D13" s="1582">
        <f>SUM(D7:D12)</f>
        <v>49200000</v>
      </c>
      <c r="E13" s="1582">
        <f>SUM(E7:E12)</f>
        <v>0</v>
      </c>
      <c r="F13" s="1583"/>
      <c r="G13" s="1584">
        <f>SUM(G7:G12)</f>
        <v>0</v>
      </c>
      <c r="H13" s="1581"/>
      <c r="I13" s="1581"/>
      <c r="J13" s="1581"/>
      <c r="K13" s="1581"/>
      <c r="L13" s="1582">
        <f t="shared" ref="L13:T13" si="5">SUM(L7:L12)</f>
        <v>0</v>
      </c>
      <c r="M13" s="1582">
        <f t="shared" si="5"/>
        <v>0</v>
      </c>
      <c r="N13" s="1582">
        <f t="shared" si="5"/>
        <v>0</v>
      </c>
      <c r="O13" s="1582">
        <f t="shared" si="5"/>
        <v>87083.33</v>
      </c>
      <c r="P13" s="1582">
        <f t="shared" si="5"/>
        <v>174166.67</v>
      </c>
      <c r="Q13" s="1582">
        <f t="shared" si="5"/>
        <v>174166.67</v>
      </c>
      <c r="R13" s="1582">
        <f t="shared" si="5"/>
        <v>113472.22222222222</v>
      </c>
      <c r="S13" s="1582">
        <f t="shared" si="5"/>
        <v>523225</v>
      </c>
      <c r="T13" s="1582">
        <f t="shared" si="5"/>
        <v>0</v>
      </c>
      <c r="U13" s="1582"/>
      <c r="V13" s="1582">
        <f>SUM(V7:V12)</f>
        <v>0</v>
      </c>
      <c r="W13" s="1582">
        <f>SUM(W7:W12)</f>
        <v>0</v>
      </c>
      <c r="X13" s="1582">
        <f>SUM(X7:X12)</f>
        <v>0</v>
      </c>
      <c r="Y13" s="1582">
        <f t="shared" ref="Y13:Z13" si="6">SUM(Y7:Y12)</f>
        <v>0</v>
      </c>
      <c r="Z13" s="1582">
        <f t="shared" si="6"/>
        <v>0</v>
      </c>
      <c r="AA13" s="1551"/>
    </row>
    <row r="14" spans="1:31" s="455" customFormat="1">
      <c r="A14" s="1535" t="s">
        <v>2123</v>
      </c>
      <c r="B14" s="1536"/>
      <c r="C14" s="1537">
        <v>25000000</v>
      </c>
      <c r="D14" s="1537"/>
      <c r="E14" s="1620">
        <f>+C14-D14</f>
        <v>25000000</v>
      </c>
      <c r="F14" s="1538">
        <v>0.18</v>
      </c>
      <c r="G14" s="1537"/>
      <c r="H14" s="1539"/>
      <c r="I14" s="1539">
        <v>45905</v>
      </c>
      <c r="J14" s="1539"/>
      <c r="K14" s="1540"/>
      <c r="L14" s="1540"/>
      <c r="M14" s="630"/>
      <c r="N14" s="630"/>
      <c r="O14" s="630"/>
      <c r="P14" s="630"/>
      <c r="Q14" s="630">
        <f>(($C14*$F14)/360)*25</f>
        <v>312500</v>
      </c>
      <c r="R14" s="630">
        <f>(($C14*$F14)/360)*30</f>
        <v>375000</v>
      </c>
      <c r="S14" s="630">
        <f t="shared" ref="S14:Z19" si="7">(($C14*$F14)/360)*30</f>
        <v>375000</v>
      </c>
      <c r="T14" s="630">
        <f t="shared" si="7"/>
        <v>375000</v>
      </c>
      <c r="U14" s="630">
        <f>SUM(Q14:T14)</f>
        <v>1437500</v>
      </c>
      <c r="V14" s="630">
        <f t="shared" si="7"/>
        <v>375000</v>
      </c>
      <c r="W14" s="630">
        <f t="shared" si="7"/>
        <v>375000</v>
      </c>
      <c r="X14" s="630">
        <f t="shared" si="7"/>
        <v>375000</v>
      </c>
      <c r="Y14" s="630"/>
      <c r="Z14" s="630"/>
      <c r="AA14" s="1552">
        <f>SUM(U14:X14)</f>
        <v>2562500</v>
      </c>
      <c r="AB14" s="1513"/>
    </row>
    <row r="15" spans="1:31" s="455" customFormat="1">
      <c r="A15" s="1535" t="s">
        <v>2123</v>
      </c>
      <c r="B15" s="1536"/>
      <c r="C15" s="1537">
        <v>30184227.399999999</v>
      </c>
      <c r="D15" s="1537"/>
      <c r="E15" s="1620">
        <f t="shared" ref="E15:E19" si="8">+C15-D15</f>
        <v>30184227.399999999</v>
      </c>
      <c r="F15" s="1538">
        <v>0.18</v>
      </c>
      <c r="G15" s="1537"/>
      <c r="H15" s="1539"/>
      <c r="I15" s="1539">
        <v>45926</v>
      </c>
      <c r="J15" s="1539"/>
      <c r="K15" s="1540"/>
      <c r="L15" s="1540"/>
      <c r="M15" s="630"/>
      <c r="N15" s="630"/>
      <c r="O15" s="630"/>
      <c r="P15" s="630"/>
      <c r="Q15" s="630">
        <f>(($C15*$F15)/360)*4</f>
        <v>60368.454799999992</v>
      </c>
      <c r="R15" s="630">
        <f>(($C15*$F15)/360)*30</f>
        <v>452763.41099999996</v>
      </c>
      <c r="S15" s="630">
        <f t="shared" si="7"/>
        <v>452763.41099999996</v>
      </c>
      <c r="T15" s="630">
        <f t="shared" si="7"/>
        <v>452763.41099999996</v>
      </c>
      <c r="U15" s="630">
        <f t="shared" ref="U15:U19" si="9">SUM(Q15:T15)</f>
        <v>1418658.6878</v>
      </c>
      <c r="V15" s="630">
        <f t="shared" si="7"/>
        <v>452763.41099999996</v>
      </c>
      <c r="W15" s="630">
        <f t="shared" si="7"/>
        <v>452763.41099999996</v>
      </c>
      <c r="X15" s="630">
        <f t="shared" si="7"/>
        <v>452763.41099999996</v>
      </c>
      <c r="Y15" s="630"/>
      <c r="Z15" s="630"/>
      <c r="AA15" s="1649">
        <f>SUM(U15:X15)</f>
        <v>2776948.9207999995</v>
      </c>
      <c r="AB15" s="1513"/>
    </row>
    <row r="16" spans="1:31" s="455" customFormat="1">
      <c r="A16" s="1535"/>
      <c r="B16" s="1536"/>
      <c r="C16" s="1537"/>
      <c r="D16" s="1537"/>
      <c r="E16" s="1620"/>
      <c r="F16" s="1538"/>
      <c r="G16" s="1537"/>
      <c r="H16" s="1539"/>
      <c r="I16" s="1539"/>
      <c r="J16" s="1539"/>
      <c r="K16" s="1540"/>
      <c r="L16" s="1540"/>
      <c r="M16" s="630"/>
      <c r="N16" s="630"/>
      <c r="O16" s="630"/>
      <c r="P16" s="630"/>
      <c r="Q16" s="630"/>
      <c r="R16" s="630"/>
      <c r="S16" s="630"/>
      <c r="T16" s="630"/>
      <c r="U16" s="630"/>
      <c r="V16" s="630"/>
      <c r="W16" s="630"/>
      <c r="X16" s="630"/>
      <c r="Y16" s="630"/>
      <c r="Z16" s="630"/>
      <c r="AA16" s="1552">
        <f>SUM(AA14:AA15)</f>
        <v>5339448.9207999995</v>
      </c>
      <c r="AB16" s="1513"/>
      <c r="AC16" s="455" t="s">
        <v>2204</v>
      </c>
    </row>
    <row r="18" spans="1:29" s="455" customFormat="1">
      <c r="A18" s="1535" t="s">
        <v>2123</v>
      </c>
      <c r="B18" s="1541"/>
      <c r="C18" s="1537">
        <v>22000000</v>
      </c>
      <c r="D18" s="1537"/>
      <c r="E18" s="1620">
        <f t="shared" si="8"/>
        <v>22000000</v>
      </c>
      <c r="F18" s="1538">
        <v>0.18</v>
      </c>
      <c r="G18" s="1537"/>
      <c r="H18" s="1539"/>
      <c r="I18" s="1539">
        <v>45966</v>
      </c>
      <c r="J18" s="1539"/>
      <c r="K18" s="1540"/>
      <c r="L18" s="1540"/>
      <c r="M18" s="630"/>
      <c r="N18" s="630"/>
      <c r="O18" s="630"/>
      <c r="P18" s="630"/>
      <c r="Q18" s="630"/>
      <c r="R18" s="630"/>
      <c r="S18" s="630">
        <f>(($C18*$F18)/360)*25</f>
        <v>275000</v>
      </c>
      <c r="T18" s="630">
        <f t="shared" si="7"/>
        <v>330000</v>
      </c>
      <c r="U18" s="630">
        <f t="shared" si="9"/>
        <v>605000</v>
      </c>
      <c r="V18" s="630">
        <f t="shared" si="7"/>
        <v>330000</v>
      </c>
      <c r="W18" s="630">
        <f t="shared" si="7"/>
        <v>330000</v>
      </c>
      <c r="X18" s="630">
        <f t="shared" si="7"/>
        <v>330000</v>
      </c>
      <c r="Y18" s="630">
        <f t="shared" si="7"/>
        <v>330000</v>
      </c>
      <c r="Z18" s="630">
        <f t="shared" si="7"/>
        <v>330000</v>
      </c>
      <c r="AA18" s="1552">
        <f>SUM(U18:Z18)</f>
        <v>2255000</v>
      </c>
      <c r="AB18" s="1513"/>
    </row>
    <row r="19" spans="1:29" s="455" customFormat="1">
      <c r="A19" s="1535" t="s">
        <v>2123</v>
      </c>
      <c r="B19" s="1541"/>
      <c r="C19" s="1537">
        <v>22815773</v>
      </c>
      <c r="D19" s="1537"/>
      <c r="E19" s="1620">
        <f t="shared" si="8"/>
        <v>22815773</v>
      </c>
      <c r="F19" s="1538">
        <v>0.18</v>
      </c>
      <c r="G19" s="1537"/>
      <c r="H19" s="1539"/>
      <c r="I19" s="1539">
        <v>45989</v>
      </c>
      <c r="J19" s="1539"/>
      <c r="K19" s="1540"/>
      <c r="L19" s="1540"/>
      <c r="M19" s="630"/>
      <c r="N19" s="630"/>
      <c r="O19" s="630"/>
      <c r="P19" s="630"/>
      <c r="Q19" s="630"/>
      <c r="R19" s="630"/>
      <c r="S19" s="630">
        <f>(($C19*$F19)/360)*2</f>
        <v>22815.772999999997</v>
      </c>
      <c r="T19" s="630">
        <f t="shared" si="7"/>
        <v>342236.59499999997</v>
      </c>
      <c r="U19" s="630">
        <f t="shared" si="9"/>
        <v>365052.36799999996</v>
      </c>
      <c r="V19" s="630">
        <f t="shared" si="7"/>
        <v>342236.59499999997</v>
      </c>
      <c r="W19" s="630">
        <f t="shared" si="7"/>
        <v>342236.59499999997</v>
      </c>
      <c r="X19" s="630">
        <f t="shared" si="7"/>
        <v>342236.59499999997</v>
      </c>
      <c r="Y19" s="630">
        <f t="shared" si="7"/>
        <v>342236.59499999997</v>
      </c>
      <c r="Z19" s="630">
        <f t="shared" si="7"/>
        <v>342236.59499999997</v>
      </c>
      <c r="AA19" s="1649">
        <f>SUM(U19:Z19)</f>
        <v>2076235.3429999999</v>
      </c>
      <c r="AB19" s="1513"/>
    </row>
    <row r="20" spans="1:29" s="455" customFormat="1">
      <c r="A20" s="1535"/>
      <c r="B20" s="1541"/>
      <c r="C20" s="1537"/>
      <c r="D20" s="1537"/>
      <c r="E20" s="1620"/>
      <c r="F20" s="1538"/>
      <c r="G20" s="1537"/>
      <c r="H20" s="1539"/>
      <c r="I20" s="1539"/>
      <c r="J20" s="1539"/>
      <c r="K20" s="1540"/>
      <c r="L20" s="1540"/>
      <c r="M20" s="630"/>
      <c r="N20" s="630"/>
      <c r="O20" s="630"/>
      <c r="P20" s="630"/>
      <c r="Q20" s="630"/>
      <c r="R20" s="630"/>
      <c r="S20" s="630"/>
      <c r="T20" s="630"/>
      <c r="U20" s="630"/>
      <c r="V20" s="630"/>
      <c r="W20" s="630"/>
      <c r="X20" s="630"/>
      <c r="Y20" s="630"/>
      <c r="Z20" s="630"/>
      <c r="AA20" s="1552">
        <f>+AA18+AA19</f>
        <v>4331235.3430000003</v>
      </c>
      <c r="AB20" s="1513"/>
      <c r="AC20" s="455" t="s">
        <v>2205</v>
      </c>
    </row>
    <row r="21" spans="1:29" s="1472" customFormat="1" ht="18.600000000000001" customHeight="1">
      <c r="A21" s="1556" t="s">
        <v>2124</v>
      </c>
      <c r="B21" s="1557"/>
      <c r="C21" s="1558">
        <f>SUM(C14:C19)</f>
        <v>100000000.40000001</v>
      </c>
      <c r="D21" s="1558">
        <f t="shared" ref="D21:E21" si="10">SUM(D14:D19)</f>
        <v>0</v>
      </c>
      <c r="E21" s="1616">
        <f t="shared" si="10"/>
        <v>100000000.40000001</v>
      </c>
      <c r="F21" s="1558"/>
      <c r="G21" s="1558">
        <f t="shared" ref="G21:X21" si="11">SUM(G14:G19)</f>
        <v>0</v>
      </c>
      <c r="H21" s="1558">
        <f t="shared" si="11"/>
        <v>0</v>
      </c>
      <c r="I21" s="1616"/>
      <c r="J21" s="1558">
        <f t="shared" si="11"/>
        <v>0</v>
      </c>
      <c r="K21" s="1558">
        <f t="shared" si="11"/>
        <v>0</v>
      </c>
      <c r="L21" s="1550">
        <f t="shared" si="11"/>
        <v>0</v>
      </c>
      <c r="M21" s="1550">
        <f t="shared" si="11"/>
        <v>0</v>
      </c>
      <c r="N21" s="1550">
        <f t="shared" si="11"/>
        <v>0</v>
      </c>
      <c r="O21" s="1550">
        <f t="shared" si="11"/>
        <v>0</v>
      </c>
      <c r="P21" s="1550">
        <f t="shared" si="11"/>
        <v>0</v>
      </c>
      <c r="Q21" s="1550">
        <f t="shared" si="11"/>
        <v>372868.45480000001</v>
      </c>
      <c r="R21" s="1550">
        <f t="shared" si="11"/>
        <v>827763.41099999996</v>
      </c>
      <c r="S21" s="1550">
        <f t="shared" si="11"/>
        <v>1125579.1839999999</v>
      </c>
      <c r="T21" s="1550">
        <f t="shared" si="11"/>
        <v>1500000.0059999998</v>
      </c>
      <c r="U21" s="1550">
        <f>SUM(U14:U19)</f>
        <v>3826211.0557999997</v>
      </c>
      <c r="V21" s="1550">
        <f t="shared" si="11"/>
        <v>1500000.0059999998</v>
      </c>
      <c r="W21" s="1550">
        <f t="shared" si="11"/>
        <v>1500000.0059999998</v>
      </c>
      <c r="X21" s="1550">
        <f t="shared" si="11"/>
        <v>1500000.0059999998</v>
      </c>
      <c r="Y21" s="1550">
        <f t="shared" ref="Y21:Z21" si="12">SUM(Y14:Y19)</f>
        <v>672236.59499999997</v>
      </c>
      <c r="Z21" s="1550">
        <f t="shared" si="12"/>
        <v>672236.59499999997</v>
      </c>
      <c r="AA21" s="1551">
        <f>+AA16+AA20</f>
        <v>9670684.2637999989</v>
      </c>
    </row>
    <row r="22" spans="1:29" s="455" customFormat="1">
      <c r="A22" s="1542"/>
      <c r="F22" s="1543"/>
      <c r="N22" s="1544"/>
      <c r="AA22" s="1618"/>
    </row>
    <row r="23" spans="1:29" s="1472" customFormat="1" ht="29.4" thickBot="1">
      <c r="A23" s="1617" t="s">
        <v>2125</v>
      </c>
      <c r="B23" s="1561"/>
      <c r="C23" s="1562">
        <f>+C13+C21</f>
        <v>149200000.40000001</v>
      </c>
      <c r="D23" s="1562">
        <f>+D13+D21</f>
        <v>49200000</v>
      </c>
      <c r="E23" s="1562">
        <f>+E13+E21</f>
        <v>100000000.40000001</v>
      </c>
      <c r="F23" s="1562"/>
      <c r="G23" s="1562">
        <f t="shared" ref="G23:AA23" si="13">+G13+G21</f>
        <v>0</v>
      </c>
      <c r="H23" s="1562">
        <f t="shared" si="13"/>
        <v>0</v>
      </c>
      <c r="I23" s="1562"/>
      <c r="J23" s="1562">
        <f t="shared" si="13"/>
        <v>0</v>
      </c>
      <c r="K23" s="1562">
        <f t="shared" si="13"/>
        <v>0</v>
      </c>
      <c r="L23" s="1563">
        <f t="shared" si="13"/>
        <v>0</v>
      </c>
      <c r="M23" s="1563">
        <f t="shared" si="13"/>
        <v>0</v>
      </c>
      <c r="N23" s="1563">
        <f t="shared" si="13"/>
        <v>0</v>
      </c>
      <c r="O23" s="1563">
        <f t="shared" si="13"/>
        <v>87083.33</v>
      </c>
      <c r="P23" s="1563">
        <f t="shared" si="13"/>
        <v>174166.67</v>
      </c>
      <c r="Q23" s="1563">
        <f t="shared" si="13"/>
        <v>547035.12479999999</v>
      </c>
      <c r="R23" s="1563">
        <f t="shared" si="13"/>
        <v>941235.63322222221</v>
      </c>
      <c r="S23" s="1563">
        <f t="shared" si="13"/>
        <v>1648804.1839999999</v>
      </c>
      <c r="T23" s="1563">
        <f t="shared" si="13"/>
        <v>1500000.0059999998</v>
      </c>
      <c r="U23" s="1563">
        <f>+U13+U21</f>
        <v>3826211.0557999997</v>
      </c>
      <c r="V23" s="1563">
        <f t="shared" si="13"/>
        <v>1500000.0059999998</v>
      </c>
      <c r="W23" s="1563">
        <f t="shared" si="13"/>
        <v>1500000.0059999998</v>
      </c>
      <c r="X23" s="1563">
        <f t="shared" si="13"/>
        <v>1500000.0059999998</v>
      </c>
      <c r="Y23" s="1563">
        <f t="shared" ref="Y23:Z23" si="14">+Y13+Y21</f>
        <v>672236.59499999997</v>
      </c>
      <c r="Z23" s="1563">
        <f t="shared" si="14"/>
        <v>672236.59499999997</v>
      </c>
      <c r="AA23" s="1564">
        <f t="shared" si="13"/>
        <v>9670684.2637999989</v>
      </c>
    </row>
  </sheetData>
  <phoneticPr fontId="3" type="noConversion"/>
  <pageMargins left="0.7" right="0.7" top="0.75" bottom="0.75" header="0.3" footer="0.3"/>
  <pageSetup orientation="portrait" r:id="rId1"/>
  <ignoredErrors>
    <ignoredError sqref="V13:X13 Y13:Z13" formulaRange="1"/>
    <ignoredError sqref="U18:U19 U14:U15" formula="1"/>
  </ignoredError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9FA1-CBF6-41DE-9EDB-13806FC84E96}">
  <dimension ref="A1:G8"/>
  <sheetViews>
    <sheetView workbookViewId="0">
      <selection activeCell="F7" sqref="F7"/>
    </sheetView>
  </sheetViews>
  <sheetFormatPr baseColWidth="10" defaultColWidth="11.44140625" defaultRowHeight="14.4"/>
  <cols>
    <col min="1" max="1" width="26" bestFit="1" customWidth="1"/>
    <col min="2" max="2" width="11" bestFit="1" customWidth="1"/>
    <col min="3" max="3" width="14" style="370" bestFit="1" customWidth="1"/>
    <col min="4" max="4" width="14.5546875" style="370" customWidth="1"/>
    <col min="5" max="5" width="32.5546875" customWidth="1"/>
    <col min="6" max="6" width="20" bestFit="1" customWidth="1"/>
    <col min="7" max="7" width="28.6640625" bestFit="1" customWidth="1"/>
  </cols>
  <sheetData>
    <row r="1" spans="1:7">
      <c r="A1" t="s">
        <v>707</v>
      </c>
      <c r="B1" t="s">
        <v>708</v>
      </c>
      <c r="C1" s="370" t="s">
        <v>164</v>
      </c>
      <c r="D1" s="370" t="s">
        <v>709</v>
      </c>
      <c r="E1" t="s">
        <v>817</v>
      </c>
      <c r="F1" t="s">
        <v>710</v>
      </c>
      <c r="G1" t="s">
        <v>852</v>
      </c>
    </row>
    <row r="2" spans="1:7">
      <c r="A2" t="s">
        <v>369</v>
      </c>
      <c r="B2" s="193">
        <v>45266</v>
      </c>
      <c r="C2" s="370">
        <v>273000</v>
      </c>
      <c r="D2" s="370">
        <v>273000</v>
      </c>
      <c r="E2" t="s">
        <v>911</v>
      </c>
      <c r="F2" t="s">
        <v>853</v>
      </c>
      <c r="G2" t="s">
        <v>853</v>
      </c>
    </row>
    <row r="3" spans="1:7">
      <c r="B3" s="193"/>
      <c r="C3" s="432">
        <f>SUM(C2:C2)</f>
        <v>273000</v>
      </c>
      <c r="D3" s="432">
        <f>SUM(D2:D2)</f>
        <v>273000</v>
      </c>
    </row>
    <row r="4" spans="1:7">
      <c r="A4" t="s">
        <v>1821</v>
      </c>
      <c r="B4" s="193">
        <v>45936</v>
      </c>
      <c r="C4" s="370">
        <v>6671.88</v>
      </c>
      <c r="D4" s="370">
        <v>6671.88</v>
      </c>
      <c r="E4" t="s">
        <v>2018</v>
      </c>
      <c r="F4" t="s">
        <v>1822</v>
      </c>
      <c r="G4" t="s">
        <v>1660</v>
      </c>
    </row>
    <row r="5" spans="1:7">
      <c r="B5" s="193"/>
      <c r="C5" s="432">
        <f>SUM(C4:C4)</f>
        <v>6671.88</v>
      </c>
      <c r="D5" s="432">
        <f>SUM(D4:D4)</f>
        <v>6671.88</v>
      </c>
    </row>
    <row r="6" spans="1:7">
      <c r="A6" t="s">
        <v>740</v>
      </c>
      <c r="B6" s="193">
        <v>45999</v>
      </c>
      <c r="C6" s="370">
        <v>16057.44</v>
      </c>
      <c r="D6" s="370">
        <v>16057.44</v>
      </c>
      <c r="E6" t="s">
        <v>2206</v>
      </c>
      <c r="F6" t="s">
        <v>2131</v>
      </c>
      <c r="G6" t="s">
        <v>2062</v>
      </c>
    </row>
    <row r="7" spans="1:7">
      <c r="B7" s="193"/>
      <c r="C7" s="432">
        <f>SUM(C6:C6)</f>
        <v>16057.44</v>
      </c>
      <c r="D7" s="432">
        <f>SUM(D6:D6)</f>
        <v>16057.44</v>
      </c>
    </row>
    <row r="8" spans="1:7">
      <c r="C8" s="1178">
        <f>+C3+C5+C7</f>
        <v>295729.32</v>
      </c>
      <c r="D8" s="1178">
        <f>+D3+D5+D7</f>
        <v>295729.32</v>
      </c>
    </row>
  </sheetData>
  <autoFilter ref="A1:G1" xr:uid="{8F833D8D-E3A2-49C0-BA28-FAE8897AAB0B}">
    <sortState xmlns:xlrd2="http://schemas.microsoft.com/office/spreadsheetml/2017/richdata2" ref="A2:G11">
      <sortCondition ref="G1"/>
    </sortState>
  </autoFilter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C3E85-CAA8-401A-B755-5262B4D7C815}">
  <dimension ref="A1:D65"/>
  <sheetViews>
    <sheetView showGridLines="0" zoomScaleNormal="100" workbookViewId="0">
      <selection activeCell="H62" sqref="H62"/>
    </sheetView>
  </sheetViews>
  <sheetFormatPr baseColWidth="10" defaultColWidth="8" defaultRowHeight="11.4"/>
  <cols>
    <col min="1" max="1" width="51.6640625" style="1440" customWidth="1"/>
    <col min="2" max="2" width="12.6640625" style="1440" customWidth="1"/>
    <col min="3" max="3" width="16.5546875" style="1440" bestFit="1" customWidth="1"/>
    <col min="4" max="4" width="11" style="1440" bestFit="1" customWidth="1"/>
    <col min="5" max="5" width="10.33203125" style="1440" customWidth="1"/>
    <col min="6" max="16384" width="8" style="1440"/>
  </cols>
  <sheetData>
    <row r="1" spans="1:4" s="1437" customFormat="1" ht="16.649999999999999" customHeight="1">
      <c r="A1" s="1436" t="s">
        <v>771</v>
      </c>
      <c r="B1" s="1436"/>
      <c r="C1" s="1436"/>
      <c r="D1" s="1436"/>
    </row>
    <row r="2" spans="1:4" s="1439" customFormat="1" ht="14.4" customHeight="1">
      <c r="A2" s="1438" t="s">
        <v>236</v>
      </c>
      <c r="B2" s="1438"/>
      <c r="C2" s="1438"/>
      <c r="D2" s="1438"/>
    </row>
    <row r="3" spans="1:4" s="1439" customFormat="1" ht="14.4" customHeight="1">
      <c r="A3" s="1438" t="s">
        <v>2207</v>
      </c>
      <c r="B3" s="1438"/>
      <c r="C3" s="1438"/>
      <c r="D3" s="1438"/>
    </row>
    <row r="4" spans="1:4" s="1439" customFormat="1" ht="14.4" customHeight="1">
      <c r="A4" s="1438" t="s">
        <v>724</v>
      </c>
      <c r="B4" s="1438"/>
      <c r="C4" s="1438"/>
      <c r="D4" s="1438"/>
    </row>
    <row r="5" spans="1:4" ht="13.35" customHeight="1"/>
    <row r="6" spans="1:4" s="1444" customFormat="1" ht="12.15" customHeight="1">
      <c r="A6" s="1441" t="s">
        <v>690</v>
      </c>
      <c r="B6" s="1441" t="s">
        <v>689</v>
      </c>
      <c r="C6" s="1441" t="s">
        <v>773</v>
      </c>
      <c r="D6" s="1442" t="s">
        <v>164</v>
      </c>
    </row>
    <row r="7" spans="1:4" ht="13.35" customHeight="1"/>
    <row r="8" spans="1:4" s="1444" customFormat="1" ht="12.15" customHeight="1">
      <c r="A8" s="1445" t="s">
        <v>2132</v>
      </c>
      <c r="B8" s="1445"/>
      <c r="C8" s="1445"/>
      <c r="D8" s="1445"/>
    </row>
    <row r="9" spans="1:4" ht="10.95" customHeight="1">
      <c r="A9" s="1446" t="s">
        <v>301</v>
      </c>
      <c r="B9" s="1447">
        <v>45888</v>
      </c>
      <c r="C9" s="1446" t="s">
        <v>1629</v>
      </c>
      <c r="D9" s="1448">
        <v>1427678.42</v>
      </c>
    </row>
    <row r="10" spans="1:4" ht="10.95" customHeight="1">
      <c r="A10" s="1454" t="s">
        <v>2133</v>
      </c>
      <c r="B10" s="1454"/>
      <c r="C10" s="1454"/>
      <c r="D10" s="1455">
        <f>D9</f>
        <v>1427678.42</v>
      </c>
    </row>
    <row r="11" spans="1:4" ht="13.35" customHeight="1"/>
    <row r="12" spans="1:4" s="1444" customFormat="1" ht="12.15" customHeight="1">
      <c r="A12" s="1445" t="s">
        <v>1030</v>
      </c>
      <c r="B12" s="1445"/>
      <c r="C12" s="1445"/>
      <c r="D12" s="1445"/>
    </row>
    <row r="13" spans="1:4" ht="10.95" customHeight="1">
      <c r="A13" s="1446" t="s">
        <v>1116</v>
      </c>
      <c r="B13" s="1447">
        <v>45992</v>
      </c>
      <c r="C13" s="1446" t="s">
        <v>2208</v>
      </c>
      <c r="D13" s="1448">
        <v>8342.4</v>
      </c>
    </row>
    <row r="14" spans="1:4" ht="10.95" customHeight="1">
      <c r="A14" s="1450" t="s">
        <v>1116</v>
      </c>
      <c r="B14" s="1451">
        <v>45992</v>
      </c>
      <c r="C14" s="1450" t="s">
        <v>2209</v>
      </c>
      <c r="D14" s="1452">
        <v>54404.68</v>
      </c>
    </row>
    <row r="15" spans="1:4" ht="10.95" customHeight="1">
      <c r="A15" s="1450" t="s">
        <v>2210</v>
      </c>
      <c r="B15" s="1451">
        <v>45992</v>
      </c>
      <c r="C15" s="1450" t="s">
        <v>2211</v>
      </c>
      <c r="D15" s="1452">
        <v>5584.07</v>
      </c>
    </row>
    <row r="16" spans="1:4" ht="10.95" customHeight="1">
      <c r="A16" s="1454" t="s">
        <v>1831</v>
      </c>
      <c r="B16" s="1454"/>
      <c r="C16" s="1454"/>
      <c r="D16" s="1455">
        <f>SUM(D13:D15)</f>
        <v>68331.149999999994</v>
      </c>
    </row>
    <row r="18" spans="1:4" s="1444" customFormat="1" ht="12.15" customHeight="1">
      <c r="A18" s="1445" t="s">
        <v>2056</v>
      </c>
      <c r="B18" s="1445"/>
      <c r="C18" s="1445"/>
      <c r="D18" s="1445"/>
    </row>
    <row r="19" spans="1:4" s="1444" customFormat="1" ht="12.15" customHeight="1">
      <c r="A19" s="1450" t="s">
        <v>2210</v>
      </c>
      <c r="B19" s="1451">
        <v>45992</v>
      </c>
      <c r="C19" s="1450" t="s">
        <v>2211</v>
      </c>
      <c r="D19" s="1452">
        <v>65818.02</v>
      </c>
    </row>
    <row r="20" spans="1:4" s="1444" customFormat="1" ht="12.15" customHeight="1">
      <c r="A20" s="1446" t="s">
        <v>1116</v>
      </c>
      <c r="B20" s="1447">
        <v>45992</v>
      </c>
      <c r="C20" s="1446" t="s">
        <v>2208</v>
      </c>
      <c r="D20" s="1448">
        <v>63841.34</v>
      </c>
    </row>
    <row r="21" spans="1:4" s="1444" customFormat="1" ht="12.15" customHeight="1">
      <c r="A21" s="1450" t="s">
        <v>1116</v>
      </c>
      <c r="B21" s="1451">
        <v>45992</v>
      </c>
      <c r="C21" s="1450" t="s">
        <v>2209</v>
      </c>
      <c r="D21" s="1452">
        <v>402461.23</v>
      </c>
    </row>
    <row r="22" spans="1:4" ht="10.95" customHeight="1">
      <c r="A22" s="1446" t="s">
        <v>1116</v>
      </c>
      <c r="B22" s="1447">
        <v>45996</v>
      </c>
      <c r="C22" s="1446" t="s">
        <v>2212</v>
      </c>
      <c r="D22" s="1448">
        <v>148390.48000000001</v>
      </c>
    </row>
    <row r="23" spans="1:4" ht="10.95" customHeight="1">
      <c r="A23" s="1450" t="s">
        <v>1116</v>
      </c>
      <c r="B23" s="1451">
        <v>45996</v>
      </c>
      <c r="C23" s="1450" t="s">
        <v>2213</v>
      </c>
      <c r="D23" s="1452">
        <v>1995</v>
      </c>
    </row>
    <row r="24" spans="1:4" ht="10.95" customHeight="1">
      <c r="A24" s="1450" t="s">
        <v>1116</v>
      </c>
      <c r="B24" s="1451">
        <v>45996</v>
      </c>
      <c r="C24" s="1450" t="s">
        <v>2214</v>
      </c>
      <c r="D24" s="1452">
        <v>33500.17</v>
      </c>
    </row>
    <row r="25" spans="1:4" ht="10.95" customHeight="1">
      <c r="A25" s="1450" t="s">
        <v>2210</v>
      </c>
      <c r="B25" s="1451">
        <v>45996</v>
      </c>
      <c r="C25" s="1450" t="s">
        <v>2215</v>
      </c>
      <c r="D25" s="1452">
        <v>9079.9500000000007</v>
      </c>
    </row>
    <row r="26" spans="1:4" ht="10.95" customHeight="1">
      <c r="A26" s="1450" t="s">
        <v>1116</v>
      </c>
      <c r="B26" s="1451">
        <v>45997</v>
      </c>
      <c r="C26" s="1450" t="s">
        <v>2216</v>
      </c>
      <c r="D26" s="1452">
        <v>21353</v>
      </c>
    </row>
    <row r="27" spans="1:4" ht="10.95" customHeight="1">
      <c r="A27" s="1450" t="s">
        <v>1116</v>
      </c>
      <c r="B27" s="1451">
        <v>46000</v>
      </c>
      <c r="C27" s="1450" t="s">
        <v>2217</v>
      </c>
      <c r="D27" s="1452">
        <v>543.02</v>
      </c>
    </row>
    <row r="28" spans="1:4" ht="10.95" customHeight="1">
      <c r="A28" s="1450" t="s">
        <v>1116</v>
      </c>
      <c r="B28" s="1451">
        <v>46001</v>
      </c>
      <c r="C28" s="1450" t="s">
        <v>2218</v>
      </c>
      <c r="D28" s="1452">
        <v>1963.88</v>
      </c>
    </row>
    <row r="29" spans="1:4" ht="10.95" customHeight="1">
      <c r="A29" s="1450" t="s">
        <v>1116</v>
      </c>
      <c r="B29" s="1451">
        <v>46001</v>
      </c>
      <c r="C29" s="1450" t="s">
        <v>2219</v>
      </c>
      <c r="D29" s="1452">
        <v>2567.8000000000002</v>
      </c>
    </row>
    <row r="30" spans="1:4" ht="10.95" customHeight="1">
      <c r="A30" s="1450" t="s">
        <v>2220</v>
      </c>
      <c r="B30" s="1451">
        <v>46001</v>
      </c>
      <c r="C30" s="1450" t="s">
        <v>2221</v>
      </c>
      <c r="D30" s="1452">
        <v>42386.42</v>
      </c>
    </row>
    <row r="31" spans="1:4" ht="10.95" customHeight="1">
      <c r="A31" s="1450" t="s">
        <v>1116</v>
      </c>
      <c r="B31" s="1451">
        <v>46002</v>
      </c>
      <c r="C31" s="1450" t="s">
        <v>2222</v>
      </c>
      <c r="D31" s="1452">
        <v>22591.8</v>
      </c>
    </row>
    <row r="32" spans="1:4" ht="10.95" customHeight="1">
      <c r="A32" s="1454" t="s">
        <v>2057</v>
      </c>
      <c r="B32" s="1454"/>
      <c r="C32" s="1454"/>
      <c r="D32" s="1455">
        <f>SUM(D19:D31)</f>
        <v>816492.1100000001</v>
      </c>
    </row>
    <row r="34" spans="1:4" s="1444" customFormat="1" ht="12.15" customHeight="1">
      <c r="A34" s="1445" t="s">
        <v>1308</v>
      </c>
      <c r="B34" s="1445"/>
      <c r="C34" s="1445"/>
      <c r="D34" s="1445"/>
    </row>
    <row r="35" spans="1:4" ht="10.95" customHeight="1">
      <c r="A35" s="1446" t="s">
        <v>1045</v>
      </c>
      <c r="B35" s="1447">
        <v>46022</v>
      </c>
      <c r="C35" s="1446" t="s">
        <v>2223</v>
      </c>
      <c r="D35" s="1448">
        <v>92700.800000000003</v>
      </c>
    </row>
    <row r="36" spans="1:4" ht="10.95" customHeight="1">
      <c r="A36" s="1454" t="s">
        <v>1835</v>
      </c>
      <c r="B36" s="1454"/>
      <c r="C36" s="1454"/>
      <c r="D36" s="1455">
        <f>D35</f>
        <v>92700.800000000003</v>
      </c>
    </row>
    <row r="37" spans="1:4" ht="13.35" customHeight="1"/>
    <row r="38" spans="1:4" s="1444" customFormat="1" ht="12.15" customHeight="1">
      <c r="A38" s="1445" t="s">
        <v>2022</v>
      </c>
      <c r="B38" s="1445"/>
      <c r="C38" s="1445"/>
      <c r="D38" s="1445"/>
    </row>
    <row r="39" spans="1:4" ht="10.95" customHeight="1">
      <c r="A39" s="1446" t="s">
        <v>2023</v>
      </c>
      <c r="B39" s="1447">
        <v>46021</v>
      </c>
      <c r="C39" s="1446" t="s">
        <v>2224</v>
      </c>
      <c r="D39" s="1448">
        <v>506964.3</v>
      </c>
    </row>
    <row r="40" spans="1:4" ht="10.95" customHeight="1">
      <c r="A40" s="1454" t="s">
        <v>2024</v>
      </c>
      <c r="B40" s="1454"/>
      <c r="C40" s="1454"/>
      <c r="D40" s="1455">
        <f>D39</f>
        <v>506964.3</v>
      </c>
    </row>
    <row r="41" spans="1:4" ht="13.35" customHeight="1"/>
    <row r="42" spans="1:4" s="1444" customFormat="1" ht="12.15" customHeight="1">
      <c r="A42" s="1445" t="s">
        <v>1475</v>
      </c>
      <c r="B42" s="1445"/>
      <c r="C42" s="1445"/>
      <c r="D42" s="1445"/>
    </row>
    <row r="43" spans="1:4" ht="10.95" customHeight="1">
      <c r="A43" s="1446" t="s">
        <v>914</v>
      </c>
      <c r="B43" s="1447">
        <v>46009</v>
      </c>
      <c r="C43" s="1446" t="s">
        <v>2225</v>
      </c>
      <c r="D43" s="1448">
        <v>751726.07999999996</v>
      </c>
    </row>
    <row r="44" spans="1:4" ht="10.95" customHeight="1">
      <c r="A44" s="1454" t="s">
        <v>1841</v>
      </c>
      <c r="B44" s="1454"/>
      <c r="C44" s="1454"/>
      <c r="D44" s="1455">
        <f>D43</f>
        <v>751726.07999999996</v>
      </c>
    </row>
    <row r="45" spans="1:4" ht="13.35" customHeight="1"/>
    <row r="46" spans="1:4" s="1444" customFormat="1" ht="12.15" customHeight="1">
      <c r="A46" s="1445" t="s">
        <v>1847</v>
      </c>
      <c r="B46" s="1445"/>
      <c r="C46" s="1445"/>
      <c r="D46" s="1445"/>
    </row>
    <row r="47" spans="1:4" ht="10.95" customHeight="1">
      <c r="A47" s="1446" t="s">
        <v>1043</v>
      </c>
      <c r="B47" s="1447">
        <v>46010</v>
      </c>
      <c r="C47" s="1446" t="s">
        <v>2226</v>
      </c>
      <c r="D47" s="1448">
        <v>15632.64</v>
      </c>
    </row>
    <row r="48" spans="1:4" ht="10.95" customHeight="1">
      <c r="A48" s="1450" t="s">
        <v>1045</v>
      </c>
      <c r="B48" s="1451">
        <v>46022</v>
      </c>
      <c r="C48" s="1450" t="s">
        <v>2227</v>
      </c>
      <c r="D48" s="1452">
        <v>92889.600000000006</v>
      </c>
    </row>
    <row r="49" spans="1:4" ht="10.95" customHeight="1">
      <c r="A49" s="1454" t="s">
        <v>1850</v>
      </c>
      <c r="B49" s="1454"/>
      <c r="C49" s="1454"/>
      <c r="D49" s="1455">
        <f>SUM(D47:D48)</f>
        <v>108522.24000000001</v>
      </c>
    </row>
    <row r="50" spans="1:4" ht="13.35" customHeight="1"/>
    <row r="51" spans="1:4" s="1444" customFormat="1" ht="12.15" customHeight="1">
      <c r="A51" s="1445" t="s">
        <v>2031</v>
      </c>
      <c r="B51" s="1445"/>
      <c r="C51" s="1445"/>
      <c r="D51" s="1445"/>
    </row>
    <row r="52" spans="1:4" ht="10.95" customHeight="1">
      <c r="A52" s="1446" t="s">
        <v>2228</v>
      </c>
      <c r="B52" s="1447">
        <v>46000</v>
      </c>
      <c r="C52" s="1446" t="s">
        <v>2229</v>
      </c>
      <c r="D52" s="1448">
        <v>88269.5</v>
      </c>
    </row>
    <row r="53" spans="1:4" ht="10.95" customHeight="1">
      <c r="A53" s="1450" t="s">
        <v>2230</v>
      </c>
      <c r="B53" s="1451">
        <v>46020</v>
      </c>
      <c r="C53" s="1450" t="s">
        <v>2231</v>
      </c>
      <c r="D53" s="1452">
        <v>190460</v>
      </c>
    </row>
    <row r="54" spans="1:4" ht="10.95" customHeight="1">
      <c r="A54" s="1454" t="s">
        <v>2032</v>
      </c>
      <c r="B54" s="1454"/>
      <c r="C54" s="1454"/>
      <c r="D54" s="1455">
        <f>SUM(D52:D53)</f>
        <v>278729.5</v>
      </c>
    </row>
    <row r="55" spans="1:4" ht="13.35" customHeight="1"/>
    <row r="56" spans="1:4" s="1444" customFormat="1" ht="12.15" customHeight="1">
      <c r="A56" s="1445" t="s">
        <v>2033</v>
      </c>
      <c r="B56" s="1445"/>
      <c r="C56" s="1445"/>
      <c r="D56" s="1445"/>
    </row>
    <row r="57" spans="1:4" ht="10.95" customHeight="1">
      <c r="A57" s="1446" t="s">
        <v>1049</v>
      </c>
      <c r="B57" s="1447">
        <v>45968</v>
      </c>
      <c r="C57" s="1446" t="s">
        <v>2166</v>
      </c>
      <c r="D57" s="1448">
        <v>10162</v>
      </c>
    </row>
    <row r="58" spans="1:4" ht="10.95" customHeight="1">
      <c r="A58" s="1450" t="s">
        <v>1049</v>
      </c>
      <c r="B58" s="1451">
        <v>45994</v>
      </c>
      <c r="C58" s="1450" t="s">
        <v>2232</v>
      </c>
      <c r="D58" s="1452">
        <v>208600</v>
      </c>
    </row>
    <row r="59" spans="1:4" ht="10.95" customHeight="1">
      <c r="A59" s="1454" t="s">
        <v>2037</v>
      </c>
      <c r="B59" s="1454"/>
      <c r="C59" s="1454"/>
      <c r="D59" s="1455">
        <f>SUM(D57:D58)</f>
        <v>218762</v>
      </c>
    </row>
    <row r="60" spans="1:4" ht="13.35" customHeight="1"/>
    <row r="61" spans="1:4" s="1444" customFormat="1" ht="12.15" customHeight="1">
      <c r="A61" s="1445" t="s">
        <v>919</v>
      </c>
      <c r="B61" s="1445"/>
      <c r="C61" s="1445"/>
      <c r="D61" s="1445"/>
    </row>
    <row r="62" spans="1:4" ht="10.95" customHeight="1">
      <c r="A62" s="1446" t="s">
        <v>715</v>
      </c>
      <c r="B62" s="1447">
        <v>46009</v>
      </c>
      <c r="C62" s="1446" t="s">
        <v>2233</v>
      </c>
      <c r="D62" s="1448">
        <v>31500</v>
      </c>
    </row>
    <row r="63" spans="1:4" ht="10.95" customHeight="1">
      <c r="A63" s="1454" t="s">
        <v>1864</v>
      </c>
      <c r="B63" s="1454"/>
      <c r="C63" s="1454"/>
      <c r="D63" s="1455">
        <f>D62</f>
        <v>31500</v>
      </c>
    </row>
    <row r="65" spans="1:4" ht="10.95" customHeight="1">
      <c r="A65" s="1461" t="s">
        <v>164</v>
      </c>
      <c r="B65" s="1461"/>
      <c r="C65" s="1461"/>
      <c r="D65" s="1462">
        <f>SUM(D10,D16,D32,D36,D40,D44,D49,D54,D59,D63)</f>
        <v>4301406.5999999996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2353D-87E1-4AAA-BF46-DFD2D85FD52F}">
  <dimension ref="A2:I20"/>
  <sheetViews>
    <sheetView showGridLines="0" zoomScaleNormal="100" workbookViewId="0">
      <selection activeCell="C24" sqref="C24"/>
    </sheetView>
  </sheetViews>
  <sheetFormatPr baseColWidth="10" defaultColWidth="8" defaultRowHeight="11.4"/>
  <cols>
    <col min="1" max="1" width="37.6640625" style="1440" customWidth="1"/>
    <col min="2" max="2" width="11" style="1440" bestFit="1" customWidth="1"/>
    <col min="3" max="3" width="9.6640625" style="1440" bestFit="1" customWidth="1"/>
    <col min="4" max="4" width="8" style="1440" bestFit="1" customWidth="1"/>
    <col min="5" max="6" width="9" style="1440" bestFit="1" customWidth="1"/>
    <col min="7" max="8" width="11" style="1440" bestFit="1" customWidth="1"/>
    <col min="9" max="16384" width="8" style="1440"/>
  </cols>
  <sheetData>
    <row r="2" spans="1:9" s="1439" customFormat="1" ht="14.4" customHeight="1">
      <c r="A2" s="2170" t="s">
        <v>236</v>
      </c>
      <c r="B2" s="2170"/>
      <c r="C2" s="2170"/>
      <c r="D2" s="2170"/>
      <c r="E2" s="2170"/>
      <c r="F2" s="2170"/>
      <c r="G2" s="2170"/>
      <c r="H2" s="2170"/>
    </row>
    <row r="3" spans="1:9" s="1439" customFormat="1" ht="14.4" customHeight="1">
      <c r="A3" s="2170" t="s">
        <v>2207</v>
      </c>
      <c r="B3" s="2170"/>
      <c r="C3" s="2170"/>
      <c r="D3" s="2170"/>
      <c r="E3" s="2170"/>
      <c r="F3" s="2170"/>
      <c r="G3" s="2170"/>
      <c r="H3" s="2170"/>
    </row>
    <row r="4" spans="1:9" s="1439" customFormat="1" ht="14.4" customHeight="1">
      <c r="A4" s="1438"/>
      <c r="B4" s="1438"/>
      <c r="C4" s="1438"/>
      <c r="D4" s="1438"/>
      <c r="E4" s="1438"/>
      <c r="F4" s="1438"/>
      <c r="G4" s="1438"/>
      <c r="H4" s="1438"/>
    </row>
    <row r="5" spans="1:9" ht="13.35" customHeight="1"/>
    <row r="6" spans="1:9" s="1444" customFormat="1" ht="12.15" customHeight="1">
      <c r="A6" s="1441" t="s">
        <v>862</v>
      </c>
      <c r="B6" s="1442" t="s">
        <v>861</v>
      </c>
      <c r="C6" s="1442" t="s">
        <v>824</v>
      </c>
      <c r="D6" s="1442" t="s">
        <v>825</v>
      </c>
      <c r="E6" s="1442" t="s">
        <v>826</v>
      </c>
      <c r="F6" s="1442" t="s">
        <v>827</v>
      </c>
      <c r="G6" s="1442" t="s">
        <v>828</v>
      </c>
      <c r="H6" s="1442" t="s">
        <v>164</v>
      </c>
    </row>
    <row r="7" spans="1:9" ht="10.95" customHeight="1">
      <c r="A7" s="1446" t="s">
        <v>2234</v>
      </c>
      <c r="B7" s="1448">
        <v>0</v>
      </c>
      <c r="C7" s="1448">
        <v>0</v>
      </c>
      <c r="D7" s="1448">
        <v>0</v>
      </c>
      <c r="E7" s="1448">
        <v>0</v>
      </c>
      <c r="F7" s="1448">
        <v>0</v>
      </c>
      <c r="G7" s="1448">
        <v>1427678.42</v>
      </c>
      <c r="H7" s="1448">
        <v>1427678.42</v>
      </c>
      <c r="I7" s="1641">
        <f>+H7/$H$18</f>
        <v>0.33190966415497669</v>
      </c>
    </row>
    <row r="8" spans="1:9" ht="10.95" customHeight="1">
      <c r="A8" s="1450" t="s">
        <v>1025</v>
      </c>
      <c r="B8" s="1452">
        <v>13926.47</v>
      </c>
      <c r="C8" s="1452">
        <v>54404.69</v>
      </c>
      <c r="D8" s="1452">
        <v>0</v>
      </c>
      <c r="E8" s="1452">
        <v>0</v>
      </c>
      <c r="F8" s="1452">
        <v>0</v>
      </c>
      <c r="G8" s="1452">
        <v>0</v>
      </c>
      <c r="H8" s="1452">
        <v>68331.149999999994</v>
      </c>
      <c r="I8" s="1641">
        <f t="shared" ref="I8:I16" si="0">+H8/$H$18</f>
        <v>1.5885768622757031E-2</v>
      </c>
    </row>
    <row r="9" spans="1:9" ht="10.95" customHeight="1">
      <c r="A9" s="1450" t="s">
        <v>1795</v>
      </c>
      <c r="B9" s="1452">
        <v>782991.94000000006</v>
      </c>
      <c r="C9" s="1452">
        <v>33500.17</v>
      </c>
      <c r="D9" s="1452">
        <v>0</v>
      </c>
      <c r="E9" s="1452">
        <v>0</v>
      </c>
      <c r="F9" s="1452">
        <v>0</v>
      </c>
      <c r="G9" s="1452">
        <v>0</v>
      </c>
      <c r="H9" s="1452">
        <v>816492.1100000001</v>
      </c>
      <c r="I9" s="1641">
        <f t="shared" si="0"/>
        <v>0.18981979290216372</v>
      </c>
    </row>
    <row r="10" spans="1:9" ht="10.95" customHeight="1">
      <c r="A10" s="1450" t="s">
        <v>1390</v>
      </c>
      <c r="B10" s="1452">
        <v>92700.800000000003</v>
      </c>
      <c r="C10" s="1452">
        <v>0</v>
      </c>
      <c r="D10" s="1452">
        <v>0</v>
      </c>
      <c r="E10" s="1452">
        <v>0</v>
      </c>
      <c r="F10" s="1452">
        <v>0</v>
      </c>
      <c r="G10" s="1452">
        <v>0</v>
      </c>
      <c r="H10" s="1452">
        <v>92700.800000000003</v>
      </c>
      <c r="I10" s="1641">
        <f t="shared" si="0"/>
        <v>2.1551275808243751E-2</v>
      </c>
    </row>
    <row r="11" spans="1:9" ht="10.95" customHeight="1">
      <c r="A11" s="1450" t="s">
        <v>2235</v>
      </c>
      <c r="B11" s="1452">
        <v>506964.3</v>
      </c>
      <c r="C11" s="1452">
        <v>0</v>
      </c>
      <c r="D11" s="1452">
        <v>0</v>
      </c>
      <c r="E11" s="1452">
        <v>0</v>
      </c>
      <c r="F11" s="1452">
        <v>0</v>
      </c>
      <c r="G11" s="1452">
        <v>0</v>
      </c>
      <c r="H11" s="1452">
        <v>506964.3</v>
      </c>
      <c r="I11" s="1641">
        <f t="shared" si="0"/>
        <v>0.11786012045455085</v>
      </c>
    </row>
    <row r="12" spans="1:9" ht="10.95" customHeight="1">
      <c r="A12" s="1450" t="s">
        <v>1610</v>
      </c>
      <c r="B12" s="1452">
        <v>0</v>
      </c>
      <c r="C12" s="1452">
        <v>751726.07999999996</v>
      </c>
      <c r="D12" s="1452">
        <v>0</v>
      </c>
      <c r="E12" s="1452">
        <v>0</v>
      </c>
      <c r="F12" s="1452">
        <v>0</v>
      </c>
      <c r="G12" s="1452">
        <v>0</v>
      </c>
      <c r="H12" s="1452">
        <v>751726.07999999996</v>
      </c>
      <c r="I12" s="1641">
        <f t="shared" si="0"/>
        <v>0.17476285083116766</v>
      </c>
    </row>
    <row r="13" spans="1:9" ht="10.95" customHeight="1">
      <c r="A13" s="1450" t="s">
        <v>1757</v>
      </c>
      <c r="B13" s="1452">
        <v>92889.600000000006</v>
      </c>
      <c r="C13" s="1452">
        <v>15632.64</v>
      </c>
      <c r="D13" s="1452">
        <v>0</v>
      </c>
      <c r="E13" s="1452">
        <v>0</v>
      </c>
      <c r="F13" s="1452">
        <v>0</v>
      </c>
      <c r="G13" s="1452">
        <v>0</v>
      </c>
      <c r="H13" s="1452">
        <v>108522.24000000001</v>
      </c>
      <c r="I13" s="1641">
        <f t="shared" si="0"/>
        <v>2.5229477259834029E-2</v>
      </c>
    </row>
    <row r="14" spans="1:9" ht="10.95" customHeight="1">
      <c r="A14" s="1450" t="s">
        <v>2073</v>
      </c>
      <c r="B14" s="1452">
        <v>278729.5</v>
      </c>
      <c r="C14" s="1452">
        <v>0</v>
      </c>
      <c r="D14" s="1452">
        <v>0</v>
      </c>
      <c r="E14" s="1452">
        <v>0</v>
      </c>
      <c r="F14" s="1452">
        <v>0</v>
      </c>
      <c r="G14" s="1452">
        <v>0</v>
      </c>
      <c r="H14" s="1452">
        <v>278729.5</v>
      </c>
      <c r="I14" s="1641">
        <f t="shared" si="0"/>
        <v>6.4799616943908539E-2</v>
      </c>
    </row>
    <row r="15" spans="1:9" ht="10.95" customHeight="1">
      <c r="A15" s="1450" t="s">
        <v>2043</v>
      </c>
      <c r="B15" s="1452">
        <v>208600</v>
      </c>
      <c r="C15" s="1452">
        <v>10162</v>
      </c>
      <c r="D15" s="1452">
        <v>0</v>
      </c>
      <c r="E15" s="1452">
        <v>0</v>
      </c>
      <c r="F15" s="1452">
        <v>0</v>
      </c>
      <c r="G15" s="1452">
        <v>0</v>
      </c>
      <c r="H15" s="1452">
        <v>218762</v>
      </c>
      <c r="I15" s="1641">
        <f t="shared" si="0"/>
        <v>5.0858247160359131E-2</v>
      </c>
    </row>
    <row r="16" spans="1:9" ht="10.95" customHeight="1">
      <c r="A16" s="1450" t="s">
        <v>860</v>
      </c>
      <c r="B16" s="1452">
        <v>0</v>
      </c>
      <c r="C16" s="1452">
        <v>31500</v>
      </c>
      <c r="D16" s="1452">
        <v>0</v>
      </c>
      <c r="E16" s="1452">
        <v>0</v>
      </c>
      <c r="F16" s="1452">
        <v>0</v>
      </c>
      <c r="G16" s="1452">
        <v>0</v>
      </c>
      <c r="H16" s="1452">
        <v>31500</v>
      </c>
      <c r="I16" s="1641">
        <f t="shared" si="0"/>
        <v>7.3231858620387115E-3</v>
      </c>
    </row>
    <row r="18" spans="1:8" ht="10.95" customHeight="1">
      <c r="A18" s="1461" t="s">
        <v>164</v>
      </c>
      <c r="B18" s="1462">
        <f t="shared" ref="B18:H18" si="1">SUM(B7:B16)</f>
        <v>1976802.61</v>
      </c>
      <c r="C18" s="1462">
        <f t="shared" si="1"/>
        <v>896925.58</v>
      </c>
      <c r="D18" s="1462">
        <f t="shared" si="1"/>
        <v>0</v>
      </c>
      <c r="E18" s="1462">
        <f t="shared" si="1"/>
        <v>0</v>
      </c>
      <c r="F18" s="1462">
        <f t="shared" si="1"/>
        <v>0</v>
      </c>
      <c r="G18" s="1462">
        <f t="shared" si="1"/>
        <v>1427678.42</v>
      </c>
      <c r="H18" s="1462">
        <f t="shared" si="1"/>
        <v>4301406.5999999996</v>
      </c>
    </row>
    <row r="19" spans="1:8" ht="13.35" customHeight="1"/>
    <row r="20" spans="1:8" ht="10.95" customHeight="1">
      <c r="A20" s="1461" t="s">
        <v>732</v>
      </c>
      <c r="B20" s="1624">
        <f>(SUM(B7:B16) / SUM(B7:G7,B8:G8,B9:G9,B10:G10,B11:G11,B12:G12,B13:G13,B14:G14,B15:G15,B16:G16))</f>
        <v>0.45957120291866582</v>
      </c>
      <c r="C20" s="1624">
        <f>(SUM(C7:C16) / SUM(B7:G7,B8:G8,B9:G9,B10:G10,B11:G11,B12:G12,B13:G13,B14:G14,B15:G15,B16:G16))</f>
        <v>0.20851913369798816</v>
      </c>
      <c r="D20" s="1624">
        <f>(SUM(D7:D16) / SUM(B7:G7,B8:G8,B9:G9,B10:G10,B11:G11,B12:G12,B13:G13,B14:G14,B15:G15,B16:G16))</f>
        <v>0</v>
      </c>
      <c r="E20" s="1624">
        <f>(SUM(E7:E16) / SUM(B7:G7,B8:G8,B9:G9,B10:G10,B11:G11,B12:G12,B13:G13,B14:G14,B15:G15,B16:G16))</f>
        <v>0</v>
      </c>
      <c r="F20" s="1624">
        <f>(SUM(F7:F16) / SUM(B7:G7,B8:G8,B9:G9,B10:G10,B11:G11,B12:G12,B13:G13,B14:G14,B15:G15,B16:G16))</f>
        <v>0</v>
      </c>
      <c r="G20" s="1624">
        <f>(SUM(G7:G16) / SUM(B7:G7,B8:G8,B9:G9,B10:G10,B11:G11,B12:G12,B13:G13,B14:G14,B15:G15,B16:G16))</f>
        <v>0.33190966338334615</v>
      </c>
      <c r="H20" s="1624">
        <f>(SUM(H7:H16) / SUM(H7:H16))</f>
        <v>1</v>
      </c>
    </row>
  </sheetData>
  <mergeCells count="2">
    <mergeCell ref="A2:H2"/>
    <mergeCell ref="A3:H3"/>
  </mergeCells>
  <pageMargins left="0.7" right="0.7" top="0.75" bottom="0.75" header="0.3" footer="0.3"/>
  <pageSetup paperSize="9" fitToWidth="0" fitToHeight="0" orientation="portrait" horizontalDpi="0" verticalDpi="0"/>
  <ignoredErrors>
    <ignoredError sqref="H20 B20:G20" formulaRange="1"/>
  </ignoredError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F5B02-50D6-44C0-AC02-383716C5D1D0}">
  <sheetPr>
    <pageSetUpPr fitToPage="1"/>
  </sheetPr>
  <dimension ref="A1:E19"/>
  <sheetViews>
    <sheetView showGridLines="0" zoomScaleNormal="100" workbookViewId="0">
      <selection activeCell="H11" sqref="H11"/>
    </sheetView>
  </sheetViews>
  <sheetFormatPr baseColWidth="10" defaultColWidth="8" defaultRowHeight="11.4"/>
  <cols>
    <col min="1" max="1" width="20.6640625" style="408" customWidth="1"/>
    <col min="2" max="2" width="14.109375" style="408" bestFit="1" customWidth="1"/>
    <col min="3" max="3" width="53.33203125" style="528" bestFit="1" customWidth="1"/>
    <col min="4" max="4" width="22.109375" style="408" bestFit="1" customWidth="1"/>
    <col min="5" max="5" width="10" style="408" bestFit="1" customWidth="1"/>
    <col min="6" max="7" width="9.33203125" style="408" bestFit="1" customWidth="1"/>
    <col min="8" max="16384" width="8" style="408"/>
  </cols>
  <sheetData>
    <row r="1" spans="1:5" s="405" customFormat="1" ht="17.399999999999999">
      <c r="A1" s="404" t="s">
        <v>1865</v>
      </c>
      <c r="B1" s="404"/>
      <c r="C1" s="526"/>
      <c r="D1" s="404"/>
      <c r="E1" s="404"/>
    </row>
    <row r="2" spans="1:5" s="407" customFormat="1" ht="15">
      <c r="A2" s="2151" t="s">
        <v>236</v>
      </c>
      <c r="B2" s="2151"/>
      <c r="C2" s="2151"/>
      <c r="D2" s="2152"/>
      <c r="E2" s="2151"/>
    </row>
    <row r="3" spans="1:5" s="407" customFormat="1" ht="15">
      <c r="A3" s="406" t="s">
        <v>1866</v>
      </c>
      <c r="B3" s="406"/>
      <c r="C3" s="527"/>
      <c r="D3" s="406"/>
      <c r="E3" s="406"/>
    </row>
    <row r="5" spans="1:5" s="412" customFormat="1" ht="13.2">
      <c r="A5" s="410" t="s">
        <v>1485</v>
      </c>
      <c r="B5" s="410" t="s">
        <v>1867</v>
      </c>
      <c r="C5" s="529" t="s">
        <v>817</v>
      </c>
      <c r="D5" s="410" t="s">
        <v>691</v>
      </c>
      <c r="E5" s="411" t="s">
        <v>1869</v>
      </c>
    </row>
    <row r="7" spans="1:5" ht="13.2">
      <c r="A7" s="1988" t="s">
        <v>2043</v>
      </c>
      <c r="B7" s="409"/>
      <c r="C7" s="530"/>
      <c r="D7" s="409"/>
      <c r="E7" s="409"/>
    </row>
    <row r="8" spans="1:5">
      <c r="A8" s="430">
        <v>45731</v>
      </c>
      <c r="B8" s="414" t="s">
        <v>1870</v>
      </c>
      <c r="C8" s="414" t="s">
        <v>2044</v>
      </c>
      <c r="D8" s="414" t="s">
        <v>1318</v>
      </c>
      <c r="E8" s="415">
        <v>826</v>
      </c>
    </row>
    <row r="9" spans="1:5" ht="12">
      <c r="A9" s="416" t="s">
        <v>2049</v>
      </c>
      <c r="B9" s="416"/>
      <c r="C9" s="532"/>
      <c r="D9" s="416"/>
      <c r="E9" s="417">
        <f>SUM(E8:E8)</f>
        <v>826</v>
      </c>
    </row>
    <row r="11" spans="1:5" s="412" customFormat="1" ht="13.2">
      <c r="A11" s="409" t="s">
        <v>2050</v>
      </c>
      <c r="B11" s="409"/>
      <c r="C11" s="530"/>
      <c r="D11" s="409"/>
      <c r="E11" s="409"/>
    </row>
    <row r="12" spans="1:5">
      <c r="A12" s="430">
        <v>46010</v>
      </c>
      <c r="B12" s="414" t="s">
        <v>1870</v>
      </c>
      <c r="C12" s="414" t="s">
        <v>1507</v>
      </c>
      <c r="D12" s="414" t="s">
        <v>2236</v>
      </c>
      <c r="E12" s="415">
        <v>137472.54999999999</v>
      </c>
    </row>
    <row r="13" spans="1:5" ht="12">
      <c r="A13" s="416" t="s">
        <v>1880</v>
      </c>
      <c r="B13" s="416"/>
      <c r="C13" s="532"/>
      <c r="D13" s="416"/>
      <c r="E13" s="417">
        <f>SUM(E12:E12)</f>
        <v>137472.54999999999</v>
      </c>
    </row>
    <row r="15" spans="1:5" ht="13.2">
      <c r="A15" s="1988" t="s">
        <v>2074</v>
      </c>
      <c r="B15" s="409"/>
      <c r="C15" s="530"/>
      <c r="D15" s="409"/>
      <c r="E15" s="409"/>
    </row>
    <row r="16" spans="1:5">
      <c r="A16" s="430">
        <v>45987</v>
      </c>
      <c r="B16" s="414" t="s">
        <v>1870</v>
      </c>
      <c r="C16" s="414" t="s">
        <v>2181</v>
      </c>
      <c r="D16" s="414" t="s">
        <v>2182</v>
      </c>
      <c r="E16" s="415">
        <v>10245.73</v>
      </c>
    </row>
    <row r="17" spans="1:5" ht="12">
      <c r="A17" s="416" t="s">
        <v>2183</v>
      </c>
      <c r="B17" s="416"/>
      <c r="C17" s="532"/>
      <c r="D17" s="416"/>
      <c r="E17" s="417">
        <f>SUM(E16:E16)</f>
        <v>10245.73</v>
      </c>
    </row>
    <row r="18" spans="1:5" ht="12">
      <c r="A18" s="413"/>
      <c r="B18" s="413"/>
      <c r="C18" s="1567"/>
      <c r="D18" s="413"/>
      <c r="E18" s="428"/>
    </row>
    <row r="19" spans="1:5" ht="12">
      <c r="A19" s="419" t="s">
        <v>164</v>
      </c>
      <c r="B19" s="419"/>
      <c r="C19" s="534"/>
      <c r="D19" s="419"/>
      <c r="E19" s="420">
        <f>+E9+E13+E17</f>
        <v>148544.28</v>
      </c>
    </row>
  </sheetData>
  <autoFilter ref="A1:E21" xr:uid="{21EBD777-0645-4A57-A514-52C6A2CD1953}"/>
  <mergeCells count="1">
    <mergeCell ref="A2:E2"/>
  </mergeCells>
  <pageMargins left="0.7" right="0.7" top="0.75" bottom="0.75" header="0.3" footer="0.3"/>
  <pageSetup scale="75" orientation="portrait"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64CEC-A654-49B9-B781-B15BD4F05C23}">
  <dimension ref="A1:J115"/>
  <sheetViews>
    <sheetView showGridLines="0" topLeftCell="A92" zoomScale="110" zoomScaleNormal="110" workbookViewId="0">
      <selection activeCell="A110" sqref="A110:J111"/>
    </sheetView>
  </sheetViews>
  <sheetFormatPr baseColWidth="10" defaultColWidth="8" defaultRowHeight="11.4"/>
  <cols>
    <col min="1" max="1" width="60.5546875" style="1440" customWidth="1"/>
    <col min="2" max="2" width="12.6640625" style="1440" customWidth="1"/>
    <col min="3" max="3" width="16.5546875" style="1440" bestFit="1" customWidth="1"/>
    <col min="4" max="4" width="9.6640625" style="1440" bestFit="1" customWidth="1"/>
    <col min="5" max="5" width="18.109375" style="1440" bestFit="1" customWidth="1"/>
    <col min="6" max="6" width="10.6640625" style="1440" bestFit="1" customWidth="1"/>
    <col min="7" max="7" width="12.6640625" style="1440" bestFit="1" customWidth="1"/>
    <col min="8" max="10" width="10.6640625" style="1440" bestFit="1" customWidth="1"/>
    <col min="11" max="16384" width="8" style="1440"/>
  </cols>
  <sheetData>
    <row r="1" spans="1:10" s="1437" customFormat="1" ht="16.649999999999999" customHeight="1">
      <c r="A1" s="1436" t="s">
        <v>771</v>
      </c>
      <c r="B1" s="1436"/>
      <c r="C1" s="1436"/>
      <c r="D1" s="1436"/>
    </row>
    <row r="2" spans="1:10" s="1439" customFormat="1" ht="14.4" customHeight="1">
      <c r="A2" s="1438" t="s">
        <v>236</v>
      </c>
      <c r="B2" s="1438"/>
      <c r="C2" s="1438"/>
      <c r="D2" s="1438"/>
    </row>
    <row r="3" spans="1:10" s="1439" customFormat="1" ht="14.4" customHeight="1">
      <c r="A3" s="1438" t="s">
        <v>2019</v>
      </c>
      <c r="B3" s="1438"/>
      <c r="C3" s="1438"/>
      <c r="D3" s="1438"/>
    </row>
    <row r="4" spans="1:10" s="1439" customFormat="1" ht="14.4" customHeight="1">
      <c r="A4" s="1438" t="s">
        <v>724</v>
      </c>
      <c r="B4" s="1438"/>
      <c r="C4" s="1438"/>
      <c r="D4" s="1438"/>
    </row>
    <row r="5" spans="1:10" ht="13.35" customHeight="1"/>
    <row r="6" spans="1:10" s="1444" customFormat="1" ht="12.15" customHeight="1">
      <c r="A6" s="1441" t="s">
        <v>690</v>
      </c>
      <c r="B6" s="1441" t="s">
        <v>689</v>
      </c>
      <c r="C6" s="1441" t="s">
        <v>773</v>
      </c>
      <c r="D6" s="1442" t="s">
        <v>164</v>
      </c>
      <c r="E6" s="1442" t="s">
        <v>2053</v>
      </c>
      <c r="F6" s="1443">
        <v>46023</v>
      </c>
      <c r="G6" s="1443">
        <v>46054</v>
      </c>
      <c r="H6" s="1443">
        <v>46082</v>
      </c>
      <c r="I6" s="1443">
        <v>46113</v>
      </c>
      <c r="J6" s="1443">
        <v>46143</v>
      </c>
    </row>
    <row r="7" spans="1:10" ht="13.35" customHeight="1">
      <c r="D7" s="1568"/>
      <c r="E7" s="1568"/>
      <c r="F7" s="1568"/>
      <c r="G7" s="1568"/>
      <c r="H7" s="1568"/>
      <c r="I7" s="1568"/>
      <c r="J7" s="1568"/>
    </row>
    <row r="8" spans="1:10" s="1444" customFormat="1" ht="12.15" customHeight="1">
      <c r="A8" s="1445" t="s">
        <v>2132</v>
      </c>
      <c r="B8" s="1445"/>
      <c r="C8" s="1445"/>
      <c r="D8" s="1569"/>
      <c r="E8" s="1569"/>
      <c r="F8" s="1569"/>
      <c r="G8" s="1569"/>
      <c r="H8" s="1569"/>
      <c r="I8" s="1569"/>
      <c r="J8" s="1569"/>
    </row>
    <row r="9" spans="1:10" ht="10.95" customHeight="1">
      <c r="A9" s="1446" t="s">
        <v>301</v>
      </c>
      <c r="B9" s="1447">
        <v>45888</v>
      </c>
      <c r="C9" s="1446" t="s">
        <v>1629</v>
      </c>
      <c r="D9" s="1570">
        <v>1427678.42</v>
      </c>
      <c r="E9" s="1570">
        <f>SUM(F9:J9)</f>
        <v>1427678.42</v>
      </c>
      <c r="F9" s="1570">
        <f>+D9</f>
        <v>1427678.42</v>
      </c>
      <c r="G9" s="1570"/>
      <c r="H9" s="1570"/>
      <c r="I9" s="1570"/>
      <c r="J9" s="1570"/>
    </row>
    <row r="10" spans="1:10" ht="10.95" customHeight="1">
      <c r="A10" s="1454" t="s">
        <v>2133</v>
      </c>
      <c r="B10" s="1454"/>
      <c r="C10" s="1454"/>
      <c r="D10" s="1572">
        <f>SUM(D9:D9)</f>
        <v>1427678.42</v>
      </c>
      <c r="E10" s="1572">
        <f>SUM(F10:J10)</f>
        <v>1427678.42</v>
      </c>
      <c r="F10" s="1572">
        <f>SUM(F9:F9)</f>
        <v>1427678.42</v>
      </c>
      <c r="G10" s="1572">
        <f>SUM(G9:G9)</f>
        <v>0</v>
      </c>
      <c r="H10" s="1572">
        <f>SUM(H9:H9)</f>
        <v>0</v>
      </c>
      <c r="I10" s="1572">
        <f>SUM(I9:I9)</f>
        <v>0</v>
      </c>
      <c r="J10" s="1572">
        <f>SUM(J9:J9)</f>
        <v>0</v>
      </c>
    </row>
    <row r="11" spans="1:10" ht="13.35" customHeight="1">
      <c r="D11" s="1568"/>
      <c r="E11" s="1568"/>
      <c r="F11" s="1568"/>
      <c r="G11" s="1568"/>
      <c r="H11" s="1568"/>
      <c r="I11" s="1568"/>
      <c r="J11" s="1568"/>
    </row>
    <row r="12" spans="1:10" s="1444" customFormat="1" ht="12.15" customHeight="1">
      <c r="A12" s="1445" t="s">
        <v>1030</v>
      </c>
      <c r="B12" s="1445"/>
      <c r="C12" s="1445"/>
      <c r="D12" s="1569"/>
      <c r="E12" s="1569"/>
      <c r="F12" s="1569"/>
      <c r="G12" s="1569"/>
      <c r="H12" s="1569"/>
      <c r="I12" s="1569"/>
      <c r="J12" s="1569"/>
    </row>
    <row r="13" spans="1:10" ht="10.95" customHeight="1">
      <c r="A13" s="1450" t="s">
        <v>1226</v>
      </c>
      <c r="B13" s="1447"/>
      <c r="C13" s="1446"/>
      <c r="D13" s="1570"/>
      <c r="E13" s="1570">
        <f>SUM(F13:J13)</f>
        <v>7726569.2400000002</v>
      </c>
      <c r="F13" s="1576">
        <f>3000989.64+1460688.28</f>
        <v>4461677.92</v>
      </c>
      <c r="G13" s="1576">
        <v>2576484.34</v>
      </c>
      <c r="H13" s="1576">
        <v>688406.98</v>
      </c>
      <c r="I13" s="1576"/>
      <c r="J13" s="1576"/>
    </row>
    <row r="14" spans="1:10" ht="10.95" customHeight="1">
      <c r="A14" s="1450" t="s">
        <v>2054</v>
      </c>
      <c r="B14" s="1447"/>
      <c r="C14" s="1446"/>
      <c r="D14" s="1570"/>
      <c r="E14" s="1570">
        <f>SUM(F14:J14)</f>
        <v>920651.11499999999</v>
      </c>
      <c r="F14" s="1576">
        <f>441302.23/2</f>
        <v>220651.11499999999</v>
      </c>
      <c r="G14" s="1576">
        <v>175000</v>
      </c>
      <c r="H14" s="1576">
        <v>175000</v>
      </c>
      <c r="I14" s="1576">
        <v>175000</v>
      </c>
      <c r="J14" s="1576">
        <v>175000</v>
      </c>
    </row>
    <row r="15" spans="1:10" ht="10.95" customHeight="1">
      <c r="A15" s="1454" t="s">
        <v>1831</v>
      </c>
      <c r="B15" s="1454"/>
      <c r="C15" s="1454"/>
      <c r="D15" s="1572">
        <f t="shared" ref="D15:J15" si="0">SUM(D13:D14)</f>
        <v>0</v>
      </c>
      <c r="E15" s="1572">
        <f t="shared" si="0"/>
        <v>8647220.3550000004</v>
      </c>
      <c r="F15" s="1572">
        <f t="shared" si="0"/>
        <v>4682329.0350000001</v>
      </c>
      <c r="G15" s="1572">
        <f t="shared" si="0"/>
        <v>2751484.34</v>
      </c>
      <c r="H15" s="1572">
        <f t="shared" si="0"/>
        <v>863406.98</v>
      </c>
      <c r="I15" s="1572">
        <f t="shared" si="0"/>
        <v>175000</v>
      </c>
      <c r="J15" s="1572">
        <f t="shared" si="0"/>
        <v>175000</v>
      </c>
    </row>
    <row r="17" spans="1:10" ht="13.35" customHeight="1">
      <c r="A17" s="1445" t="s">
        <v>2056</v>
      </c>
      <c r="B17" s="1445"/>
      <c r="C17" s="1445"/>
      <c r="D17" s="1569"/>
      <c r="E17" s="1569"/>
      <c r="F17" s="1569"/>
      <c r="G17" s="1569"/>
      <c r="H17" s="1569"/>
      <c r="I17" s="1569"/>
      <c r="J17" s="1569"/>
    </row>
    <row r="18" spans="1:10" ht="13.35" customHeight="1">
      <c r="A18" s="1446"/>
      <c r="B18" s="1447"/>
      <c r="C18" s="1446"/>
      <c r="D18" s="1570"/>
      <c r="E18" s="1570">
        <f>SUM(F18:J18)</f>
        <v>14276269.689999999</v>
      </c>
      <c r="F18" s="1576">
        <f>2419819.7+1675602.68</f>
        <v>4095422.38</v>
      </c>
      <c r="G18" s="1576">
        <v>3550419.58</v>
      </c>
      <c r="H18" s="1576">
        <v>4911566.8</v>
      </c>
      <c r="I18" s="1576">
        <v>1718860.93</v>
      </c>
      <c r="J18" s="1576"/>
    </row>
    <row r="19" spans="1:10" ht="13.35" customHeight="1">
      <c r="A19" s="1450" t="s">
        <v>2054</v>
      </c>
      <c r="B19" s="1447"/>
      <c r="D19" s="1568"/>
      <c r="E19" s="1570">
        <f>SUM(F19:J19)</f>
        <v>920651.11499999999</v>
      </c>
      <c r="F19" s="1573">
        <v>220651.11499999999</v>
      </c>
      <c r="G19" s="1573">
        <v>175000</v>
      </c>
      <c r="H19" s="1573">
        <v>175000</v>
      </c>
      <c r="I19" s="1573">
        <v>175000</v>
      </c>
      <c r="J19" s="1573">
        <v>175000</v>
      </c>
    </row>
    <row r="20" spans="1:10" ht="10.95" customHeight="1">
      <c r="A20" s="1454" t="s">
        <v>2057</v>
      </c>
      <c r="B20" s="1454"/>
      <c r="C20" s="1454"/>
      <c r="D20" s="1572">
        <f t="shared" ref="D20:J20" si="1">SUM(D18:D19)</f>
        <v>0</v>
      </c>
      <c r="E20" s="1572">
        <f t="shared" si="1"/>
        <v>15196920.805</v>
      </c>
      <c r="F20" s="1572">
        <f t="shared" si="1"/>
        <v>4316073.4950000001</v>
      </c>
      <c r="G20" s="1572">
        <f t="shared" si="1"/>
        <v>3725419.58</v>
      </c>
      <c r="H20" s="1572">
        <f t="shared" si="1"/>
        <v>5086566.8</v>
      </c>
      <c r="I20" s="1572">
        <f t="shared" si="1"/>
        <v>1893860.93</v>
      </c>
      <c r="J20" s="1572">
        <f t="shared" si="1"/>
        <v>175000</v>
      </c>
    </row>
    <row r="21" spans="1:10" ht="13.35" customHeight="1">
      <c r="D21" s="1568"/>
      <c r="E21" s="1568"/>
      <c r="F21" s="1568"/>
      <c r="G21" s="1568"/>
      <c r="H21" s="1568"/>
      <c r="I21" s="1568"/>
      <c r="J21" s="1568"/>
    </row>
    <row r="22" spans="1:10" s="1444" customFormat="1" ht="12.15" customHeight="1">
      <c r="A22" s="1445" t="s">
        <v>1036</v>
      </c>
      <c r="B22" s="1445"/>
      <c r="C22" s="1445"/>
      <c r="D22" s="1569"/>
      <c r="E22" s="1569"/>
      <c r="F22" s="1569"/>
      <c r="G22" s="1569"/>
      <c r="H22" s="1569"/>
      <c r="I22" s="1569"/>
      <c r="J22" s="1569"/>
    </row>
    <row r="23" spans="1:10" ht="10.95" customHeight="1">
      <c r="A23" s="1446" t="s">
        <v>715</v>
      </c>
      <c r="B23" s="1447"/>
      <c r="C23" s="1446"/>
      <c r="D23" s="1570"/>
      <c r="E23" s="1570">
        <f>SUM(F23:J23)</f>
        <v>11800000</v>
      </c>
      <c r="F23" s="1577">
        <v>2360000</v>
      </c>
      <c r="G23" s="1577">
        <v>2360000</v>
      </c>
      <c r="H23" s="1577">
        <v>2360000</v>
      </c>
      <c r="I23" s="1577">
        <v>2360000</v>
      </c>
      <c r="J23" s="1577">
        <v>2360000</v>
      </c>
    </row>
    <row r="24" spans="1:10" ht="10.199999999999999" customHeight="1">
      <c r="A24" s="1454" t="s">
        <v>1833</v>
      </c>
      <c r="B24" s="1454"/>
      <c r="C24" s="1454"/>
      <c r="D24" s="1572">
        <f t="shared" ref="D24:J24" si="2">SUM(D23:D23)</f>
        <v>0</v>
      </c>
      <c r="E24" s="1572">
        <f t="shared" si="2"/>
        <v>11800000</v>
      </c>
      <c r="F24" s="1572">
        <f t="shared" si="2"/>
        <v>2360000</v>
      </c>
      <c r="G24" s="1572">
        <f t="shared" si="2"/>
        <v>2360000</v>
      </c>
      <c r="H24" s="1572">
        <f t="shared" si="2"/>
        <v>2360000</v>
      </c>
      <c r="I24" s="1572">
        <f t="shared" si="2"/>
        <v>2360000</v>
      </c>
      <c r="J24" s="1572">
        <f t="shared" si="2"/>
        <v>2360000</v>
      </c>
    </row>
    <row r="25" spans="1:10" ht="13.35" customHeight="1">
      <c r="D25" s="1568"/>
      <c r="E25" s="1568"/>
      <c r="F25" s="1568"/>
      <c r="G25" s="1568"/>
      <c r="H25" s="1568"/>
      <c r="I25" s="1568"/>
      <c r="J25" s="1568"/>
    </row>
    <row r="26" spans="1:10" ht="13.35" customHeight="1">
      <c r="A26" s="1445" t="s">
        <v>1799</v>
      </c>
      <c r="B26" s="1445"/>
      <c r="C26" s="1445"/>
      <c r="D26" s="1569"/>
      <c r="E26" s="1569"/>
      <c r="F26" s="1569"/>
      <c r="G26" s="1569"/>
      <c r="H26" s="1569"/>
      <c r="I26" s="1569"/>
      <c r="J26" s="1569"/>
    </row>
    <row r="27" spans="1:10" ht="13.35" customHeight="1">
      <c r="A27" s="1446" t="s">
        <v>2185</v>
      </c>
      <c r="B27" s="1447"/>
      <c r="C27" s="1446"/>
      <c r="D27" s="1570"/>
      <c r="E27" s="1570">
        <f>SUM(F27:J27)</f>
        <v>3450000</v>
      </c>
      <c r="F27" s="1570">
        <f>1200000+450000</f>
        <v>1650000</v>
      </c>
      <c r="G27" s="1576">
        <v>450000</v>
      </c>
      <c r="H27" s="1576">
        <v>450000</v>
      </c>
      <c r="I27" s="1576">
        <v>450000</v>
      </c>
      <c r="J27" s="1576">
        <v>450000</v>
      </c>
    </row>
    <row r="28" spans="1:10" ht="13.35" customHeight="1">
      <c r="A28" s="1454" t="s">
        <v>2141</v>
      </c>
      <c r="B28" s="1454"/>
      <c r="C28" s="1454"/>
      <c r="D28" s="1572">
        <f t="shared" ref="D28:J28" si="3">SUM(D27:D27)</f>
        <v>0</v>
      </c>
      <c r="E28" s="1572">
        <f t="shared" si="3"/>
        <v>3450000</v>
      </c>
      <c r="F28" s="1572">
        <f t="shared" si="3"/>
        <v>1650000</v>
      </c>
      <c r="G28" s="1572">
        <f t="shared" si="3"/>
        <v>450000</v>
      </c>
      <c r="H28" s="1572">
        <f t="shared" si="3"/>
        <v>450000</v>
      </c>
      <c r="I28" s="1572">
        <f t="shared" si="3"/>
        <v>450000</v>
      </c>
      <c r="J28" s="1572">
        <f t="shared" si="3"/>
        <v>450000</v>
      </c>
    </row>
    <row r="29" spans="1:10" ht="13.35" customHeight="1">
      <c r="D29" s="1568"/>
      <c r="E29" s="1568"/>
      <c r="F29" s="1568"/>
      <c r="G29" s="1568"/>
      <c r="H29" s="1568"/>
      <c r="I29" s="1568"/>
      <c r="J29" s="1568"/>
    </row>
    <row r="30" spans="1:10" ht="13.35" customHeight="1">
      <c r="A30" s="1445" t="s">
        <v>1800</v>
      </c>
      <c r="B30" s="1445"/>
      <c r="C30" s="1445"/>
      <c r="D30" s="1569"/>
      <c r="E30" s="1569"/>
      <c r="F30" s="1569"/>
      <c r="G30" s="1569"/>
      <c r="H30" s="1569"/>
      <c r="I30" s="1569"/>
      <c r="J30" s="1569"/>
    </row>
    <row r="31" spans="1:10" ht="13.35" customHeight="1">
      <c r="A31" s="1446" t="s">
        <v>2185</v>
      </c>
      <c r="B31" s="1447"/>
      <c r="C31" s="1446"/>
      <c r="D31" s="1570"/>
      <c r="E31" s="1570">
        <f>SUM(F31:J31)</f>
        <v>200000</v>
      </c>
      <c r="F31" s="1570"/>
      <c r="G31" s="1576">
        <v>50000</v>
      </c>
      <c r="H31" s="1576">
        <v>50000</v>
      </c>
      <c r="I31" s="1576">
        <v>50000</v>
      </c>
      <c r="J31" s="1576">
        <v>50000</v>
      </c>
    </row>
    <row r="32" spans="1:10" ht="13.35" customHeight="1">
      <c r="A32" s="1454" t="s">
        <v>2142</v>
      </c>
      <c r="B32" s="1454"/>
      <c r="C32" s="1454"/>
      <c r="D32" s="1572">
        <f t="shared" ref="D32:J32" si="4">SUM(D31:D31)</f>
        <v>0</v>
      </c>
      <c r="E32" s="1572">
        <f t="shared" si="4"/>
        <v>200000</v>
      </c>
      <c r="F32" s="1572">
        <f t="shared" si="4"/>
        <v>0</v>
      </c>
      <c r="G32" s="1572">
        <f t="shared" si="4"/>
        <v>50000</v>
      </c>
      <c r="H32" s="1572">
        <f t="shared" si="4"/>
        <v>50000</v>
      </c>
      <c r="I32" s="1572">
        <f t="shared" si="4"/>
        <v>50000</v>
      </c>
      <c r="J32" s="1572">
        <f t="shared" si="4"/>
        <v>50000</v>
      </c>
    </row>
    <row r="34" spans="1:10" s="1444" customFormat="1" ht="12.15" customHeight="1">
      <c r="A34" s="1445" t="s">
        <v>1308</v>
      </c>
      <c r="B34" s="1445"/>
      <c r="C34" s="1445"/>
      <c r="D34" s="1569"/>
      <c r="E34" s="1569"/>
      <c r="F34" s="1569"/>
      <c r="G34" s="1569"/>
      <c r="H34" s="1569"/>
      <c r="I34" s="1569"/>
      <c r="J34" s="1569"/>
    </row>
    <row r="35" spans="1:10" ht="10.95" customHeight="1">
      <c r="A35" s="1450" t="s">
        <v>1045</v>
      </c>
      <c r="B35" s="1451">
        <v>46022</v>
      </c>
      <c r="C35" s="1450" t="s">
        <v>2223</v>
      </c>
      <c r="D35" s="1571">
        <v>92700.800000000003</v>
      </c>
      <c r="E35" s="1571">
        <f>SUM(F35:J35)</f>
        <v>92700.800000000003</v>
      </c>
      <c r="F35" s="1570">
        <f>+D35</f>
        <v>92700.800000000003</v>
      </c>
      <c r="G35" s="1571"/>
      <c r="H35" s="1571"/>
      <c r="I35" s="1571"/>
      <c r="J35" s="1571"/>
    </row>
    <row r="36" spans="1:10" ht="10.95" customHeight="1">
      <c r="A36" s="1450" t="s">
        <v>1045</v>
      </c>
      <c r="B36" s="1451"/>
      <c r="C36" s="1450"/>
      <c r="D36" s="1571"/>
      <c r="E36" s="1571">
        <f>SUM(F36:J36)</f>
        <v>400000</v>
      </c>
      <c r="F36" s="1570"/>
      <c r="G36" s="1577">
        <v>100000</v>
      </c>
      <c r="H36" s="1577">
        <v>100000</v>
      </c>
      <c r="I36" s="1577">
        <v>100000</v>
      </c>
      <c r="J36" s="1577">
        <v>100000</v>
      </c>
    </row>
    <row r="37" spans="1:10" ht="10.95" customHeight="1">
      <c r="A37" s="1454" t="s">
        <v>1835</v>
      </c>
      <c r="B37" s="1454"/>
      <c r="C37" s="1454"/>
      <c r="D37" s="1572">
        <f t="shared" ref="D37:J37" si="5">SUM(D35:D36)</f>
        <v>92700.800000000003</v>
      </c>
      <c r="E37" s="1572">
        <f t="shared" si="5"/>
        <v>492700.8</v>
      </c>
      <c r="F37" s="1572">
        <f t="shared" si="5"/>
        <v>92700.800000000003</v>
      </c>
      <c r="G37" s="1572">
        <f t="shared" si="5"/>
        <v>100000</v>
      </c>
      <c r="H37" s="1572">
        <f t="shared" si="5"/>
        <v>100000</v>
      </c>
      <c r="I37" s="1572">
        <f t="shared" si="5"/>
        <v>100000</v>
      </c>
      <c r="J37" s="1572">
        <f t="shared" si="5"/>
        <v>100000</v>
      </c>
    </row>
    <row r="38" spans="1:10" ht="13.35" customHeight="1">
      <c r="D38" s="1568"/>
      <c r="E38" s="1568"/>
      <c r="F38" s="1568"/>
      <c r="G38" s="1568"/>
      <c r="H38" s="1568"/>
      <c r="I38" s="1568"/>
      <c r="J38" s="1568"/>
    </row>
    <row r="39" spans="1:10" s="1444" customFormat="1" ht="12.15" customHeight="1">
      <c r="A39" s="1445" t="s">
        <v>2022</v>
      </c>
      <c r="B39" s="1445"/>
      <c r="C39" s="1445"/>
      <c r="D39" s="1569"/>
      <c r="E39" s="1569"/>
      <c r="F39" s="1569"/>
      <c r="G39" s="1569"/>
      <c r="H39" s="1569"/>
      <c r="I39" s="1569"/>
      <c r="J39" s="1569"/>
    </row>
    <row r="40" spans="1:10" ht="10.95" customHeight="1">
      <c r="A40" s="1450" t="s">
        <v>2023</v>
      </c>
      <c r="B40" s="1451">
        <v>46021</v>
      </c>
      <c r="C40" s="1450" t="s">
        <v>2224</v>
      </c>
      <c r="D40" s="1571">
        <v>506964.3</v>
      </c>
      <c r="E40" s="1571">
        <f>SUM(F40:J40)</f>
        <v>506964.3</v>
      </c>
      <c r="F40" s="1570">
        <f>+D40</f>
        <v>506964.3</v>
      </c>
      <c r="G40" s="1571"/>
      <c r="H40" s="1571"/>
      <c r="I40" s="1571"/>
      <c r="J40" s="1571"/>
    </row>
    <row r="41" spans="1:10" ht="10.95" customHeight="1">
      <c r="A41" s="1450" t="s">
        <v>2023</v>
      </c>
      <c r="B41" s="1451"/>
      <c r="C41" s="1450"/>
      <c r="D41" s="1571"/>
      <c r="E41" s="1571">
        <f>SUM(F41:J41)</f>
        <v>2027857.2</v>
      </c>
      <c r="F41" s="1577"/>
      <c r="G41" s="1577">
        <v>506964.3</v>
      </c>
      <c r="H41" s="1577">
        <v>506964.3</v>
      </c>
      <c r="I41" s="1577">
        <v>506964.3</v>
      </c>
      <c r="J41" s="1577">
        <v>506964.3</v>
      </c>
    </row>
    <row r="42" spans="1:10" ht="10.95" customHeight="1">
      <c r="A42" s="1454" t="s">
        <v>2024</v>
      </c>
      <c r="B42" s="1454"/>
      <c r="C42" s="1454"/>
      <c r="D42" s="1572">
        <f t="shared" ref="D42:J42" si="6">SUM(D40:D41)</f>
        <v>506964.3</v>
      </c>
      <c r="E42" s="1572">
        <f t="shared" si="6"/>
        <v>2534821.5</v>
      </c>
      <c r="F42" s="1572">
        <f t="shared" si="6"/>
        <v>506964.3</v>
      </c>
      <c r="G42" s="1572">
        <f t="shared" si="6"/>
        <v>506964.3</v>
      </c>
      <c r="H42" s="1572">
        <f t="shared" si="6"/>
        <v>506964.3</v>
      </c>
      <c r="I42" s="1572">
        <f t="shared" si="6"/>
        <v>506964.3</v>
      </c>
      <c r="J42" s="1572">
        <f t="shared" si="6"/>
        <v>506964.3</v>
      </c>
    </row>
    <row r="43" spans="1:10" ht="13.35" customHeight="1">
      <c r="D43" s="1568"/>
      <c r="E43" s="1568"/>
      <c r="F43" s="1568"/>
      <c r="G43" s="1568"/>
      <c r="H43" s="1568"/>
      <c r="I43" s="1568"/>
      <c r="J43" s="1568"/>
    </row>
    <row r="44" spans="1:10" s="1444" customFormat="1" ht="12.15" customHeight="1">
      <c r="A44" s="1445" t="s">
        <v>1836</v>
      </c>
      <c r="B44" s="1445"/>
      <c r="C44" s="1445"/>
      <c r="D44" s="1569"/>
      <c r="E44" s="1569"/>
      <c r="F44" s="1569"/>
      <c r="G44" s="1569"/>
      <c r="H44" s="1569"/>
      <c r="I44" s="1569"/>
      <c r="J44" s="1569"/>
    </row>
    <row r="45" spans="1:10" ht="10.95" customHeight="1">
      <c r="A45" s="1446" t="s">
        <v>295</v>
      </c>
      <c r="B45" s="1447"/>
      <c r="C45" s="1446"/>
      <c r="D45" s="1570"/>
      <c r="E45" s="1570">
        <f>SUM(F45:J45)</f>
        <v>8850000</v>
      </c>
      <c r="F45" s="1576">
        <v>1770000</v>
      </c>
      <c r="G45" s="1576">
        <v>1770000</v>
      </c>
      <c r="H45" s="1576">
        <v>1770000</v>
      </c>
      <c r="I45" s="1576">
        <v>1770000</v>
      </c>
      <c r="J45" s="1576">
        <v>1770000</v>
      </c>
    </row>
    <row r="46" spans="1:10" ht="10.95" customHeight="1">
      <c r="A46" s="1454" t="s">
        <v>1838</v>
      </c>
      <c r="B46" s="1454"/>
      <c r="C46" s="1454"/>
      <c r="D46" s="1572">
        <f t="shared" ref="D46:J46" si="7">SUM(D45:D45)</f>
        <v>0</v>
      </c>
      <c r="E46" s="1572">
        <f t="shared" si="7"/>
        <v>8850000</v>
      </c>
      <c r="F46" s="1572">
        <f t="shared" si="7"/>
        <v>1770000</v>
      </c>
      <c r="G46" s="1572">
        <f t="shared" si="7"/>
        <v>1770000</v>
      </c>
      <c r="H46" s="1572">
        <f t="shared" si="7"/>
        <v>1770000</v>
      </c>
      <c r="I46" s="1572">
        <f t="shared" si="7"/>
        <v>1770000</v>
      </c>
      <c r="J46" s="1572">
        <f t="shared" si="7"/>
        <v>1770000</v>
      </c>
    </row>
    <row r="47" spans="1:10" ht="13.35" customHeight="1">
      <c r="D47" s="1568"/>
      <c r="E47" s="1568"/>
      <c r="F47" s="1568"/>
      <c r="G47" s="1568"/>
      <c r="H47" s="1568"/>
      <c r="I47" s="1568"/>
      <c r="J47" s="1568"/>
    </row>
    <row r="48" spans="1:10" s="1444" customFormat="1" ht="12.15" customHeight="1">
      <c r="A48" s="1445" t="s">
        <v>1475</v>
      </c>
      <c r="B48" s="1445"/>
      <c r="C48" s="1445"/>
      <c r="D48" s="1569"/>
      <c r="E48" s="1569"/>
      <c r="F48" s="1569"/>
      <c r="G48" s="1569"/>
      <c r="H48" s="1569"/>
      <c r="I48" s="1569"/>
      <c r="J48" s="1569"/>
    </row>
    <row r="49" spans="1:10" ht="10.95" customHeight="1">
      <c r="A49" s="1446" t="s">
        <v>914</v>
      </c>
      <c r="B49" s="1447">
        <v>46009</v>
      </c>
      <c r="C49" s="1446" t="s">
        <v>2225</v>
      </c>
      <c r="D49" s="1570">
        <v>751726.07999999996</v>
      </c>
      <c r="E49" s="1570">
        <f>SUM(F49:J49)</f>
        <v>751726.07999999996</v>
      </c>
      <c r="F49" s="1570">
        <f>+D49</f>
        <v>751726.07999999996</v>
      </c>
      <c r="G49" s="1570"/>
      <c r="H49" s="1570"/>
      <c r="I49" s="1570"/>
      <c r="J49" s="1570"/>
    </row>
    <row r="50" spans="1:10" ht="10.95" customHeight="1">
      <c r="A50" s="1446" t="s">
        <v>914</v>
      </c>
      <c r="B50" s="1447"/>
      <c r="C50" s="1446"/>
      <c r="D50" s="1570"/>
      <c r="E50" s="1570"/>
      <c r="G50" s="1570">
        <f>24482.64*64</f>
        <v>1566888.96</v>
      </c>
      <c r="H50" s="1570"/>
      <c r="I50" s="1570"/>
      <c r="J50" s="1570"/>
    </row>
    <row r="51" spans="1:10" ht="10.95" customHeight="1">
      <c r="A51" s="1446" t="s">
        <v>2237</v>
      </c>
      <c r="B51" s="1447"/>
      <c r="C51" s="1446"/>
      <c r="D51" s="1570"/>
      <c r="E51" s="1570"/>
      <c r="F51" s="1570">
        <f>12637.8*64</f>
        <v>808819.19999999995</v>
      </c>
      <c r="G51" s="1570"/>
      <c r="H51" s="1570"/>
      <c r="I51" s="1570"/>
      <c r="J51" s="1570"/>
    </row>
    <row r="52" spans="1:10" ht="10.95" customHeight="1">
      <c r="A52" s="1446" t="s">
        <v>1380</v>
      </c>
      <c r="B52" s="1447"/>
      <c r="C52" s="1446"/>
      <c r="D52" s="1570"/>
      <c r="E52" s="1570"/>
      <c r="F52" s="1570">
        <f>3576*64</f>
        <v>228864</v>
      </c>
      <c r="G52" s="1570"/>
      <c r="H52" s="1570"/>
      <c r="I52" s="1570"/>
      <c r="J52" s="1570"/>
    </row>
    <row r="53" spans="1:10" ht="10.95" customHeight="1">
      <c r="A53" s="1450" t="s">
        <v>2061</v>
      </c>
      <c r="B53" s="1451"/>
      <c r="C53" s="1450"/>
      <c r="D53" s="1571"/>
      <c r="E53" s="1571">
        <f>SUM(F53:I53)</f>
        <v>35019311.039999999</v>
      </c>
      <c r="F53" s="1640"/>
      <c r="G53" s="1639">
        <f>12195400-G50</f>
        <v>10628511.039999999</v>
      </c>
      <c r="H53" s="1639">
        <v>12195400.000000002</v>
      </c>
      <c r="I53" s="1639">
        <v>12195400.000000002</v>
      </c>
      <c r="J53" s="1639">
        <v>12195400.000000002</v>
      </c>
    </row>
    <row r="54" spans="1:10" ht="10.95" customHeight="1">
      <c r="A54" s="1454" t="s">
        <v>1841</v>
      </c>
      <c r="B54" s="1454"/>
      <c r="C54" s="1454"/>
      <c r="D54" s="1572">
        <f>SUM(D49:D53)</f>
        <v>751726.07999999996</v>
      </c>
      <c r="E54" s="1572">
        <f t="shared" ref="E54:J54" si="8">SUM(E49:E53)</f>
        <v>35771037.119999997</v>
      </c>
      <c r="F54" s="1572">
        <f t="shared" si="8"/>
        <v>1789409.2799999998</v>
      </c>
      <c r="G54" s="1572">
        <f t="shared" si="8"/>
        <v>12195400</v>
      </c>
      <c r="H54" s="1572">
        <f t="shared" si="8"/>
        <v>12195400.000000002</v>
      </c>
      <c r="I54" s="1572">
        <f t="shared" si="8"/>
        <v>12195400.000000002</v>
      </c>
      <c r="J54" s="1572">
        <f t="shared" si="8"/>
        <v>12195400.000000002</v>
      </c>
    </row>
    <row r="55" spans="1:10" ht="13.35" customHeight="1">
      <c r="D55" s="1568"/>
      <c r="E55" s="1568"/>
      <c r="F55" s="1568"/>
      <c r="G55" s="1568"/>
      <c r="H55" s="1568"/>
      <c r="I55" s="1568"/>
      <c r="J55" s="1568"/>
    </row>
    <row r="56" spans="1:10" s="1444" customFormat="1" ht="12.15" customHeight="1">
      <c r="A56" s="1445" t="s">
        <v>2150</v>
      </c>
      <c r="B56" s="1445"/>
      <c r="C56" s="1445"/>
      <c r="D56" s="1569"/>
      <c r="E56" s="1569"/>
      <c r="F56" s="1569"/>
      <c r="G56" s="1569"/>
      <c r="H56" s="1569"/>
      <c r="I56" s="1569"/>
      <c r="J56" s="1569"/>
    </row>
    <row r="57" spans="1:10" ht="10.95" customHeight="1">
      <c r="A57" s="1446"/>
      <c r="B57" s="1447"/>
      <c r="C57" s="1446"/>
      <c r="D57" s="1570"/>
      <c r="E57" s="1570">
        <f>SUM(F57:J57)</f>
        <v>3835000</v>
      </c>
      <c r="F57" s="1576">
        <v>767000</v>
      </c>
      <c r="G57" s="1576">
        <v>767000</v>
      </c>
      <c r="H57" s="1576">
        <v>767000</v>
      </c>
      <c r="I57" s="1576">
        <v>767000</v>
      </c>
      <c r="J57" s="1576">
        <v>767000</v>
      </c>
    </row>
    <row r="58" spans="1:10" ht="10.95" customHeight="1">
      <c r="A58" s="1454" t="s">
        <v>2152</v>
      </c>
      <c r="B58" s="1454"/>
      <c r="C58" s="1454"/>
      <c r="D58" s="1572">
        <f t="shared" ref="D58:J58" si="9">SUM(D57:D57)</f>
        <v>0</v>
      </c>
      <c r="E58" s="1572">
        <f t="shared" si="9"/>
        <v>3835000</v>
      </c>
      <c r="F58" s="1572">
        <f t="shared" si="9"/>
        <v>767000</v>
      </c>
      <c r="G58" s="1572">
        <f t="shared" si="9"/>
        <v>767000</v>
      </c>
      <c r="H58" s="1572">
        <f t="shared" si="9"/>
        <v>767000</v>
      </c>
      <c r="I58" s="1572">
        <f t="shared" si="9"/>
        <v>767000</v>
      </c>
      <c r="J58" s="1572">
        <f t="shared" si="9"/>
        <v>767000</v>
      </c>
    </row>
    <row r="59" spans="1:10" ht="13.35" customHeight="1">
      <c r="D59" s="1568"/>
      <c r="E59" s="1568"/>
      <c r="F59" s="1568"/>
      <c r="G59" s="1568"/>
      <c r="H59" s="1568"/>
      <c r="I59" s="1568"/>
      <c r="J59" s="1568"/>
    </row>
    <row r="60" spans="1:10" s="1444" customFormat="1" ht="12.15" customHeight="1">
      <c r="A60" s="1445" t="s">
        <v>1314</v>
      </c>
      <c r="B60" s="1445"/>
      <c r="C60" s="1445"/>
      <c r="D60" s="1569"/>
      <c r="E60" s="1569"/>
      <c r="F60" s="1569"/>
      <c r="G60" s="1569"/>
      <c r="H60" s="1569"/>
      <c r="I60" s="1569"/>
      <c r="J60" s="1569"/>
    </row>
    <row r="61" spans="1:10" ht="10.95" customHeight="1">
      <c r="A61" s="1446"/>
      <c r="B61" s="1447"/>
      <c r="C61" s="1446"/>
      <c r="D61" s="1570"/>
      <c r="E61" s="1570">
        <f>SUM(F61:J61)</f>
        <v>6897685.3100000005</v>
      </c>
      <c r="F61" s="1576">
        <v>1597685.31</v>
      </c>
      <c r="G61" s="1576">
        <v>1325000</v>
      </c>
      <c r="H61" s="1576">
        <v>1325000</v>
      </c>
      <c r="I61" s="1576">
        <v>1325000</v>
      </c>
      <c r="J61" s="1576">
        <v>1325000</v>
      </c>
    </row>
    <row r="62" spans="1:10" ht="10.95" customHeight="1">
      <c r="A62" s="1454" t="s">
        <v>1846</v>
      </c>
      <c r="B62" s="1454"/>
      <c r="C62" s="1454"/>
      <c r="D62" s="1572">
        <f t="shared" ref="D62:J62" si="10">SUM(D61:D61)</f>
        <v>0</v>
      </c>
      <c r="E62" s="1572">
        <f t="shared" si="10"/>
        <v>6897685.3100000005</v>
      </c>
      <c r="F62" s="1572">
        <f t="shared" si="10"/>
        <v>1597685.31</v>
      </c>
      <c r="G62" s="1572">
        <f t="shared" si="10"/>
        <v>1325000</v>
      </c>
      <c r="H62" s="1572">
        <f t="shared" si="10"/>
        <v>1325000</v>
      </c>
      <c r="I62" s="1572">
        <f t="shared" si="10"/>
        <v>1325000</v>
      </c>
      <c r="J62" s="1572">
        <f t="shared" si="10"/>
        <v>1325000</v>
      </c>
    </row>
    <row r="63" spans="1:10" ht="13.35" customHeight="1">
      <c r="D63" s="1568"/>
      <c r="E63" s="1568"/>
      <c r="F63" s="1568"/>
      <c r="G63" s="1568"/>
      <c r="H63" s="1568"/>
      <c r="I63" s="1568"/>
      <c r="J63" s="1568"/>
    </row>
    <row r="64" spans="1:10" s="1444" customFormat="1" ht="12.15" customHeight="1">
      <c r="A64" s="1445" t="s">
        <v>1847</v>
      </c>
      <c r="B64" s="1445"/>
      <c r="C64" s="1445"/>
      <c r="D64" s="1569"/>
      <c r="E64" s="1569"/>
      <c r="F64" s="1569"/>
      <c r="G64" s="1569"/>
      <c r="H64" s="1569"/>
      <c r="I64" s="1569"/>
      <c r="J64" s="1569"/>
    </row>
    <row r="65" spans="1:10" ht="10.95" customHeight="1">
      <c r="A65" s="1450" t="s">
        <v>1043</v>
      </c>
      <c r="B65" s="1451">
        <v>46010</v>
      </c>
      <c r="C65" s="1450" t="s">
        <v>2226</v>
      </c>
      <c r="D65" s="1571">
        <v>15632.64</v>
      </c>
      <c r="E65" s="1571">
        <f>SUM(F65:J65)</f>
        <v>15632.64</v>
      </c>
      <c r="F65" s="1570">
        <f>+D65</f>
        <v>15632.64</v>
      </c>
      <c r="G65" s="1571"/>
      <c r="H65" s="1571"/>
      <c r="I65" s="1571"/>
      <c r="J65" s="1571"/>
    </row>
    <row r="66" spans="1:10" ht="10.95" customHeight="1">
      <c r="A66" s="1450" t="s">
        <v>1045</v>
      </c>
      <c r="B66" s="1451">
        <v>46022</v>
      </c>
      <c r="C66" s="1450" t="s">
        <v>2227</v>
      </c>
      <c r="D66" s="1571">
        <v>92889.600000000006</v>
      </c>
      <c r="E66" s="1571">
        <f>SUM(F66:J66)</f>
        <v>92889.600000000006</v>
      </c>
      <c r="F66" s="1570">
        <f>+D66</f>
        <v>92889.600000000006</v>
      </c>
      <c r="G66" s="1571"/>
      <c r="H66" s="1571"/>
      <c r="I66" s="1571"/>
      <c r="J66" s="1571"/>
    </row>
    <row r="67" spans="1:10" ht="10.95" customHeight="1">
      <c r="A67" s="1450"/>
      <c r="B67" s="1451"/>
      <c r="C67" s="1450"/>
      <c r="D67" s="1571"/>
      <c r="E67" s="1571">
        <f>SUM(F67:J67)</f>
        <v>100000</v>
      </c>
      <c r="F67" s="1576">
        <v>20000</v>
      </c>
      <c r="G67" s="1576">
        <v>20000</v>
      </c>
      <c r="H67" s="1576">
        <v>20000</v>
      </c>
      <c r="I67" s="1576">
        <v>20000</v>
      </c>
      <c r="J67" s="1576">
        <v>20000</v>
      </c>
    </row>
    <row r="68" spans="1:10" ht="10.95" customHeight="1">
      <c r="A68" s="1450"/>
      <c r="B68" s="1451"/>
      <c r="C68" s="1450"/>
      <c r="D68" s="1571"/>
      <c r="E68" s="1571">
        <f>SUM(F68:J68)</f>
        <v>400000</v>
      </c>
      <c r="F68" s="1576">
        <v>80000</v>
      </c>
      <c r="G68" s="1576">
        <v>80000</v>
      </c>
      <c r="H68" s="1576">
        <v>80000</v>
      </c>
      <c r="I68" s="1576">
        <v>80000</v>
      </c>
      <c r="J68" s="1576">
        <v>80000</v>
      </c>
    </row>
    <row r="69" spans="1:10" ht="10.95" customHeight="1">
      <c r="A69" s="1454" t="s">
        <v>1850</v>
      </c>
      <c r="B69" s="1454"/>
      <c r="C69" s="1454"/>
      <c r="D69" s="1572">
        <f t="shared" ref="D69:J69" si="11">SUM(D65:D68)</f>
        <v>108522.24000000001</v>
      </c>
      <c r="E69" s="1572">
        <f t="shared" si="11"/>
        <v>608522.23999999999</v>
      </c>
      <c r="F69" s="1572">
        <f t="shared" si="11"/>
        <v>208522.23999999999</v>
      </c>
      <c r="G69" s="1572">
        <f t="shared" si="11"/>
        <v>100000</v>
      </c>
      <c r="H69" s="1572">
        <f t="shared" si="11"/>
        <v>100000</v>
      </c>
      <c r="I69" s="1572">
        <f t="shared" si="11"/>
        <v>100000</v>
      </c>
      <c r="J69" s="1572">
        <f t="shared" si="11"/>
        <v>100000</v>
      </c>
    </row>
    <row r="70" spans="1:10" ht="13.35" customHeight="1">
      <c r="D70" s="1568"/>
      <c r="E70" s="1568"/>
      <c r="F70" s="1568"/>
      <c r="G70" s="1568"/>
      <c r="H70" s="1568"/>
      <c r="I70" s="1568"/>
      <c r="J70" s="1568"/>
    </row>
    <row r="71" spans="1:10" s="1444" customFormat="1" ht="12.15" customHeight="1">
      <c r="A71" s="1445" t="s">
        <v>2156</v>
      </c>
      <c r="B71" s="1445"/>
      <c r="C71" s="1445"/>
      <c r="D71" s="1569"/>
      <c r="E71" s="1569"/>
      <c r="F71" s="1569"/>
      <c r="G71" s="1569"/>
      <c r="H71" s="1569"/>
      <c r="I71" s="1569"/>
      <c r="J71" s="1569"/>
    </row>
    <row r="72" spans="1:10" ht="10.95" customHeight="1">
      <c r="A72" s="1446"/>
      <c r="B72" s="1447"/>
      <c r="C72" s="1446"/>
      <c r="D72" s="1570"/>
      <c r="E72" s="1570">
        <f>SUM(F72:J72)</f>
        <v>1250000</v>
      </c>
      <c r="F72" s="1576">
        <v>250000</v>
      </c>
      <c r="G72" s="1576">
        <v>250000</v>
      </c>
      <c r="H72" s="1576">
        <v>250000</v>
      </c>
      <c r="I72" s="1576">
        <v>250000</v>
      </c>
      <c r="J72" s="1576">
        <v>250000</v>
      </c>
    </row>
    <row r="73" spans="1:10" ht="10.95" customHeight="1">
      <c r="A73" s="1454" t="s">
        <v>2158</v>
      </c>
      <c r="B73" s="1454"/>
      <c r="C73" s="1454"/>
      <c r="D73" s="1572">
        <f t="shared" ref="D73:J73" si="12">SUM(D72:D72)</f>
        <v>0</v>
      </c>
      <c r="E73" s="1572">
        <f t="shared" si="12"/>
        <v>1250000</v>
      </c>
      <c r="F73" s="1572">
        <f t="shared" si="12"/>
        <v>250000</v>
      </c>
      <c r="G73" s="1572">
        <f t="shared" si="12"/>
        <v>250000</v>
      </c>
      <c r="H73" s="1572">
        <f t="shared" si="12"/>
        <v>250000</v>
      </c>
      <c r="I73" s="1572">
        <f t="shared" si="12"/>
        <v>250000</v>
      </c>
      <c r="J73" s="1572">
        <f t="shared" si="12"/>
        <v>250000</v>
      </c>
    </row>
    <row r="74" spans="1:10" ht="13.35" customHeight="1">
      <c r="D74" s="1568"/>
      <c r="E74" s="1568"/>
      <c r="F74" s="1568"/>
      <c r="G74" s="1568"/>
      <c r="H74" s="1568"/>
      <c r="I74" s="1568"/>
      <c r="J74" s="1568"/>
    </row>
    <row r="75" spans="1:10" s="1444" customFormat="1" ht="12.15" customHeight="1">
      <c r="A75" s="1445" t="s">
        <v>2062</v>
      </c>
      <c r="B75" s="1445"/>
      <c r="C75" s="1445"/>
      <c r="D75" s="1569"/>
      <c r="E75" s="1569"/>
      <c r="F75" s="1569"/>
      <c r="G75" s="1569"/>
      <c r="H75" s="1569"/>
      <c r="I75" s="1569"/>
      <c r="J75" s="1569"/>
    </row>
    <row r="76" spans="1:10" ht="10.95" customHeight="1">
      <c r="A76" s="1446" t="s">
        <v>1507</v>
      </c>
      <c r="B76" s="1447"/>
      <c r="C76" s="1446" t="s">
        <v>2238</v>
      </c>
      <c r="D76" s="1570">
        <v>137473</v>
      </c>
      <c r="E76" s="1570">
        <f>SUM(F76:J76)</f>
        <v>137472.54999999999</v>
      </c>
      <c r="F76" s="1576">
        <v>137472.54999999999</v>
      </c>
      <c r="G76" s="1570"/>
      <c r="H76" s="1570"/>
      <c r="I76" s="1570"/>
      <c r="J76" s="1570"/>
    </row>
    <row r="77" spans="1:10" ht="10.95" customHeight="1">
      <c r="A77" s="1450" t="s">
        <v>1507</v>
      </c>
      <c r="B77" s="1451"/>
      <c r="C77" s="1450"/>
      <c r="D77" s="1571"/>
      <c r="E77" s="1571">
        <f>SUM(F77:J77)</f>
        <v>1250000</v>
      </c>
      <c r="F77" s="1577">
        <v>250000</v>
      </c>
      <c r="G77" s="1577">
        <v>250000</v>
      </c>
      <c r="H77" s="1577">
        <v>250000</v>
      </c>
      <c r="I77" s="1577">
        <v>250000</v>
      </c>
      <c r="J77" s="1577">
        <v>250000</v>
      </c>
    </row>
    <row r="78" spans="1:10" ht="10.95" customHeight="1">
      <c r="A78" s="1454" t="s">
        <v>2063</v>
      </c>
      <c r="B78" s="1454"/>
      <c r="C78" s="1454"/>
      <c r="D78" s="1572">
        <f t="shared" ref="D78:J78" si="13">SUM(D76:D77)</f>
        <v>137473</v>
      </c>
      <c r="E78" s="1572">
        <f t="shared" si="13"/>
        <v>1387472.55</v>
      </c>
      <c r="F78" s="1572">
        <f t="shared" si="13"/>
        <v>387472.55</v>
      </c>
      <c r="G78" s="1572">
        <f t="shared" si="13"/>
        <v>250000</v>
      </c>
      <c r="H78" s="1572">
        <f t="shared" si="13"/>
        <v>250000</v>
      </c>
      <c r="I78" s="1572">
        <f t="shared" si="13"/>
        <v>250000</v>
      </c>
      <c r="J78" s="1572">
        <f t="shared" si="13"/>
        <v>250000</v>
      </c>
    </row>
    <row r="79" spans="1:10" ht="13.35" customHeight="1">
      <c r="D79" s="1568"/>
      <c r="E79" s="1568"/>
      <c r="F79" s="1568"/>
      <c r="G79" s="1568"/>
      <c r="H79" s="1568"/>
      <c r="I79" s="1568"/>
      <c r="J79" s="1568"/>
    </row>
    <row r="80" spans="1:10" s="1444" customFormat="1" ht="12.15" customHeight="1">
      <c r="A80" s="1445" t="s">
        <v>2160</v>
      </c>
      <c r="B80" s="1445"/>
      <c r="C80" s="1445"/>
      <c r="D80" s="1569"/>
      <c r="E80" s="1569"/>
      <c r="F80" s="1569"/>
      <c r="G80" s="1569"/>
      <c r="H80" s="1569"/>
      <c r="I80" s="1569"/>
      <c r="J80" s="1569"/>
    </row>
    <row r="81" spans="1:10" ht="10.95" customHeight="1">
      <c r="A81" s="1450" t="s">
        <v>389</v>
      </c>
      <c r="B81" s="1451"/>
      <c r="C81" s="1450"/>
      <c r="D81" s="1571"/>
      <c r="E81" s="1571">
        <f>SUM(F81:J81)</f>
        <v>775000</v>
      </c>
      <c r="F81" s="1576">
        <v>155000</v>
      </c>
      <c r="G81" s="1576">
        <v>155000</v>
      </c>
      <c r="H81" s="1576">
        <v>155000</v>
      </c>
      <c r="I81" s="1576">
        <v>155000</v>
      </c>
      <c r="J81" s="1576">
        <v>155000</v>
      </c>
    </row>
    <row r="82" spans="1:10" ht="10.95" customHeight="1">
      <c r="A82" s="1450" t="s">
        <v>1855</v>
      </c>
      <c r="B82" s="1451"/>
      <c r="C82" s="1450"/>
      <c r="D82" s="1571"/>
      <c r="E82" s="1571">
        <f>SUM(F82:J82)</f>
        <v>472000</v>
      </c>
      <c r="F82" s="1576">
        <v>94400</v>
      </c>
      <c r="G82" s="1576">
        <v>94400</v>
      </c>
      <c r="H82" s="1576">
        <v>94400</v>
      </c>
      <c r="I82" s="1576">
        <v>94400</v>
      </c>
      <c r="J82" s="1576">
        <v>94400</v>
      </c>
    </row>
    <row r="83" spans="1:10" ht="10.95" customHeight="1">
      <c r="A83" s="1450" t="s">
        <v>1631</v>
      </c>
      <c r="B83" s="1451"/>
      <c r="C83" s="1450"/>
      <c r="D83" s="1571"/>
      <c r="E83" s="1571">
        <f>SUM(F83:J83)</f>
        <v>380183</v>
      </c>
      <c r="F83" s="1576">
        <v>76036.600000000006</v>
      </c>
      <c r="G83" s="1576">
        <v>76036.600000000006</v>
      </c>
      <c r="H83" s="1576">
        <v>76036.600000000006</v>
      </c>
      <c r="I83" s="1576">
        <v>76036.600000000006</v>
      </c>
      <c r="J83" s="1576">
        <v>76036.600000000006</v>
      </c>
    </row>
    <row r="84" spans="1:10" ht="10.95" customHeight="1">
      <c r="A84" s="1454" t="s">
        <v>2164</v>
      </c>
      <c r="B84" s="1454"/>
      <c r="C84" s="1454"/>
      <c r="D84" s="1572">
        <f>SUM(D81:D83)</f>
        <v>0</v>
      </c>
      <c r="E84" s="1572">
        <f>SUM(E81:E83)</f>
        <v>1627183</v>
      </c>
      <c r="F84" s="1572">
        <f t="shared" ref="F84:J84" si="14">SUM(F81:F83)</f>
        <v>325436.59999999998</v>
      </c>
      <c r="G84" s="1572">
        <f t="shared" si="14"/>
        <v>325436.59999999998</v>
      </c>
      <c r="H84" s="1572">
        <f t="shared" si="14"/>
        <v>325436.59999999998</v>
      </c>
      <c r="I84" s="1572">
        <f t="shared" si="14"/>
        <v>325436.59999999998</v>
      </c>
      <c r="J84" s="1572">
        <f t="shared" si="14"/>
        <v>325436.59999999998</v>
      </c>
    </row>
    <row r="85" spans="1:10" ht="13.35" customHeight="1">
      <c r="D85" s="1568"/>
      <c r="E85" s="1568"/>
      <c r="F85" s="1568"/>
      <c r="G85" s="1568"/>
      <c r="H85" s="1568"/>
      <c r="I85" s="1568"/>
      <c r="J85" s="1568"/>
    </row>
    <row r="86" spans="1:10" s="1444" customFormat="1" ht="12.15" customHeight="1">
      <c r="A86" s="1445" t="s">
        <v>2031</v>
      </c>
      <c r="B86" s="1445"/>
      <c r="C86" s="1445"/>
      <c r="D86" s="1569"/>
      <c r="E86" s="1569"/>
      <c r="F86" s="1569"/>
      <c r="G86" s="1569"/>
      <c r="H86" s="1569"/>
      <c r="I86" s="1569"/>
      <c r="J86" s="1569"/>
    </row>
    <row r="87" spans="1:10" ht="10.95" customHeight="1">
      <c r="A87" s="1446" t="s">
        <v>2228</v>
      </c>
      <c r="B87" s="1447">
        <v>46000</v>
      </c>
      <c r="C87" s="1446" t="s">
        <v>2229</v>
      </c>
      <c r="D87" s="1570">
        <v>88269.5</v>
      </c>
      <c r="E87" s="1570">
        <f>SUM(F87:J87)</f>
        <v>88269.5</v>
      </c>
      <c r="F87" s="1570">
        <f>+D87</f>
        <v>88269.5</v>
      </c>
      <c r="G87" s="1570"/>
      <c r="H87" s="1570"/>
      <c r="I87" s="1570"/>
      <c r="J87" s="1570"/>
    </row>
    <row r="88" spans="1:10" ht="10.95" customHeight="1">
      <c r="A88" s="1446" t="s">
        <v>2230</v>
      </c>
      <c r="B88" s="1447">
        <v>46020</v>
      </c>
      <c r="C88" s="1446" t="s">
        <v>2231</v>
      </c>
      <c r="D88" s="1570">
        <v>190460</v>
      </c>
      <c r="E88" s="1570">
        <f>SUM(F88:J88)</f>
        <v>190460</v>
      </c>
      <c r="F88" s="1570">
        <f>+D88</f>
        <v>190460</v>
      </c>
      <c r="G88" s="1570"/>
      <c r="H88" s="1570"/>
      <c r="I88" s="1570"/>
      <c r="J88" s="1570"/>
    </row>
    <row r="89" spans="1:10" ht="10.95" customHeight="1">
      <c r="A89" s="1446" t="s">
        <v>746</v>
      </c>
      <c r="B89" s="1447"/>
      <c r="C89" s="1446"/>
      <c r="D89" s="1570"/>
      <c r="E89" s="1570">
        <f>SUM(F89:J89)</f>
        <v>106200</v>
      </c>
      <c r="F89" s="1576">
        <v>21240</v>
      </c>
      <c r="G89" s="1576">
        <v>21240</v>
      </c>
      <c r="H89" s="1576">
        <v>21240</v>
      </c>
      <c r="I89" s="1576">
        <v>21240</v>
      </c>
      <c r="J89" s="1576">
        <v>21240</v>
      </c>
    </row>
    <row r="90" spans="1:10" ht="10.95" customHeight="1">
      <c r="A90" s="1446" t="s">
        <v>2188</v>
      </c>
      <c r="B90" s="1447"/>
      <c r="C90" s="1446"/>
      <c r="D90" s="1570"/>
      <c r="E90" s="1570">
        <f>SUM(F90:J90)</f>
        <v>441347.5</v>
      </c>
      <c r="F90" s="1576">
        <v>88269.5</v>
      </c>
      <c r="G90" s="1576">
        <v>88269.5</v>
      </c>
      <c r="H90" s="1576">
        <v>88269.5</v>
      </c>
      <c r="I90" s="1576">
        <v>88269.5</v>
      </c>
      <c r="J90" s="1576">
        <v>88269.5</v>
      </c>
    </row>
    <row r="91" spans="1:10" ht="10.95" customHeight="1">
      <c r="A91" s="1446" t="s">
        <v>2230</v>
      </c>
      <c r="B91" s="1447"/>
      <c r="C91" s="1446"/>
      <c r="D91" s="1570"/>
      <c r="E91" s="1570">
        <f>SUM(F91:J91)</f>
        <v>511825</v>
      </c>
      <c r="F91" s="1576">
        <v>102365</v>
      </c>
      <c r="G91" s="1576">
        <v>102365</v>
      </c>
      <c r="H91" s="1576">
        <v>102365</v>
      </c>
      <c r="I91" s="1576">
        <v>102365</v>
      </c>
      <c r="J91" s="1576">
        <v>102365</v>
      </c>
    </row>
    <row r="92" spans="1:10" ht="10.95" customHeight="1">
      <c r="A92" s="1454" t="s">
        <v>2032</v>
      </c>
      <c r="B92" s="1454"/>
      <c r="C92" s="1454"/>
      <c r="D92" s="1572">
        <f>SUM(D87:D91)</f>
        <v>278729.5</v>
      </c>
      <c r="E92" s="1572">
        <f t="shared" ref="E92:J92" si="15">SUM(E87:E91)</f>
        <v>1338102</v>
      </c>
      <c r="F92" s="1572">
        <f t="shared" si="15"/>
        <v>490604</v>
      </c>
      <c r="G92" s="1572">
        <f t="shared" si="15"/>
        <v>211874.5</v>
      </c>
      <c r="H92" s="1572">
        <f t="shared" si="15"/>
        <v>211874.5</v>
      </c>
      <c r="I92" s="1572">
        <f t="shared" si="15"/>
        <v>211874.5</v>
      </c>
      <c r="J92" s="1572">
        <f t="shared" si="15"/>
        <v>211874.5</v>
      </c>
    </row>
    <row r="93" spans="1:10" ht="13.35" customHeight="1">
      <c r="D93" s="1568"/>
      <c r="E93" s="1568"/>
      <c r="F93" s="1568"/>
      <c r="G93" s="1568"/>
      <c r="H93" s="1568"/>
      <c r="I93" s="1568"/>
      <c r="J93" s="1568"/>
    </row>
    <row r="94" spans="1:10" s="1444" customFormat="1" ht="12.15" customHeight="1">
      <c r="A94" s="1445" t="s">
        <v>2033</v>
      </c>
      <c r="B94" s="1445"/>
      <c r="C94" s="1445"/>
      <c r="D94" s="1569"/>
      <c r="E94" s="1569"/>
      <c r="F94" s="1569"/>
      <c r="G94" s="1569"/>
      <c r="H94" s="1569"/>
      <c r="I94" s="1569"/>
      <c r="J94" s="1569"/>
    </row>
    <row r="95" spans="1:10" ht="10.95" customHeight="1">
      <c r="A95" s="1446" t="s">
        <v>1049</v>
      </c>
      <c r="B95" s="1447">
        <v>45968</v>
      </c>
      <c r="C95" s="1446" t="s">
        <v>2166</v>
      </c>
      <c r="D95" s="1570">
        <v>10162</v>
      </c>
      <c r="E95" s="1570">
        <f>SUM(F95:J95)</f>
        <v>10162</v>
      </c>
      <c r="F95" s="1570">
        <f>+D95</f>
        <v>10162</v>
      </c>
      <c r="G95" s="1570"/>
      <c r="H95" s="1570"/>
      <c r="I95" s="1570"/>
      <c r="J95" s="1570"/>
    </row>
    <row r="96" spans="1:10" ht="10.95" customHeight="1">
      <c r="A96" s="1450" t="s">
        <v>1049</v>
      </c>
      <c r="B96" s="1451">
        <v>45994</v>
      </c>
      <c r="C96" s="1450" t="s">
        <v>2232</v>
      </c>
      <c r="D96" s="1571">
        <v>208600</v>
      </c>
      <c r="E96" s="1571">
        <f>SUM(F96:J96)</f>
        <v>208600</v>
      </c>
      <c r="F96" s="1571">
        <f>+D96</f>
        <v>208600</v>
      </c>
      <c r="G96" s="1571"/>
      <c r="H96" s="1571"/>
      <c r="I96" s="1571"/>
      <c r="J96" s="1571"/>
    </row>
    <row r="97" spans="1:10" ht="10.95" customHeight="1">
      <c r="A97" s="1450" t="s">
        <v>2064</v>
      </c>
      <c r="B97" s="1451"/>
      <c r="C97" s="1450"/>
      <c r="D97" s="1571"/>
      <c r="E97" s="1571">
        <f>SUM(F97:J97)</f>
        <v>750000</v>
      </c>
      <c r="F97" s="1577">
        <v>150000</v>
      </c>
      <c r="G97" s="1577">
        <v>150000</v>
      </c>
      <c r="H97" s="1577">
        <v>150000</v>
      </c>
      <c r="I97" s="1577">
        <v>150000</v>
      </c>
      <c r="J97" s="1577">
        <v>150000</v>
      </c>
    </row>
    <row r="98" spans="1:10" ht="10.95" customHeight="1">
      <c r="A98" s="1454" t="s">
        <v>2037</v>
      </c>
      <c r="B98" s="1454"/>
      <c r="C98" s="1454"/>
      <c r="D98" s="1572">
        <f>SUM(D95:D97)</f>
        <v>218762</v>
      </c>
      <c r="E98" s="1572">
        <f t="shared" ref="E98:J98" si="16">SUM(E95:E97)</f>
        <v>968762</v>
      </c>
      <c r="F98" s="1572">
        <f t="shared" si="16"/>
        <v>368762</v>
      </c>
      <c r="G98" s="1572">
        <f t="shared" si="16"/>
        <v>150000</v>
      </c>
      <c r="H98" s="1572">
        <f t="shared" si="16"/>
        <v>150000</v>
      </c>
      <c r="I98" s="1572">
        <f t="shared" si="16"/>
        <v>150000</v>
      </c>
      <c r="J98" s="1572">
        <f t="shared" si="16"/>
        <v>150000</v>
      </c>
    </row>
    <row r="99" spans="1:10" ht="13.35" customHeight="1">
      <c r="D99" s="1568"/>
      <c r="E99" s="1568"/>
      <c r="F99" s="1568"/>
      <c r="G99" s="1568"/>
      <c r="H99" s="1568"/>
      <c r="I99" s="1568"/>
      <c r="J99" s="1568"/>
    </row>
    <row r="100" spans="1:10" s="1444" customFormat="1" ht="12.15" customHeight="1">
      <c r="A100" s="1445" t="s">
        <v>2167</v>
      </c>
      <c r="B100" s="1445"/>
      <c r="C100" s="1445"/>
      <c r="D100" s="1569"/>
      <c r="E100" s="1569"/>
      <c r="F100" s="1569"/>
      <c r="G100" s="1569"/>
      <c r="H100" s="1569"/>
      <c r="I100" s="1569"/>
      <c r="J100" s="1569"/>
    </row>
    <row r="101" spans="1:10" ht="10.95" customHeight="1">
      <c r="A101" s="1450" t="s">
        <v>2239</v>
      </c>
      <c r="B101" s="1451">
        <v>45984</v>
      </c>
      <c r="C101" s="1450" t="s">
        <v>2240</v>
      </c>
      <c r="D101" s="1571">
        <v>10245.73</v>
      </c>
      <c r="E101" s="1571">
        <f>SUM(F101:J101)</f>
        <v>10245.73</v>
      </c>
      <c r="F101" s="1570">
        <f>+D101</f>
        <v>10245.73</v>
      </c>
      <c r="G101" s="1571"/>
      <c r="H101" s="1571"/>
      <c r="I101" s="1571"/>
      <c r="J101" s="1571"/>
    </row>
    <row r="102" spans="1:10" ht="10.95" customHeight="1">
      <c r="A102" s="1450" t="s">
        <v>2064</v>
      </c>
      <c r="B102" s="1451"/>
      <c r="C102" s="1450"/>
      <c r="D102" s="1571"/>
      <c r="E102" s="1571">
        <f>SUM(F102:J102)</f>
        <v>750000</v>
      </c>
      <c r="F102" s="1576">
        <v>150000</v>
      </c>
      <c r="G102" s="1576">
        <v>150000</v>
      </c>
      <c r="H102" s="1576">
        <v>150000</v>
      </c>
      <c r="I102" s="1576">
        <v>150000</v>
      </c>
      <c r="J102" s="1576">
        <v>150000</v>
      </c>
    </row>
    <row r="103" spans="1:10" ht="10.95" customHeight="1">
      <c r="A103" s="1637" t="s">
        <v>2241</v>
      </c>
      <c r="B103" s="1638"/>
      <c r="C103" s="1637"/>
      <c r="D103" s="1639"/>
      <c r="E103" s="1639">
        <f>SUM(F103:J103)</f>
        <v>672000</v>
      </c>
      <c r="F103" s="1636">
        <f>4500*64</f>
        <v>288000</v>
      </c>
      <c r="G103" s="1466"/>
      <c r="H103" s="1636"/>
      <c r="I103" s="1636">
        <f>6000*64</f>
        <v>384000</v>
      </c>
      <c r="J103" s="1636"/>
    </row>
    <row r="104" spans="1:10" ht="10.95" customHeight="1">
      <c r="A104" s="1637" t="s">
        <v>2242</v>
      </c>
      <c r="B104" s="1638"/>
      <c r="C104" s="1637"/>
      <c r="D104" s="1639"/>
      <c r="E104" s="1639"/>
      <c r="F104" s="1636"/>
      <c r="G104" s="1643">
        <v>2000000</v>
      </c>
      <c r="H104" s="1636"/>
      <c r="I104" s="1636"/>
      <c r="J104" s="1636"/>
    </row>
    <row r="105" spans="1:10" ht="10.95" customHeight="1">
      <c r="A105" s="1637" t="s">
        <v>2243</v>
      </c>
      <c r="B105" s="1638"/>
      <c r="C105" s="1637"/>
      <c r="D105" s="1639"/>
      <c r="E105" s="1639">
        <f>SUM(F105:J105)</f>
        <v>32000</v>
      </c>
      <c r="F105" s="1636">
        <f>500*64</f>
        <v>32000</v>
      </c>
      <c r="G105" s="1636"/>
      <c r="H105" s="1636"/>
      <c r="I105" s="1636"/>
      <c r="J105" s="1636"/>
    </row>
    <row r="106" spans="1:10" ht="10.95" customHeight="1">
      <c r="A106" s="1454" t="s">
        <v>2171</v>
      </c>
      <c r="B106" s="1454"/>
      <c r="C106" s="1454"/>
      <c r="D106" s="1572">
        <f>SUM(D101:D105)</f>
        <v>10245.73</v>
      </c>
      <c r="E106" s="1572">
        <f t="shared" ref="E106:J106" si="17">SUM(E101:E105)</f>
        <v>1464245.73</v>
      </c>
      <c r="F106" s="1572">
        <f t="shared" si="17"/>
        <v>480245.73</v>
      </c>
      <c r="G106" s="1572">
        <f t="shared" si="17"/>
        <v>2150000</v>
      </c>
      <c r="H106" s="1572">
        <f t="shared" si="17"/>
        <v>150000</v>
      </c>
      <c r="I106" s="1572">
        <f t="shared" si="17"/>
        <v>534000</v>
      </c>
      <c r="J106" s="1572">
        <f t="shared" si="17"/>
        <v>150000</v>
      </c>
    </row>
    <row r="107" spans="1:10" ht="13.35" customHeight="1">
      <c r="D107" s="1568"/>
      <c r="E107" s="1568"/>
      <c r="F107" s="1568"/>
      <c r="G107" s="1568"/>
      <c r="H107" s="1568"/>
      <c r="I107" s="1568"/>
      <c r="J107" s="1568"/>
    </row>
    <row r="108" spans="1:10" s="1444" customFormat="1" ht="12.15" customHeight="1">
      <c r="A108" s="1445" t="s">
        <v>919</v>
      </c>
      <c r="B108" s="1445"/>
      <c r="C108" s="1445"/>
      <c r="D108" s="1569"/>
      <c r="E108" s="1569"/>
      <c r="F108" s="1569"/>
      <c r="G108" s="1569"/>
      <c r="H108" s="1569"/>
      <c r="I108" s="1569"/>
      <c r="J108" s="1569"/>
    </row>
    <row r="109" spans="1:10" ht="10.95" customHeight="1">
      <c r="A109" s="1450" t="s">
        <v>715</v>
      </c>
      <c r="B109" s="1451">
        <v>46009</v>
      </c>
      <c r="C109" s="1450" t="s">
        <v>2233</v>
      </c>
      <c r="D109" s="1571">
        <v>31500</v>
      </c>
      <c r="E109" s="1571">
        <f>SUM(F109:J109)</f>
        <v>31500</v>
      </c>
      <c r="F109" s="1570">
        <f>+D109</f>
        <v>31500</v>
      </c>
      <c r="G109" s="1571"/>
      <c r="H109" s="1571"/>
      <c r="I109" s="1571"/>
      <c r="J109" s="1571"/>
    </row>
    <row r="110" spans="1:10" ht="10.95" customHeight="1">
      <c r="A110" s="1450" t="s">
        <v>2244</v>
      </c>
      <c r="B110" s="1451"/>
      <c r="C110" s="1450"/>
      <c r="D110" s="1571"/>
      <c r="E110" s="1571">
        <f>SUM(F110:J110)</f>
        <v>59000</v>
      </c>
      <c r="F110" s="1570">
        <f>59000/2</f>
        <v>29500</v>
      </c>
      <c r="G110" s="1570">
        <f>59000/2</f>
        <v>29500</v>
      </c>
      <c r="H110" s="1625"/>
      <c r="I110" s="1625"/>
      <c r="J110" s="1625"/>
    </row>
    <row r="111" spans="1:10">
      <c r="A111" s="1450" t="s">
        <v>1150</v>
      </c>
      <c r="B111" s="1451"/>
      <c r="C111" s="1450"/>
      <c r="D111" s="1571"/>
      <c r="E111" s="1571">
        <f>SUM(F111:J111)</f>
        <v>2091958.99</v>
      </c>
      <c r="F111" s="1576"/>
      <c r="G111" s="1576">
        <f>2091958.99</f>
        <v>2091958.99</v>
      </c>
      <c r="H111" s="1576"/>
      <c r="I111" s="1576"/>
      <c r="J111" s="1576"/>
    </row>
    <row r="112" spans="1:10">
      <c r="A112" s="1450" t="s">
        <v>2066</v>
      </c>
      <c r="B112" s="1451"/>
      <c r="C112" s="1450"/>
      <c r="D112" s="1571"/>
      <c r="E112" s="1571">
        <f>SUM(F112:J112)</f>
        <v>1431340</v>
      </c>
      <c r="F112" s="1576">
        <v>715670</v>
      </c>
      <c r="G112" s="1642"/>
      <c r="H112" s="1576"/>
      <c r="I112" s="1576"/>
      <c r="J112" s="1576">
        <v>715670</v>
      </c>
    </row>
    <row r="113" spans="1:10" ht="10.95" customHeight="1">
      <c r="A113" s="1454" t="s">
        <v>1864</v>
      </c>
      <c r="B113" s="1454"/>
      <c r="C113" s="1454"/>
      <c r="D113" s="1572">
        <f t="shared" ref="D113:J113" si="18">SUM(D109:D112)</f>
        <v>31500</v>
      </c>
      <c r="E113" s="1572">
        <f t="shared" si="18"/>
        <v>3613798.99</v>
      </c>
      <c r="F113" s="1572">
        <f>SUM(F109:F112)</f>
        <v>776670</v>
      </c>
      <c r="G113" s="1572">
        <f t="shared" si="18"/>
        <v>2121458.9900000002</v>
      </c>
      <c r="H113" s="1572">
        <f t="shared" si="18"/>
        <v>0</v>
      </c>
      <c r="I113" s="1572">
        <f t="shared" si="18"/>
        <v>0</v>
      </c>
      <c r="J113" s="1572">
        <f t="shared" si="18"/>
        <v>715670</v>
      </c>
    </row>
    <row r="114" spans="1:10" ht="13.35" customHeight="1">
      <c r="D114" s="1568"/>
      <c r="E114" s="1568"/>
      <c r="F114" s="1568"/>
      <c r="G114" s="1568"/>
      <c r="H114" s="1568"/>
      <c r="I114" s="1568"/>
      <c r="J114" s="1568"/>
    </row>
    <row r="115" spans="1:10" ht="10.95" customHeight="1">
      <c r="A115" s="1461" t="s">
        <v>164</v>
      </c>
      <c r="B115" s="1461"/>
      <c r="C115" s="1461"/>
      <c r="D115" s="1575">
        <f t="shared" ref="D115:J115" si="19">+D10+D15+D20+D24+D28+D32+D37+D42+D46+D54+D58+D62+D69+D73+D78+D84+D92+D98+D106+D113</f>
        <v>3564302.0700000003</v>
      </c>
      <c r="E115" s="1575">
        <f t="shared" si="19"/>
        <v>111361150.81999999</v>
      </c>
      <c r="F115" s="1575">
        <f t="shared" si="19"/>
        <v>24247553.760000002</v>
      </c>
      <c r="G115" s="1575">
        <f t="shared" si="19"/>
        <v>31560038.310000002</v>
      </c>
      <c r="H115" s="1575">
        <f t="shared" si="19"/>
        <v>26911649.180000003</v>
      </c>
      <c r="I115" s="1575">
        <f t="shared" si="19"/>
        <v>23414536.330000002</v>
      </c>
      <c r="J115" s="1575">
        <f t="shared" si="19"/>
        <v>22027345.400000002</v>
      </c>
    </row>
  </sheetData>
  <autoFilter ref="A1:J117" xr:uid="{078347BF-1DCB-467F-8F7F-E8DE7B4CC092}"/>
  <pageMargins left="0.7" right="0.7" top="0.75" bottom="0.75" header="0.3" footer="0.3"/>
  <pageSetup paperSize="9" fitToWidth="0" fitToHeight="0" orientation="portrait" horizontalDpi="0" verticalDpi="0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A56D0-B2A9-4C0B-9A78-23944FEAEBC7}">
  <dimension ref="A1:Q52"/>
  <sheetViews>
    <sheetView showGridLines="0" zoomScale="110" zoomScaleNormal="110" workbookViewId="0">
      <pane xSplit="1" ySplit="1" topLeftCell="I2" activePane="bottomRight" state="frozen"/>
      <selection pane="topRight" activeCell="C1" sqref="C1"/>
      <selection pane="bottomLeft" activeCell="A2" sqref="A2"/>
      <selection pane="bottomRight" activeCell="P9" sqref="P9"/>
    </sheetView>
  </sheetViews>
  <sheetFormatPr baseColWidth="10" defaultColWidth="11.5546875" defaultRowHeight="14.4"/>
  <cols>
    <col min="1" max="1" width="49.33203125" style="412" bestFit="1" customWidth="1"/>
    <col min="2" max="2" width="16.6640625" style="1241" customWidth="1"/>
    <col min="3" max="4" width="14.44140625" style="1241" customWidth="1"/>
    <col min="5" max="5" width="14.44140625" style="1236" customWidth="1"/>
    <col min="6" max="6" width="14.44140625" style="1241" customWidth="1"/>
    <col min="7" max="7" width="14.44140625" style="1236" customWidth="1"/>
    <col min="8" max="9" width="15.5546875" style="1236" customWidth="1"/>
    <col min="10" max="10" width="16.6640625" style="1236" customWidth="1"/>
    <col min="11" max="14" width="15.5546875" style="1236" customWidth="1"/>
    <col min="15" max="15" width="16.5546875" style="1236" bestFit="1" customWidth="1"/>
    <col min="16" max="16" width="12.44140625" style="1227" bestFit="1" customWidth="1"/>
    <col min="17" max="17" width="7.6640625" style="1227" customWidth="1"/>
    <col min="18" max="36" width="7.6640625" style="408" customWidth="1"/>
    <col min="37" max="16384" width="11.5546875" style="408"/>
  </cols>
  <sheetData>
    <row r="1" spans="1:16" s="1228" customFormat="1" ht="13.8">
      <c r="A1" s="1228" t="s">
        <v>1791</v>
      </c>
      <c r="B1" s="1237">
        <v>45627</v>
      </c>
      <c r="C1" s="1237">
        <v>45658</v>
      </c>
      <c r="D1" s="1237">
        <v>45689</v>
      </c>
      <c r="E1" s="1232">
        <v>45717</v>
      </c>
      <c r="F1" s="1237">
        <v>45748</v>
      </c>
      <c r="G1" s="1232">
        <v>45778</v>
      </c>
      <c r="H1" s="1232">
        <v>45809</v>
      </c>
      <c r="I1" s="1232">
        <v>45839</v>
      </c>
      <c r="J1" s="1232">
        <v>45870</v>
      </c>
      <c r="K1" s="1232">
        <v>45901</v>
      </c>
      <c r="L1" s="1232">
        <v>45931</v>
      </c>
      <c r="M1" s="1232">
        <v>45962</v>
      </c>
      <c r="N1" s="1232">
        <v>45992</v>
      </c>
      <c r="O1" s="1232" t="s">
        <v>168</v>
      </c>
    </row>
    <row r="2" spans="1:16" s="1229" customFormat="1" ht="10.199999999999999">
      <c r="A2" s="1229" t="s">
        <v>1487</v>
      </c>
      <c r="B2" s="1238">
        <f>SUM(B3)</f>
        <v>94172341.829999998</v>
      </c>
      <c r="C2" s="1238">
        <f t="shared" ref="C2:N2" si="0">SUM(C3)</f>
        <v>0</v>
      </c>
      <c r="D2" s="1238">
        <f t="shared" si="0"/>
        <v>0</v>
      </c>
      <c r="E2" s="1233">
        <f t="shared" si="0"/>
        <v>0</v>
      </c>
      <c r="F2" s="1238">
        <f t="shared" si="0"/>
        <v>0</v>
      </c>
      <c r="G2" s="1233">
        <f t="shared" si="0"/>
        <v>18880</v>
      </c>
      <c r="H2" s="1233">
        <f t="shared" si="0"/>
        <v>0</v>
      </c>
      <c r="I2" s="1233">
        <f t="shared" si="0"/>
        <v>0</v>
      </c>
      <c r="J2" s="1233">
        <f t="shared" si="0"/>
        <v>170252678.32999998</v>
      </c>
      <c r="K2" s="1233">
        <f t="shared" si="0"/>
        <v>1180</v>
      </c>
      <c r="L2" s="1233">
        <f t="shared" si="0"/>
        <v>0</v>
      </c>
      <c r="M2" s="1233">
        <f t="shared" si="0"/>
        <v>0</v>
      </c>
      <c r="N2" s="1233">
        <f t="shared" si="0"/>
        <v>0</v>
      </c>
      <c r="O2" s="1233">
        <f t="shared" ref="O2:O33" si="1">SUBTOTAL(9,B2:N2)</f>
        <v>264445080.15999997</v>
      </c>
    </row>
    <row r="3" spans="1:16" s="1231" customFormat="1" ht="10.199999999999999">
      <c r="A3" s="1231" t="s">
        <v>1388</v>
      </c>
      <c r="B3" s="1239">
        <v>94172341.829999998</v>
      </c>
      <c r="C3" s="1239"/>
      <c r="D3" s="1239"/>
      <c r="E3" s="1234"/>
      <c r="F3" s="1239"/>
      <c r="G3" s="1234">
        <v>18880</v>
      </c>
      <c r="H3" s="1234"/>
      <c r="I3" s="1234"/>
      <c r="J3" s="1234">
        <v>170252678.32999998</v>
      </c>
      <c r="K3" s="1234">
        <v>1180</v>
      </c>
      <c r="L3" s="1234"/>
      <c r="M3" s="1234"/>
      <c r="N3" s="1234"/>
      <c r="O3" s="1234">
        <f t="shared" si="1"/>
        <v>264445080.15999997</v>
      </c>
    </row>
    <row r="4" spans="1:16" s="1229" customFormat="1" ht="10.199999999999999">
      <c r="A4" s="1229" t="s">
        <v>1490</v>
      </c>
      <c r="B4" s="1238">
        <f>SUM(B5)</f>
        <v>21168315.640000001</v>
      </c>
      <c r="C4" s="1238">
        <f t="shared" ref="C4:N4" si="2">SUM(C5)</f>
        <v>239349.75</v>
      </c>
      <c r="D4" s="1238">
        <f t="shared" si="2"/>
        <v>0</v>
      </c>
      <c r="E4" s="1233">
        <f t="shared" si="2"/>
        <v>146320</v>
      </c>
      <c r="F4" s="1238">
        <f t="shared" si="2"/>
        <v>108350.26</v>
      </c>
      <c r="G4" s="1233">
        <f t="shared" si="2"/>
        <v>53100</v>
      </c>
      <c r="H4" s="1233">
        <f t="shared" si="2"/>
        <v>0</v>
      </c>
      <c r="I4" s="1233">
        <f t="shared" si="2"/>
        <v>0</v>
      </c>
      <c r="J4" s="1233">
        <f t="shared" si="2"/>
        <v>1595686.82</v>
      </c>
      <c r="K4" s="1233">
        <f t="shared" si="2"/>
        <v>87792</v>
      </c>
      <c r="L4" s="1233">
        <f t="shared" si="2"/>
        <v>312774.26</v>
      </c>
      <c r="M4" s="1233">
        <f t="shared" si="2"/>
        <v>0</v>
      </c>
      <c r="N4" s="1233">
        <f t="shared" si="2"/>
        <v>0</v>
      </c>
      <c r="O4" s="1233">
        <f t="shared" si="1"/>
        <v>23711688.730000004</v>
      </c>
    </row>
    <row r="5" spans="1:16" s="1231" customFormat="1" ht="10.199999999999999">
      <c r="A5" s="1231" t="s">
        <v>1389</v>
      </c>
      <c r="B5" s="1239">
        <v>21168315.640000001</v>
      </c>
      <c r="C5" s="1242">
        <v>239349.75</v>
      </c>
      <c r="D5" s="1239"/>
      <c r="E5" s="1234">
        <v>146320</v>
      </c>
      <c r="F5" s="1239">
        <v>108350.26</v>
      </c>
      <c r="G5" s="1234">
        <v>53100</v>
      </c>
      <c r="H5" s="1234"/>
      <c r="I5" s="1234"/>
      <c r="J5" s="1234">
        <v>1595686.82</v>
      </c>
      <c r="K5" s="1234">
        <v>87792</v>
      </c>
      <c r="L5" s="1234">
        <v>312774.26</v>
      </c>
      <c r="M5" s="1234">
        <v>0</v>
      </c>
      <c r="N5" s="1234"/>
      <c r="O5" s="1234">
        <f t="shared" si="1"/>
        <v>23711688.730000004</v>
      </c>
    </row>
    <row r="6" spans="1:16" s="1229" customFormat="1" ht="10.199999999999999">
      <c r="A6" s="1229" t="s">
        <v>1792</v>
      </c>
      <c r="B6" s="1238">
        <f>SUM(B7)</f>
        <v>9219083.5899999999</v>
      </c>
      <c r="C6" s="1238">
        <f t="shared" ref="C6:N6" si="3">SUM(C7)</f>
        <v>0</v>
      </c>
      <c r="D6" s="1238">
        <f t="shared" si="3"/>
        <v>0</v>
      </c>
      <c r="E6" s="1233">
        <f t="shared" si="3"/>
        <v>0</v>
      </c>
      <c r="F6" s="1238">
        <f t="shared" si="3"/>
        <v>353433.2</v>
      </c>
      <c r="G6" s="1233">
        <f t="shared" si="3"/>
        <v>93563.38</v>
      </c>
      <c r="H6" s="1233">
        <f t="shared" si="3"/>
        <v>806839.56</v>
      </c>
      <c r="I6" s="1233">
        <f t="shared" si="3"/>
        <v>3069742.21</v>
      </c>
      <c r="J6" s="1233">
        <f t="shared" si="3"/>
        <v>2900560.48</v>
      </c>
      <c r="K6" s="1233">
        <f t="shared" si="3"/>
        <v>342033.18</v>
      </c>
      <c r="L6" s="1233">
        <f t="shared" si="3"/>
        <v>201871.48</v>
      </c>
      <c r="M6" s="1233">
        <f t="shared" si="3"/>
        <v>1617336.11</v>
      </c>
      <c r="N6" s="1233">
        <f t="shared" si="3"/>
        <v>15407306.5</v>
      </c>
      <c r="O6" s="1233">
        <f t="shared" si="1"/>
        <v>34011769.689999998</v>
      </c>
    </row>
    <row r="7" spans="1:16" s="1231" customFormat="1" ht="10.199999999999999">
      <c r="A7" s="1231" t="s">
        <v>1793</v>
      </c>
      <c r="B7" s="1239">
        <v>9219083.5899999999</v>
      </c>
      <c r="C7" s="1239"/>
      <c r="D7" s="1239"/>
      <c r="E7" s="1234"/>
      <c r="F7" s="1239">
        <v>353433.2</v>
      </c>
      <c r="G7" s="1234">
        <v>93563.38</v>
      </c>
      <c r="H7" s="1234">
        <v>806839.56</v>
      </c>
      <c r="I7" s="1234">
        <v>3069742.21</v>
      </c>
      <c r="J7" s="1234">
        <v>2900560.48</v>
      </c>
      <c r="K7" s="1234">
        <v>342033.18</v>
      </c>
      <c r="L7" s="1234">
        <v>201871.48</v>
      </c>
      <c r="M7" s="1234">
        <v>1617336.11</v>
      </c>
      <c r="N7" s="1234">
        <v>15407306.5</v>
      </c>
      <c r="O7" s="1234">
        <f t="shared" si="1"/>
        <v>34011769.689999998</v>
      </c>
    </row>
    <row r="8" spans="1:16" s="1229" customFormat="1" ht="10.199999999999999">
      <c r="A8" s="1229" t="s">
        <v>1794</v>
      </c>
      <c r="B8" s="1238">
        <f>SUM(B9)</f>
        <v>0</v>
      </c>
      <c r="C8" s="1238">
        <f t="shared" ref="C8:N8" si="4">SUM(C9)</f>
        <v>0</v>
      </c>
      <c r="D8" s="1238">
        <f t="shared" si="4"/>
        <v>0</v>
      </c>
      <c r="E8" s="1233">
        <f t="shared" si="4"/>
        <v>0</v>
      </c>
      <c r="F8" s="1238">
        <f t="shared" si="4"/>
        <v>0</v>
      </c>
      <c r="G8" s="1233">
        <f t="shared" si="4"/>
        <v>0</v>
      </c>
      <c r="H8" s="1233">
        <f t="shared" si="4"/>
        <v>0</v>
      </c>
      <c r="I8" s="1233">
        <f t="shared" si="4"/>
        <v>0</v>
      </c>
      <c r="J8" s="1233">
        <f t="shared" si="4"/>
        <v>0</v>
      </c>
      <c r="K8" s="1233">
        <f t="shared" si="4"/>
        <v>0</v>
      </c>
      <c r="L8" s="1233">
        <f t="shared" si="4"/>
        <v>0</v>
      </c>
      <c r="M8" s="1233">
        <f t="shared" si="4"/>
        <v>0</v>
      </c>
      <c r="N8" s="1233">
        <f t="shared" si="4"/>
        <v>991237.18</v>
      </c>
      <c r="O8" s="1233">
        <f t="shared" si="1"/>
        <v>991237.18</v>
      </c>
    </row>
    <row r="9" spans="1:16" s="1231" customFormat="1" ht="10.199999999999999">
      <c r="A9" s="1231" t="s">
        <v>1795</v>
      </c>
      <c r="B9" s="1239"/>
      <c r="C9" s="1239"/>
      <c r="D9" s="1239"/>
      <c r="E9" s="1234"/>
      <c r="F9" s="1239"/>
      <c r="G9" s="1234"/>
      <c r="H9" s="1234"/>
      <c r="I9" s="1234"/>
      <c r="J9" s="1234"/>
      <c r="K9" s="1234"/>
      <c r="L9" s="1234"/>
      <c r="M9" s="1234"/>
      <c r="N9" s="1234">
        <v>991237.18</v>
      </c>
      <c r="O9" s="1234">
        <f t="shared" si="1"/>
        <v>991237.18</v>
      </c>
      <c r="P9" s="1870">
        <f>+O7+O9</f>
        <v>35003006.869999997</v>
      </c>
    </row>
    <row r="10" spans="1:16" s="1229" customFormat="1" ht="10.199999999999999">
      <c r="A10" s="1229" t="s">
        <v>952</v>
      </c>
      <c r="B10" s="1238">
        <f>SUM(B11)</f>
        <v>1644662.03</v>
      </c>
      <c r="C10" s="1238">
        <f t="shared" ref="C10:N10" si="5">SUM(C11)</f>
        <v>1770000</v>
      </c>
      <c r="D10" s="1238">
        <f t="shared" si="5"/>
        <v>0</v>
      </c>
      <c r="E10" s="1233">
        <f t="shared" si="5"/>
        <v>885000</v>
      </c>
      <c r="F10" s="1238">
        <f t="shared" si="5"/>
        <v>2455806.54</v>
      </c>
      <c r="G10" s="1233">
        <f t="shared" si="5"/>
        <v>2360000</v>
      </c>
      <c r="H10" s="1233">
        <f t="shared" si="5"/>
        <v>2417857.34</v>
      </c>
      <c r="I10" s="1233">
        <f t="shared" si="5"/>
        <v>2664755.19</v>
      </c>
      <c r="J10" s="1233">
        <f t="shared" si="5"/>
        <v>2360000</v>
      </c>
      <c r="K10" s="1233">
        <f t="shared" si="5"/>
        <v>2360000</v>
      </c>
      <c r="L10" s="1233">
        <f t="shared" si="5"/>
        <v>2360000</v>
      </c>
      <c r="M10" s="1233">
        <f t="shared" si="5"/>
        <v>2783225.26</v>
      </c>
      <c r="N10" s="1233">
        <f t="shared" si="5"/>
        <v>1770000</v>
      </c>
      <c r="O10" s="1233">
        <f t="shared" si="1"/>
        <v>25831306.359999999</v>
      </c>
    </row>
    <row r="11" spans="1:16" s="1231" customFormat="1" ht="10.199999999999999">
      <c r="A11" s="1231" t="s">
        <v>1796</v>
      </c>
      <c r="B11" s="1239">
        <v>1644662.03</v>
      </c>
      <c r="C11" s="1243">
        <v>1770000</v>
      </c>
      <c r="D11" s="1239"/>
      <c r="E11" s="1234">
        <v>885000</v>
      </c>
      <c r="F11" s="1239">
        <v>2455806.54</v>
      </c>
      <c r="G11" s="1234">
        <v>2360000</v>
      </c>
      <c r="H11" s="1234">
        <v>2417857.34</v>
      </c>
      <c r="I11" s="1234">
        <v>2664755.19</v>
      </c>
      <c r="J11" s="1234">
        <v>2360000</v>
      </c>
      <c r="K11" s="1234">
        <v>2360000</v>
      </c>
      <c r="L11" s="1234">
        <v>2360000</v>
      </c>
      <c r="M11" s="1234">
        <v>2783225.26</v>
      </c>
      <c r="N11" s="1234">
        <v>1770000</v>
      </c>
      <c r="O11" s="1234">
        <f t="shared" si="1"/>
        <v>25831306.359999999</v>
      </c>
    </row>
    <row r="12" spans="1:16" s="1229" customFormat="1" ht="10.199999999999999">
      <c r="A12" s="1229" t="s">
        <v>1797</v>
      </c>
      <c r="B12" s="1238">
        <f>SUM(B13:B19)</f>
        <v>0</v>
      </c>
      <c r="C12" s="1238">
        <f t="shared" ref="C12:N12" si="6">SUM(C13:C19)</f>
        <v>0</v>
      </c>
      <c r="D12" s="1238">
        <f t="shared" si="6"/>
        <v>0</v>
      </c>
      <c r="E12" s="1233">
        <f t="shared" si="6"/>
        <v>0</v>
      </c>
      <c r="F12" s="1238">
        <f t="shared" si="6"/>
        <v>0</v>
      </c>
      <c r="G12" s="1233">
        <f t="shared" si="6"/>
        <v>0</v>
      </c>
      <c r="H12" s="1233">
        <f t="shared" si="6"/>
        <v>147108.53999999998</v>
      </c>
      <c r="I12" s="1233">
        <f t="shared" si="6"/>
        <v>92700.800000000003</v>
      </c>
      <c r="J12" s="1233">
        <f t="shared" si="6"/>
        <v>96854.399999999994</v>
      </c>
      <c r="K12" s="1233">
        <f t="shared" si="6"/>
        <v>90246.399999999994</v>
      </c>
      <c r="L12" s="1233">
        <f t="shared" si="6"/>
        <v>92700.800000000003</v>
      </c>
      <c r="M12" s="1233">
        <f t="shared" si="6"/>
        <v>332688.71000000002</v>
      </c>
      <c r="N12" s="1233">
        <f t="shared" si="6"/>
        <v>92700.800000000003</v>
      </c>
      <c r="O12" s="1233">
        <f t="shared" si="1"/>
        <v>945000.45000000007</v>
      </c>
    </row>
    <row r="13" spans="1:16" s="1231" customFormat="1" ht="10.199999999999999">
      <c r="A13" s="1231" t="s">
        <v>1798</v>
      </c>
      <c r="B13" s="1240"/>
      <c r="C13" s="1240"/>
      <c r="D13" s="1240"/>
      <c r="E13" s="1235"/>
      <c r="F13" s="1240"/>
      <c r="G13" s="1235"/>
      <c r="H13" s="1235"/>
      <c r="I13" s="1235"/>
      <c r="J13" s="1235"/>
      <c r="K13" s="1235"/>
      <c r="L13" s="1235"/>
      <c r="M13" s="1235"/>
      <c r="N13" s="1235"/>
      <c r="O13" s="1235">
        <f t="shared" si="1"/>
        <v>0</v>
      </c>
    </row>
    <row r="14" spans="1:16" s="1231" customFormat="1" ht="10.199999999999999">
      <c r="A14" s="1231" t="s">
        <v>1799</v>
      </c>
      <c r="B14" s="1240"/>
      <c r="C14" s="1240"/>
      <c r="D14" s="1240"/>
      <c r="E14" s="1235"/>
      <c r="F14" s="1240"/>
      <c r="G14" s="1235"/>
      <c r="H14" s="1235"/>
      <c r="I14" s="1235"/>
      <c r="J14" s="1235"/>
      <c r="K14" s="1235"/>
      <c r="L14" s="1235"/>
      <c r="M14" s="1235">
        <v>191502.06</v>
      </c>
      <c r="N14" s="1235"/>
      <c r="O14" s="1235">
        <f t="shared" si="1"/>
        <v>191502.06</v>
      </c>
    </row>
    <row r="15" spans="1:16" s="1231" customFormat="1" ht="10.199999999999999">
      <c r="A15" s="1231" t="s">
        <v>1800</v>
      </c>
      <c r="B15" s="1240"/>
      <c r="C15" s="1240"/>
      <c r="D15" s="1240"/>
      <c r="E15" s="1235"/>
      <c r="F15" s="1240"/>
      <c r="G15" s="1235"/>
      <c r="H15" s="1235"/>
      <c r="I15" s="1235"/>
      <c r="J15" s="1235"/>
      <c r="K15" s="1235"/>
      <c r="L15" s="1235"/>
      <c r="M15" s="1235">
        <v>52569</v>
      </c>
      <c r="N15" s="1235"/>
      <c r="O15" s="1235">
        <f t="shared" si="1"/>
        <v>52569</v>
      </c>
    </row>
    <row r="16" spans="1:16" s="1231" customFormat="1" ht="10.199999999999999">
      <c r="A16" s="1231" t="s">
        <v>1390</v>
      </c>
      <c r="B16" s="1240"/>
      <c r="C16" s="1240"/>
      <c r="D16" s="1240"/>
      <c r="E16" s="1235"/>
      <c r="F16" s="1240"/>
      <c r="G16" s="1235"/>
      <c r="H16" s="1235">
        <v>92323.199999999997</v>
      </c>
      <c r="I16" s="1235">
        <v>92700.800000000003</v>
      </c>
      <c r="J16" s="1235">
        <v>96854.399999999994</v>
      </c>
      <c r="K16" s="1235">
        <v>90246.399999999994</v>
      </c>
      <c r="L16" s="1235">
        <v>92700.800000000003</v>
      </c>
      <c r="M16" s="1235">
        <v>94400</v>
      </c>
      <c r="N16" s="1235">
        <v>92700.800000000003</v>
      </c>
      <c r="O16" s="1235">
        <f t="shared" si="1"/>
        <v>651926.40000000014</v>
      </c>
    </row>
    <row r="17" spans="1:15" s="1231" customFormat="1" ht="10.199999999999999">
      <c r="A17" s="1231" t="s">
        <v>2190</v>
      </c>
      <c r="B17" s="1240"/>
      <c r="C17" s="1240"/>
      <c r="D17" s="1240"/>
      <c r="E17" s="1235"/>
      <c r="F17" s="1240"/>
      <c r="G17" s="1235"/>
      <c r="H17" s="1235"/>
      <c r="I17" s="1235"/>
      <c r="J17" s="1235"/>
      <c r="K17" s="1235"/>
      <c r="L17" s="1235"/>
      <c r="M17" s="1235"/>
      <c r="N17" s="1235"/>
      <c r="O17" s="1235">
        <f t="shared" si="1"/>
        <v>0</v>
      </c>
    </row>
    <row r="18" spans="1:15" s="1231" customFormat="1" ht="10.199999999999999">
      <c r="A18" s="1231" t="s">
        <v>1391</v>
      </c>
      <c r="B18" s="1240"/>
      <c r="C18" s="1240"/>
      <c r="D18" s="1240"/>
      <c r="E18" s="1235"/>
      <c r="F18" s="1240"/>
      <c r="G18" s="1235"/>
      <c r="H18" s="1235">
        <v>54785.34</v>
      </c>
      <c r="I18" s="1235"/>
      <c r="J18" s="1235"/>
      <c r="K18" s="1235"/>
      <c r="L18" s="1235"/>
      <c r="M18" s="1235">
        <v>-5782.35</v>
      </c>
      <c r="N18" s="1235"/>
      <c r="O18" s="1235">
        <f t="shared" si="1"/>
        <v>49002.99</v>
      </c>
    </row>
    <row r="19" spans="1:15" s="1231" customFormat="1" ht="10.199999999999999">
      <c r="A19" s="1231" t="s">
        <v>1802</v>
      </c>
      <c r="B19" s="1240"/>
      <c r="C19" s="1240"/>
      <c r="D19" s="1240"/>
      <c r="E19" s="1235"/>
      <c r="F19" s="1240"/>
      <c r="G19" s="1235"/>
      <c r="H19" s="1235"/>
      <c r="I19" s="1235"/>
      <c r="J19" s="1235"/>
      <c r="K19" s="1235"/>
      <c r="L19" s="1235"/>
      <c r="M19" s="1235"/>
      <c r="N19" s="1235"/>
      <c r="O19" s="1235">
        <f t="shared" si="1"/>
        <v>0</v>
      </c>
    </row>
    <row r="20" spans="1:15" s="1229" customFormat="1" ht="10.199999999999999">
      <c r="A20" s="1229" t="s">
        <v>1803</v>
      </c>
      <c r="B20" s="1238">
        <f>SUM(B21)</f>
        <v>0</v>
      </c>
      <c r="C20" s="1238">
        <f t="shared" ref="C20:M20" si="7">SUM(C21)</f>
        <v>0</v>
      </c>
      <c r="D20" s="1238">
        <f t="shared" si="7"/>
        <v>0</v>
      </c>
      <c r="E20" s="1233">
        <f t="shared" si="7"/>
        <v>0</v>
      </c>
      <c r="F20" s="1238">
        <f t="shared" si="7"/>
        <v>0</v>
      </c>
      <c r="G20" s="1233">
        <f t="shared" si="7"/>
        <v>0</v>
      </c>
      <c r="H20" s="1233">
        <f t="shared" si="7"/>
        <v>0</v>
      </c>
      <c r="I20" s="1233">
        <f t="shared" si="7"/>
        <v>0</v>
      </c>
      <c r="J20" s="1233">
        <f t="shared" si="7"/>
        <v>0</v>
      </c>
      <c r="K20" s="1233">
        <f t="shared" si="7"/>
        <v>0</v>
      </c>
      <c r="L20" s="1233">
        <f t="shared" si="7"/>
        <v>0</v>
      </c>
      <c r="M20" s="1233">
        <f t="shared" si="7"/>
        <v>0</v>
      </c>
      <c r="N20" s="1233">
        <f>SUM(N21)</f>
        <v>0</v>
      </c>
      <c r="O20" s="1233">
        <f t="shared" si="1"/>
        <v>0</v>
      </c>
    </row>
    <row r="21" spans="1:15" s="1231" customFormat="1" ht="10.199999999999999">
      <c r="A21" s="1231" t="s">
        <v>1804</v>
      </c>
      <c r="B21" s="1239"/>
      <c r="C21" s="1239"/>
      <c r="D21" s="1239"/>
      <c r="E21" s="1234"/>
      <c r="F21" s="1239"/>
      <c r="G21" s="1234"/>
      <c r="H21" s="1234"/>
      <c r="I21" s="1234"/>
      <c r="J21" s="1234"/>
      <c r="K21" s="1234"/>
      <c r="L21" s="1234"/>
      <c r="M21" s="1234"/>
      <c r="N21" s="1234"/>
      <c r="O21" s="1234">
        <f t="shared" si="1"/>
        <v>0</v>
      </c>
    </row>
    <row r="22" spans="1:15" s="1229" customFormat="1" ht="10.199999999999999">
      <c r="A22" s="1229" t="s">
        <v>1805</v>
      </c>
      <c r="B22" s="1238">
        <f>SUM(B23)</f>
        <v>0</v>
      </c>
      <c r="C22" s="1238">
        <f t="shared" ref="C22:N22" si="8">SUM(C23)</f>
        <v>0</v>
      </c>
      <c r="D22" s="1238">
        <f t="shared" si="8"/>
        <v>0</v>
      </c>
      <c r="E22" s="1233">
        <f t="shared" si="8"/>
        <v>0</v>
      </c>
      <c r="F22" s="1238">
        <f t="shared" si="8"/>
        <v>0</v>
      </c>
      <c r="G22" s="1233">
        <f t="shared" si="8"/>
        <v>0</v>
      </c>
      <c r="H22" s="1233">
        <f t="shared" si="8"/>
        <v>0</v>
      </c>
      <c r="I22" s="1233">
        <f t="shared" si="8"/>
        <v>0</v>
      </c>
      <c r="J22" s="1233">
        <f t="shared" si="8"/>
        <v>0</v>
      </c>
      <c r="K22" s="1233">
        <f t="shared" si="8"/>
        <v>0</v>
      </c>
      <c r="L22" s="1233">
        <f t="shared" si="8"/>
        <v>1013928.6</v>
      </c>
      <c r="M22" s="1233">
        <f t="shared" si="8"/>
        <v>506964.3</v>
      </c>
      <c r="N22" s="1233">
        <f t="shared" si="8"/>
        <v>506964.3</v>
      </c>
      <c r="O22" s="1233">
        <f t="shared" si="1"/>
        <v>2027857.2</v>
      </c>
    </row>
    <row r="23" spans="1:15" s="1231" customFormat="1" ht="10.199999999999999">
      <c r="A23" s="1231" t="s">
        <v>1806</v>
      </c>
      <c r="B23" s="1239"/>
      <c r="C23" s="1239"/>
      <c r="D23" s="1239"/>
      <c r="E23" s="1234"/>
      <c r="F23" s="1239"/>
      <c r="G23" s="1234"/>
      <c r="H23" s="1234"/>
      <c r="I23" s="1234"/>
      <c r="J23" s="1234"/>
      <c r="K23" s="1234"/>
      <c r="L23" s="1234">
        <v>1013928.6</v>
      </c>
      <c r="M23" s="1234">
        <v>506964.3</v>
      </c>
      <c r="N23" s="1234">
        <v>506964.3</v>
      </c>
      <c r="O23" s="1234">
        <f t="shared" si="1"/>
        <v>2027857.2</v>
      </c>
    </row>
    <row r="24" spans="1:15" s="1229" customFormat="1" ht="10.199999999999999">
      <c r="A24" s="1229" t="s">
        <v>1807</v>
      </c>
      <c r="B24" s="1238">
        <f>SUM(B25)</f>
        <v>161175.97</v>
      </c>
      <c r="C24" s="1238">
        <f t="shared" ref="C24:N24" si="9">SUM(C25)</f>
        <v>0</v>
      </c>
      <c r="D24" s="1238">
        <f t="shared" si="9"/>
        <v>0</v>
      </c>
      <c r="E24" s="1233">
        <f t="shared" si="9"/>
        <v>0</v>
      </c>
      <c r="F24" s="1238">
        <f t="shared" si="9"/>
        <v>1770000</v>
      </c>
      <c r="G24" s="1233">
        <f t="shared" si="9"/>
        <v>1770000</v>
      </c>
      <c r="H24" s="1233">
        <f t="shared" si="9"/>
        <v>1770000</v>
      </c>
      <c r="I24" s="1233">
        <f t="shared" si="9"/>
        <v>1770000</v>
      </c>
      <c r="J24" s="1233">
        <f t="shared" si="9"/>
        <v>1770000</v>
      </c>
      <c r="K24" s="1233">
        <f t="shared" si="9"/>
        <v>1770000</v>
      </c>
      <c r="L24" s="1233">
        <f t="shared" si="9"/>
        <v>1770000</v>
      </c>
      <c r="M24" s="1233">
        <f t="shared" si="9"/>
        <v>1770000</v>
      </c>
      <c r="N24" s="1233">
        <f t="shared" si="9"/>
        <v>1770000</v>
      </c>
      <c r="O24" s="1233">
        <f t="shared" si="1"/>
        <v>16091175.969999999</v>
      </c>
    </row>
    <row r="25" spans="1:15" s="1231" customFormat="1" ht="10.199999999999999">
      <c r="A25" s="1231" t="s">
        <v>954</v>
      </c>
      <c r="B25" s="1239">
        <v>161175.97</v>
      </c>
      <c r="C25" s="1239"/>
      <c r="D25" s="1239"/>
      <c r="E25" s="1234"/>
      <c r="F25" s="1239">
        <v>1770000</v>
      </c>
      <c r="G25" s="1234">
        <v>1770000</v>
      </c>
      <c r="H25" s="1234">
        <v>1770000</v>
      </c>
      <c r="I25" s="1234">
        <v>1770000</v>
      </c>
      <c r="J25" s="1234">
        <v>1770000</v>
      </c>
      <c r="K25" s="1234">
        <v>1770000</v>
      </c>
      <c r="L25" s="1234">
        <v>1770000</v>
      </c>
      <c r="M25" s="1234">
        <v>1770000</v>
      </c>
      <c r="N25" s="1234">
        <v>1770000</v>
      </c>
      <c r="O25" s="1234">
        <f t="shared" si="1"/>
        <v>16091175.969999999</v>
      </c>
    </row>
    <row r="26" spans="1:15" s="1229" customFormat="1" ht="10.199999999999999">
      <c r="A26" s="1229" t="s">
        <v>1808</v>
      </c>
      <c r="B26" s="1238">
        <f>SUM(B27:B30)</f>
        <v>559355.54</v>
      </c>
      <c r="C26" s="1238">
        <f t="shared" ref="C26:N26" si="10">SUM(C27:C30)</f>
        <v>0</v>
      </c>
      <c r="D26" s="1238">
        <f t="shared" si="10"/>
        <v>645765.21</v>
      </c>
      <c r="E26" s="1233">
        <f t="shared" si="10"/>
        <v>595001.35</v>
      </c>
      <c r="F26" s="1238">
        <f t="shared" si="10"/>
        <v>1549872.47</v>
      </c>
      <c r="G26" s="1233">
        <f t="shared" si="10"/>
        <v>1423527.61</v>
      </c>
      <c r="H26" s="1233">
        <f t="shared" si="10"/>
        <v>1733909.84</v>
      </c>
      <c r="I26" s="1233">
        <f t="shared" si="10"/>
        <v>7890097.2200000007</v>
      </c>
      <c r="J26" s="1233">
        <f t="shared" si="10"/>
        <v>16166710.020000001</v>
      </c>
      <c r="K26" s="1233">
        <f t="shared" si="10"/>
        <v>11886550.289999999</v>
      </c>
      <c r="L26" s="1233">
        <f t="shared" si="10"/>
        <v>12659941.220000001</v>
      </c>
      <c r="M26" s="1233">
        <f t="shared" si="10"/>
        <v>15204797.51</v>
      </c>
      <c r="N26" s="1233">
        <f t="shared" si="10"/>
        <v>5620798.7199999997</v>
      </c>
      <c r="O26" s="1233">
        <f t="shared" si="1"/>
        <v>75936327</v>
      </c>
    </row>
    <row r="27" spans="1:15" s="1231" customFormat="1" ht="10.199999999999999">
      <c r="A27" s="1231" t="s">
        <v>1610</v>
      </c>
      <c r="B27" s="1645"/>
      <c r="C27" s="1645"/>
      <c r="D27" s="1645"/>
      <c r="E27" s="1626"/>
      <c r="F27" s="1645"/>
      <c r="G27" s="1626"/>
      <c r="H27" s="1626"/>
      <c r="I27" s="1626">
        <v>6290641.6900000004</v>
      </c>
      <c r="J27" s="1626">
        <v>14391880.130000001</v>
      </c>
      <c r="K27" s="1626">
        <v>9799035.4900000002</v>
      </c>
      <c r="L27" s="1626">
        <v>10674167.390000001</v>
      </c>
      <c r="M27" s="1626">
        <v>12853059.84</v>
      </c>
      <c r="N27" s="1626">
        <v>3433866.78</v>
      </c>
      <c r="O27" s="1626">
        <f t="shared" si="1"/>
        <v>57442651.320000008</v>
      </c>
    </row>
    <row r="28" spans="1:15" s="1231" customFormat="1" ht="10.199999999999999">
      <c r="A28" s="1231" t="s">
        <v>1279</v>
      </c>
      <c r="B28" s="1240"/>
      <c r="C28" s="1240"/>
      <c r="D28" s="1240"/>
      <c r="E28" s="1235"/>
      <c r="F28" s="1240">
        <v>767000</v>
      </c>
      <c r="G28" s="1235">
        <v>767000</v>
      </c>
      <c r="H28" s="1235">
        <v>767000</v>
      </c>
      <c r="I28" s="1235">
        <v>767000</v>
      </c>
      <c r="J28" s="1235">
        <v>767000</v>
      </c>
      <c r="K28" s="1235">
        <v>767000</v>
      </c>
      <c r="L28" s="1235">
        <v>767000</v>
      </c>
      <c r="M28" s="1235">
        <v>767000</v>
      </c>
      <c r="N28" s="1235">
        <v>767000</v>
      </c>
      <c r="O28" s="1235">
        <f t="shared" si="1"/>
        <v>6903000</v>
      </c>
    </row>
    <row r="29" spans="1:15" s="1231" customFormat="1" ht="10.199999999999999">
      <c r="A29" s="1231" t="s">
        <v>1280</v>
      </c>
      <c r="B29" s="1240">
        <v>559355.54</v>
      </c>
      <c r="C29" s="1240"/>
      <c r="D29" s="1240">
        <v>645765.21</v>
      </c>
      <c r="E29" s="1235">
        <v>595001.35</v>
      </c>
      <c r="F29" s="1240">
        <v>677173.63</v>
      </c>
      <c r="G29" s="1235">
        <v>620535.91</v>
      </c>
      <c r="H29" s="1235">
        <v>825710.8</v>
      </c>
      <c r="I29" s="1235">
        <v>832455.53</v>
      </c>
      <c r="J29" s="1235">
        <v>941719.5</v>
      </c>
      <c r="K29" s="1235">
        <v>1237302.53</v>
      </c>
      <c r="L29" s="1235">
        <v>1132936.8999999999</v>
      </c>
      <c r="M29" s="1235">
        <v>1276808.69</v>
      </c>
      <c r="N29" s="1235">
        <v>1311409.7</v>
      </c>
      <c r="O29" s="1235">
        <f t="shared" si="1"/>
        <v>10656175.289999999</v>
      </c>
    </row>
    <row r="30" spans="1:15" s="1231" customFormat="1" ht="10.199999999999999">
      <c r="A30" s="1231" t="s">
        <v>1757</v>
      </c>
      <c r="B30" s="1240"/>
      <c r="C30" s="1240"/>
      <c r="D30" s="1240"/>
      <c r="E30" s="1235"/>
      <c r="F30" s="1240">
        <v>105698.84</v>
      </c>
      <c r="G30" s="1235">
        <v>35991.699999999997</v>
      </c>
      <c r="H30" s="1235">
        <v>141199.04000000001</v>
      </c>
      <c r="I30" s="1235"/>
      <c r="J30" s="1235">
        <v>66110.39</v>
      </c>
      <c r="K30" s="1235">
        <v>83212.27</v>
      </c>
      <c r="L30" s="1235">
        <v>85836.93</v>
      </c>
      <c r="M30" s="1235">
        <v>307928.98</v>
      </c>
      <c r="N30" s="1235">
        <v>108522.24000000001</v>
      </c>
      <c r="O30" s="1235">
        <f t="shared" si="1"/>
        <v>934500.3899999999</v>
      </c>
    </row>
    <row r="31" spans="1:15" s="1229" customFormat="1" ht="10.199999999999999">
      <c r="A31" s="1229" t="s">
        <v>1809</v>
      </c>
      <c r="B31" s="1238">
        <f>SUM(B32:B33)</f>
        <v>373034.61</v>
      </c>
      <c r="C31" s="1238">
        <f t="shared" ref="C31:N31" si="11">SUM(C32:C33)</f>
        <v>43563.47</v>
      </c>
      <c r="D31" s="1238">
        <f t="shared" si="11"/>
        <v>36723.129999999997</v>
      </c>
      <c r="E31" s="1233">
        <f t="shared" si="11"/>
        <v>37034.89</v>
      </c>
      <c r="F31" s="1238">
        <f t="shared" si="11"/>
        <v>51335.37</v>
      </c>
      <c r="G31" s="1233">
        <f t="shared" si="11"/>
        <v>125971.53</v>
      </c>
      <c r="H31" s="1233">
        <f t="shared" si="11"/>
        <v>205035.01</v>
      </c>
      <c r="I31" s="1233">
        <f t="shared" si="11"/>
        <v>193826.15000000002</v>
      </c>
      <c r="J31" s="1233">
        <f t="shared" si="11"/>
        <v>228402.97999999998</v>
      </c>
      <c r="K31" s="1233">
        <f t="shared" si="11"/>
        <v>824240.61999999988</v>
      </c>
      <c r="L31" s="1233">
        <f t="shared" si="11"/>
        <v>143558.04999999999</v>
      </c>
      <c r="M31" s="1233">
        <f t="shared" si="11"/>
        <v>111569.53</v>
      </c>
      <c r="N31" s="1233">
        <f t="shared" si="11"/>
        <v>187644.31</v>
      </c>
      <c r="O31" s="1233">
        <f t="shared" si="1"/>
        <v>2561939.6499999994</v>
      </c>
    </row>
    <row r="32" spans="1:15" s="1231" customFormat="1" ht="10.199999999999999">
      <c r="A32" s="1231" t="s">
        <v>1281</v>
      </c>
      <c r="B32" s="1240">
        <v>344499.26</v>
      </c>
      <c r="C32" s="1243">
        <v>36279.57</v>
      </c>
      <c r="D32" s="1240">
        <v>36723.129999999997</v>
      </c>
      <c r="E32" s="1235">
        <v>37034.89</v>
      </c>
      <c r="F32" s="1240">
        <v>37423.760000000002</v>
      </c>
      <c r="G32" s="1235">
        <v>34807.29</v>
      </c>
      <c r="H32" s="1235">
        <v>35695</v>
      </c>
      <c r="I32" s="1235">
        <v>35546.730000000003</v>
      </c>
      <c r="J32" s="1235">
        <v>36234.199999999997</v>
      </c>
      <c r="K32" s="1235">
        <v>627694.68999999994</v>
      </c>
      <c r="L32" s="1235">
        <v>37152.89</v>
      </c>
      <c r="M32" s="1235">
        <v>37296.32</v>
      </c>
      <c r="N32" s="1235">
        <v>113391.16</v>
      </c>
      <c r="O32" s="1235">
        <f t="shared" si="1"/>
        <v>1449778.89</v>
      </c>
    </row>
    <row r="33" spans="1:15" s="1231" customFormat="1" ht="10.199999999999999">
      <c r="A33" s="1231" t="s">
        <v>1282</v>
      </c>
      <c r="B33" s="1240">
        <v>28535.35</v>
      </c>
      <c r="C33" s="1243">
        <v>7283.9</v>
      </c>
      <c r="D33" s="1240"/>
      <c r="E33" s="1235"/>
      <c r="F33" s="1240">
        <v>13911.61</v>
      </c>
      <c r="G33" s="1235">
        <v>91164.24</v>
      </c>
      <c r="H33" s="1235">
        <v>169340.01</v>
      </c>
      <c r="I33" s="1235">
        <v>158279.42000000001</v>
      </c>
      <c r="J33" s="1235">
        <v>192168.78</v>
      </c>
      <c r="K33" s="1235">
        <v>196545.93</v>
      </c>
      <c r="L33" s="1235">
        <v>106405.16</v>
      </c>
      <c r="M33" s="1235">
        <v>74273.210000000006</v>
      </c>
      <c r="N33" s="1235">
        <v>74253.149999999994</v>
      </c>
      <c r="O33" s="1235">
        <f t="shared" si="1"/>
        <v>1112160.76</v>
      </c>
    </row>
    <row r="34" spans="1:15" s="1229" customFormat="1" ht="10.199999999999999">
      <c r="A34" s="1229" t="s">
        <v>854</v>
      </c>
      <c r="B34" s="1238">
        <f t="shared" ref="B34:N34" si="12">SUM(B35:B42)</f>
        <v>9529685.3000000007</v>
      </c>
      <c r="C34" s="1238">
        <f t="shared" si="12"/>
        <v>915790.08000000007</v>
      </c>
      <c r="D34" s="1238">
        <f t="shared" si="12"/>
        <v>1931201.9</v>
      </c>
      <c r="E34" s="1238">
        <f t="shared" si="12"/>
        <v>1084802.17</v>
      </c>
      <c r="F34" s="1238">
        <f t="shared" si="12"/>
        <v>826552.34</v>
      </c>
      <c r="G34" s="1238">
        <f t="shared" si="12"/>
        <v>740040.2</v>
      </c>
      <c r="H34" s="1238">
        <f t="shared" si="12"/>
        <v>1412884.71</v>
      </c>
      <c r="I34" s="1238">
        <f t="shared" si="12"/>
        <v>3494146.35</v>
      </c>
      <c r="J34" s="1238">
        <f t="shared" si="12"/>
        <v>1721745.17</v>
      </c>
      <c r="K34" s="1238">
        <f t="shared" si="12"/>
        <v>551935.67999999993</v>
      </c>
      <c r="L34" s="1238">
        <f t="shared" si="12"/>
        <v>1245788.3799999999</v>
      </c>
      <c r="M34" s="1238">
        <f t="shared" si="12"/>
        <v>949800.34</v>
      </c>
      <c r="N34" s="1238">
        <f t="shared" si="12"/>
        <v>996281.21</v>
      </c>
      <c r="O34" s="1238">
        <f t="shared" ref="O34:O52" si="13">SUBTOTAL(9,B34:N34)</f>
        <v>25400653.829999998</v>
      </c>
    </row>
    <row r="35" spans="1:15" s="1231" customFormat="1" ht="10.199999999999999">
      <c r="A35" s="1231" t="s">
        <v>1283</v>
      </c>
      <c r="B35" s="1240">
        <v>4456434.6400000006</v>
      </c>
      <c r="C35" s="1243">
        <v>292040.78000000003</v>
      </c>
      <c r="D35" s="1240"/>
      <c r="E35" s="1235">
        <v>149662.62</v>
      </c>
      <c r="F35" s="1240">
        <v>167745.43</v>
      </c>
      <c r="G35" s="1235"/>
      <c r="H35" s="1235">
        <v>258175.66</v>
      </c>
      <c r="I35" s="1235"/>
      <c r="J35" s="1235"/>
      <c r="K35" s="1235"/>
      <c r="L35" s="1235"/>
      <c r="M35" s="1235">
        <v>-180453.94</v>
      </c>
      <c r="N35" s="1235"/>
      <c r="O35" s="1235">
        <f t="shared" si="13"/>
        <v>5143605.1900000004</v>
      </c>
    </row>
    <row r="36" spans="1:15" s="1231" customFormat="1" ht="10.199999999999999">
      <c r="A36" s="1231" t="s">
        <v>2071</v>
      </c>
      <c r="B36" s="1240">
        <v>4481135.66</v>
      </c>
      <c r="C36" s="1240">
        <v>57400.509999999995</v>
      </c>
      <c r="D36" s="1240">
        <v>1795826.4</v>
      </c>
      <c r="E36" s="1235">
        <v>187959.76</v>
      </c>
      <c r="F36" s="1240">
        <v>188099.53</v>
      </c>
      <c r="G36" s="1235">
        <v>192037.45</v>
      </c>
      <c r="H36" s="1235">
        <v>179220.88999999998</v>
      </c>
      <c r="I36" s="1235">
        <v>2902845.21</v>
      </c>
      <c r="J36" s="1235">
        <v>1207725.21</v>
      </c>
      <c r="K36" s="1235">
        <v>52946.6</v>
      </c>
      <c r="L36" s="1235"/>
      <c r="M36" s="1235"/>
      <c r="N36" s="1235"/>
      <c r="O36" s="1235">
        <f t="shared" si="13"/>
        <v>11245197.220000001</v>
      </c>
    </row>
    <row r="37" spans="1:15" s="1231" customFormat="1" ht="10.199999999999999">
      <c r="A37" s="1231" t="s">
        <v>2062</v>
      </c>
      <c r="B37" s="1240"/>
      <c r="C37" s="1243"/>
      <c r="D37" s="1240"/>
      <c r="E37" s="1235">
        <v>74992.789999999994</v>
      </c>
      <c r="F37" s="1240">
        <v>52091.040000000001</v>
      </c>
      <c r="G37" s="1235">
        <v>129162.79</v>
      </c>
      <c r="H37" s="1235">
        <v>186272.04</v>
      </c>
      <c r="I37" s="1235">
        <v>234473.14</v>
      </c>
      <c r="J37" s="1235">
        <v>259817.28</v>
      </c>
      <c r="K37" s="1235">
        <v>122677.4</v>
      </c>
      <c r="L37" s="1235">
        <v>196734.06</v>
      </c>
      <c r="M37" s="1235">
        <v>257568.44</v>
      </c>
      <c r="N37" s="1235">
        <v>176353.58</v>
      </c>
      <c r="O37" s="1235">
        <f t="shared" si="13"/>
        <v>1690142.56</v>
      </c>
    </row>
    <row r="38" spans="1:15" s="1231" customFormat="1" ht="10.199999999999999">
      <c r="A38" s="1231" t="s">
        <v>2191</v>
      </c>
      <c r="B38" s="1240">
        <v>0</v>
      </c>
      <c r="C38" s="1243">
        <v>435604.79000000004</v>
      </c>
      <c r="D38" s="1240">
        <v>0</v>
      </c>
      <c r="E38" s="1235">
        <v>147972</v>
      </c>
      <c r="F38" s="1240">
        <v>149742</v>
      </c>
      <c r="G38" s="1235">
        <v>142190</v>
      </c>
      <c r="H38" s="1235">
        <v>142190</v>
      </c>
      <c r="I38" s="1235">
        <v>144432</v>
      </c>
      <c r="J38" s="1235">
        <v>144698.68</v>
      </c>
      <c r="K38" s="1235">
        <v>245567.68</v>
      </c>
      <c r="L38" s="1235">
        <v>316570.40000000002</v>
      </c>
      <c r="M38" s="1626">
        <v>325416.5</v>
      </c>
      <c r="N38" s="1235">
        <v>322352.40000000002</v>
      </c>
      <c r="O38" s="1235">
        <f t="shared" si="13"/>
        <v>2516736.4499999997</v>
      </c>
    </row>
    <row r="39" spans="1:15" s="1231" customFormat="1" ht="10.199999999999999">
      <c r="A39" s="1231" t="s">
        <v>2073</v>
      </c>
      <c r="B39" s="1240">
        <v>559615</v>
      </c>
      <c r="C39" s="1240">
        <v>130744</v>
      </c>
      <c r="D39" s="1240">
        <v>130744</v>
      </c>
      <c r="E39" s="1235">
        <v>130744</v>
      </c>
      <c r="F39" s="1240">
        <v>130744</v>
      </c>
      <c r="G39" s="1235">
        <v>109504</v>
      </c>
      <c r="H39" s="1235">
        <v>109504</v>
      </c>
      <c r="I39" s="1235">
        <v>88264</v>
      </c>
      <c r="J39" s="1235">
        <v>109504</v>
      </c>
      <c r="K39" s="1235">
        <v>130744</v>
      </c>
      <c r="L39" s="1235">
        <v>70800</v>
      </c>
      <c r="M39" s="1626">
        <v>21240</v>
      </c>
      <c r="N39" s="1235">
        <v>278729.5</v>
      </c>
      <c r="O39" s="1235">
        <f t="shared" si="13"/>
        <v>2000880.5</v>
      </c>
    </row>
    <row r="40" spans="1:15" s="1231" customFormat="1" ht="10.199999999999999">
      <c r="A40" s="1231" t="s">
        <v>2043</v>
      </c>
      <c r="B40" s="1240">
        <v>32500</v>
      </c>
      <c r="C40" s="1240"/>
      <c r="D40" s="1240">
        <v>4631.5</v>
      </c>
      <c r="E40" s="1235">
        <v>826</v>
      </c>
      <c r="F40" s="1240">
        <v>138130.34</v>
      </c>
      <c r="G40" s="1235">
        <v>167145.96000000002</v>
      </c>
      <c r="H40" s="1235">
        <v>537522.12</v>
      </c>
      <c r="I40" s="1235">
        <v>124132</v>
      </c>
      <c r="J40" s="1235"/>
      <c r="K40" s="1235"/>
      <c r="L40" s="1235">
        <v>216162.42</v>
      </c>
      <c r="M40" s="1626">
        <v>12555.41</v>
      </c>
      <c r="N40" s="1235">
        <v>208600</v>
      </c>
      <c r="O40" s="1235">
        <f t="shared" si="13"/>
        <v>1442205.75</v>
      </c>
    </row>
    <row r="41" spans="1:15" s="1231" customFormat="1" ht="10.199999999999999">
      <c r="A41" s="1231" t="s">
        <v>2074</v>
      </c>
      <c r="B41" s="1240"/>
      <c r="C41" s="1240"/>
      <c r="D41" s="1240"/>
      <c r="E41" s="1235">
        <v>392645</v>
      </c>
      <c r="F41" s="1240"/>
      <c r="G41" s="1235"/>
      <c r="H41" s="1235"/>
      <c r="I41" s="1235"/>
      <c r="J41" s="1235"/>
      <c r="K41" s="1235"/>
      <c r="L41" s="1235">
        <v>445521.5</v>
      </c>
      <c r="M41" s="1235">
        <v>513473.93</v>
      </c>
      <c r="N41" s="1235">
        <v>10245.73</v>
      </c>
      <c r="O41" s="1235">
        <f t="shared" si="13"/>
        <v>1361886.16</v>
      </c>
    </row>
    <row r="42" spans="1:15" s="1231" customFormat="1" ht="10.199999999999999">
      <c r="A42" s="1231" t="s">
        <v>2075</v>
      </c>
      <c r="B42" s="1240"/>
      <c r="C42" s="1240"/>
      <c r="D42" s="1240"/>
      <c r="E42" s="1235"/>
      <c r="F42" s="1240"/>
      <c r="G42" s="1235"/>
      <c r="H42" s="1235"/>
      <c r="I42" s="1235"/>
      <c r="J42" s="1235"/>
      <c r="K42" s="1235"/>
      <c r="L42" s="1235"/>
      <c r="M42" s="1235"/>
      <c r="N42" s="1235"/>
      <c r="O42" s="1235">
        <f t="shared" si="13"/>
        <v>0</v>
      </c>
    </row>
    <row r="43" spans="1:15" s="1229" customFormat="1" ht="10.199999999999999">
      <c r="A43" s="1229" t="s">
        <v>1811</v>
      </c>
      <c r="B43" s="1238">
        <f>SUM(B44:B45)</f>
        <v>0</v>
      </c>
      <c r="C43" s="1238">
        <f t="shared" ref="C43:N43" si="14">SUM(C44:C45)</f>
        <v>0</v>
      </c>
      <c r="D43" s="1238">
        <f t="shared" si="14"/>
        <v>0</v>
      </c>
      <c r="E43" s="1233">
        <f t="shared" si="14"/>
        <v>0</v>
      </c>
      <c r="F43" s="1238">
        <f t="shared" si="14"/>
        <v>0</v>
      </c>
      <c r="G43" s="1233">
        <f t="shared" si="14"/>
        <v>0</v>
      </c>
      <c r="H43" s="1233">
        <f t="shared" si="14"/>
        <v>0</v>
      </c>
      <c r="I43" s="1233">
        <f t="shared" si="14"/>
        <v>0</v>
      </c>
      <c r="J43" s="1233">
        <f t="shared" si="14"/>
        <v>0</v>
      </c>
      <c r="K43" s="1233">
        <f t="shared" si="14"/>
        <v>0</v>
      </c>
      <c r="L43" s="1233">
        <f t="shared" si="14"/>
        <v>0</v>
      </c>
      <c r="M43" s="1233">
        <f t="shared" si="14"/>
        <v>0</v>
      </c>
      <c r="N43" s="1233">
        <f t="shared" si="14"/>
        <v>0</v>
      </c>
      <c r="O43" s="1233">
        <f t="shared" si="13"/>
        <v>0</v>
      </c>
    </row>
    <row r="44" spans="1:15" s="1231" customFormat="1" ht="10.199999999999999">
      <c r="A44" s="1231" t="s">
        <v>1812</v>
      </c>
      <c r="B44" s="1240"/>
      <c r="C44" s="1240"/>
      <c r="D44" s="1240"/>
      <c r="E44" s="1235"/>
      <c r="F44" s="1240"/>
      <c r="G44" s="1235"/>
      <c r="H44" s="1235"/>
      <c r="I44" s="1235"/>
      <c r="J44" s="1235"/>
      <c r="K44" s="1235"/>
      <c r="L44" s="1235"/>
      <c r="M44" s="1235"/>
      <c r="N44" s="1235"/>
      <c r="O44" s="1235">
        <f t="shared" si="13"/>
        <v>0</v>
      </c>
    </row>
    <row r="45" spans="1:15" s="1231" customFormat="1" ht="10.199999999999999">
      <c r="A45" s="1231" t="s">
        <v>1813</v>
      </c>
      <c r="B45" s="1240"/>
      <c r="C45" s="1240"/>
      <c r="D45" s="1240"/>
      <c r="E45" s="1235"/>
      <c r="F45" s="1240"/>
      <c r="G45" s="1235"/>
      <c r="H45" s="1235"/>
      <c r="I45" s="1235"/>
      <c r="J45" s="1235"/>
      <c r="K45" s="1235"/>
      <c r="L45" s="1235"/>
      <c r="M45" s="1235"/>
      <c r="N45" s="1235"/>
      <c r="O45" s="1235">
        <f t="shared" si="13"/>
        <v>0</v>
      </c>
    </row>
    <row r="46" spans="1:15" s="1229" customFormat="1" ht="10.199999999999999">
      <c r="A46" s="1229" t="s">
        <v>859</v>
      </c>
      <c r="B46" s="1238">
        <f>SUM(B47)</f>
        <v>12715384.379999999</v>
      </c>
      <c r="C46" s="1238">
        <f t="shared" ref="C46:N46" si="15">SUM(C47)</f>
        <v>0</v>
      </c>
      <c r="D46" s="1238">
        <f t="shared" si="15"/>
        <v>0</v>
      </c>
      <c r="E46" s="1233">
        <f t="shared" si="15"/>
        <v>128745.38</v>
      </c>
      <c r="F46" s="1238">
        <f t="shared" si="15"/>
        <v>552632.57999999996</v>
      </c>
      <c r="G46" s="1233">
        <f t="shared" si="15"/>
        <v>120006</v>
      </c>
      <c r="H46" s="1233">
        <f t="shared" si="15"/>
        <v>1543136</v>
      </c>
      <c r="I46" s="1233">
        <f t="shared" si="15"/>
        <v>300</v>
      </c>
      <c r="J46" s="1233">
        <f t="shared" si="15"/>
        <v>223322.53</v>
      </c>
      <c r="K46" s="1233">
        <f t="shared" si="15"/>
        <v>1594150.23</v>
      </c>
      <c r="L46" s="1233">
        <f t="shared" si="15"/>
        <v>842419.7</v>
      </c>
      <c r="M46" s="1233">
        <f t="shared" si="15"/>
        <v>339222.22</v>
      </c>
      <c r="N46" s="1233">
        <f t="shared" si="15"/>
        <v>2546180</v>
      </c>
      <c r="O46" s="1233">
        <f t="shared" si="13"/>
        <v>20605499.019999996</v>
      </c>
    </row>
    <row r="47" spans="1:15" s="1231" customFormat="1" ht="10.199999999999999">
      <c r="A47" s="1231" t="s">
        <v>860</v>
      </c>
      <c r="B47" s="1239">
        <v>12715384.379999999</v>
      </c>
      <c r="C47" s="1239"/>
      <c r="D47" s="1239"/>
      <c r="E47" s="1234">
        <v>128745.38</v>
      </c>
      <c r="F47" s="1239">
        <v>552632.57999999996</v>
      </c>
      <c r="G47" s="1234">
        <v>120006</v>
      </c>
      <c r="H47" s="1234">
        <v>1543136</v>
      </c>
      <c r="I47" s="1234">
        <v>300</v>
      </c>
      <c r="J47" s="1234">
        <v>223322.53</v>
      </c>
      <c r="K47" s="1234">
        <f>1099066.83+495083.4</f>
        <v>1594150.23</v>
      </c>
      <c r="L47" s="1234">
        <v>842419.7</v>
      </c>
      <c r="M47" s="1234">
        <v>339222.22</v>
      </c>
      <c r="N47" s="1234">
        <v>2546180</v>
      </c>
      <c r="O47" s="1234">
        <f t="shared" si="13"/>
        <v>20605499.019999996</v>
      </c>
    </row>
    <row r="48" spans="1:15" s="1229" customFormat="1" ht="10.199999999999999">
      <c r="A48" s="1229" t="s">
        <v>1814</v>
      </c>
      <c r="B48" s="1238">
        <f>SUM(B49)</f>
        <v>0</v>
      </c>
      <c r="C48" s="1238">
        <f t="shared" ref="C48:N48" si="16">SUM(C49)</f>
        <v>0</v>
      </c>
      <c r="D48" s="1238">
        <f t="shared" si="16"/>
        <v>0</v>
      </c>
      <c r="E48" s="1233">
        <f t="shared" si="16"/>
        <v>0</v>
      </c>
      <c r="F48" s="1238">
        <f t="shared" si="16"/>
        <v>0</v>
      </c>
      <c r="G48" s="1233">
        <f t="shared" si="16"/>
        <v>0</v>
      </c>
      <c r="H48" s="1233">
        <f t="shared" si="16"/>
        <v>0</v>
      </c>
      <c r="I48" s="1233">
        <f t="shared" si="16"/>
        <v>0</v>
      </c>
      <c r="J48" s="1233">
        <f t="shared" si="16"/>
        <v>0</v>
      </c>
      <c r="K48" s="1233">
        <f t="shared" si="16"/>
        <v>0</v>
      </c>
      <c r="L48" s="1233">
        <f t="shared" si="16"/>
        <v>0</v>
      </c>
      <c r="M48" s="1233">
        <f t="shared" si="16"/>
        <v>0</v>
      </c>
      <c r="N48" s="1233">
        <f t="shared" si="16"/>
        <v>0</v>
      </c>
      <c r="O48" s="1233">
        <f t="shared" si="13"/>
        <v>0</v>
      </c>
    </row>
    <row r="49" spans="1:15" s="1231" customFormat="1" ht="10.199999999999999">
      <c r="A49" s="1231" t="s">
        <v>1815</v>
      </c>
      <c r="B49" s="1239"/>
      <c r="C49" s="1239"/>
      <c r="D49" s="1239"/>
      <c r="E49" s="1234"/>
      <c r="F49" s="1239"/>
      <c r="G49" s="1234"/>
      <c r="H49" s="1234"/>
      <c r="I49" s="1234"/>
      <c r="J49" s="1234"/>
      <c r="K49" s="1234"/>
      <c r="L49" s="1234"/>
      <c r="M49" s="1234"/>
      <c r="N49" s="1234"/>
      <c r="O49" s="1234">
        <f t="shared" si="13"/>
        <v>0</v>
      </c>
    </row>
    <row r="50" spans="1:15" s="1229" customFormat="1" ht="10.199999999999999">
      <c r="A50" s="1229" t="s">
        <v>1816</v>
      </c>
      <c r="B50" s="1238">
        <f>SUM(B51)</f>
        <v>0</v>
      </c>
      <c r="C50" s="1238">
        <f t="shared" ref="C50:N50" si="17">SUM(C51)</f>
        <v>0</v>
      </c>
      <c r="D50" s="1238">
        <f t="shared" si="17"/>
        <v>0</v>
      </c>
      <c r="E50" s="1233">
        <f t="shared" si="17"/>
        <v>0</v>
      </c>
      <c r="F50" s="1238">
        <f t="shared" si="17"/>
        <v>0</v>
      </c>
      <c r="G50" s="1233">
        <f t="shared" si="17"/>
        <v>0</v>
      </c>
      <c r="H50" s="1233">
        <f t="shared" si="17"/>
        <v>0</v>
      </c>
      <c r="I50" s="1233">
        <f t="shared" si="17"/>
        <v>0</v>
      </c>
      <c r="J50" s="1233">
        <f t="shared" si="17"/>
        <v>0</v>
      </c>
      <c r="K50" s="1233">
        <f t="shared" si="17"/>
        <v>0</v>
      </c>
      <c r="L50" s="1233">
        <f t="shared" si="17"/>
        <v>5900</v>
      </c>
      <c r="M50" s="1233">
        <f t="shared" si="17"/>
        <v>0</v>
      </c>
      <c r="N50" s="1233">
        <f t="shared" si="17"/>
        <v>4408448</v>
      </c>
      <c r="O50" s="1233">
        <f t="shared" si="13"/>
        <v>4414348</v>
      </c>
    </row>
    <row r="51" spans="1:15" s="1231" customFormat="1" ht="10.199999999999999">
      <c r="A51" s="1231" t="s">
        <v>1817</v>
      </c>
      <c r="B51" s="1239"/>
      <c r="C51" s="1239"/>
      <c r="D51" s="1239"/>
      <c r="E51" s="1234"/>
      <c r="F51" s="1239"/>
      <c r="G51" s="1234"/>
      <c r="H51" s="1234"/>
      <c r="I51" s="1234"/>
      <c r="J51" s="1234"/>
      <c r="K51" s="1234"/>
      <c r="L51" s="1234">
        <v>5900</v>
      </c>
      <c r="M51" s="1234"/>
      <c r="N51" s="1234">
        <v>4408448</v>
      </c>
      <c r="O51" s="1234">
        <f t="shared" si="13"/>
        <v>4414348</v>
      </c>
    </row>
    <row r="52" spans="1:15" s="1245" customFormat="1" ht="13.8">
      <c r="A52" s="1245" t="s">
        <v>1818</v>
      </c>
      <c r="B52" s="1246">
        <f t="shared" ref="B52:M52" si="18">+B2+B4+B6+B8+B10+B12+B20+B22+B24+B26+B31+B34+B43+B46+B48+B50</f>
        <v>149543038.89000002</v>
      </c>
      <c r="C52" s="1246">
        <f t="shared" si="18"/>
        <v>2968703.3</v>
      </c>
      <c r="D52" s="1246">
        <f t="shared" si="18"/>
        <v>2613690.2399999998</v>
      </c>
      <c r="E52" s="1247">
        <f t="shared" si="18"/>
        <v>2876903.79</v>
      </c>
      <c r="F52" s="1246">
        <f t="shared" si="18"/>
        <v>7667982.7599999998</v>
      </c>
      <c r="G52" s="1247">
        <f t="shared" si="18"/>
        <v>6705088.7200000007</v>
      </c>
      <c r="H52" s="1247">
        <f t="shared" si="18"/>
        <v>10036771</v>
      </c>
      <c r="I52" s="1247">
        <f t="shared" si="18"/>
        <v>19175567.920000002</v>
      </c>
      <c r="J52" s="1247">
        <f t="shared" si="18"/>
        <v>197315960.72999996</v>
      </c>
      <c r="K52" s="1247">
        <f t="shared" si="18"/>
        <v>19508128.399999999</v>
      </c>
      <c r="L52" s="1247">
        <f t="shared" si="18"/>
        <v>20648882.489999998</v>
      </c>
      <c r="M52" s="1247">
        <f t="shared" si="18"/>
        <v>23615603.98</v>
      </c>
      <c r="N52" s="1247">
        <f>+N2+N4+N6+N8+N10+N12+N20+N22+N24+N26+N31+N34+N43+N46+N48+N50</f>
        <v>34297561.019999996</v>
      </c>
      <c r="O52" s="1247">
        <f t="shared" si="13"/>
        <v>496973883.23999995</v>
      </c>
    </row>
  </sheetData>
  <autoFilter ref="A1:O51" xr:uid="{E2A45053-F1C6-4266-8F20-3FD38BF97DEF}"/>
  <pageMargins left="0.7" right="0.7" top="0.75" bottom="0.75" header="0.3" footer="0.3"/>
  <pageSetup paperSize="9" orientation="portrait" r:id="rId1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CCD96-1D35-46CA-9430-3A2F35E819A4}">
  <sheetPr>
    <pageSetUpPr autoPageBreaks="0" fitToPage="1"/>
  </sheetPr>
  <dimension ref="B1:X35"/>
  <sheetViews>
    <sheetView showGridLines="0" topLeftCell="A8" zoomScale="120" zoomScaleNormal="120" zoomScalePageLayoutView="125" workbookViewId="0">
      <selection activeCell="I26" sqref="I26"/>
    </sheetView>
  </sheetViews>
  <sheetFormatPr baseColWidth="10" defaultColWidth="2.6640625" defaultRowHeight="13.8"/>
  <cols>
    <col min="1" max="1" width="1.33203125" style="1173" customWidth="1"/>
    <col min="2" max="2" width="21.6640625" style="1173" customWidth="1"/>
    <col min="3" max="3" width="15" style="1177" bestFit="1" customWidth="1"/>
    <col min="4" max="4" width="15.5546875" style="1173" customWidth="1"/>
    <col min="5" max="5" width="15.33203125" style="1173" customWidth="1"/>
    <col min="6" max="7" width="13.6640625" style="1173" customWidth="1"/>
    <col min="8" max="8" width="12.6640625" style="1173" customWidth="1"/>
    <col min="9" max="9" width="12.5546875" style="1173" customWidth="1"/>
    <col min="10" max="10" width="10.5546875" style="1173" hidden="1" customWidth="1"/>
    <col min="11" max="11" width="11.33203125" style="1173" hidden="1" customWidth="1"/>
    <col min="12" max="12" width="10.5546875" style="1173" hidden="1" customWidth="1"/>
    <col min="13" max="14" width="11.44140625" style="1173" hidden="1" customWidth="1"/>
    <col min="15" max="16" width="12.44140625" style="1173" hidden="1" customWidth="1"/>
    <col min="17" max="17" width="12.5546875" style="1173" hidden="1" customWidth="1"/>
    <col min="18" max="19" width="12.44140625" style="1173" hidden="1" customWidth="1"/>
    <col min="20" max="22" width="12.44140625" style="1173" customWidth="1"/>
    <col min="23" max="23" width="12.44140625" style="1173" hidden="1" customWidth="1"/>
    <col min="24" max="24" width="13.88671875" style="1173" bestFit="1" customWidth="1"/>
    <col min="25" max="16384" width="2.6640625" style="1173"/>
  </cols>
  <sheetData>
    <row r="1" spans="2:24" ht="46.8">
      <c r="B1" s="1175" t="s">
        <v>1891</v>
      </c>
      <c r="C1" s="1176"/>
      <c r="F1" s="1257" t="s">
        <v>1892</v>
      </c>
    </row>
    <row r="2" spans="2:24" ht="9.6" customHeight="1">
      <c r="B2" s="1179"/>
      <c r="C2" s="1180"/>
      <c r="F2" s="1181"/>
      <c r="G2" s="1181"/>
    </row>
    <row r="3" spans="2:24" ht="28.8">
      <c r="B3" s="2153" t="s">
        <v>1893</v>
      </c>
      <c r="C3" s="2153"/>
      <c r="D3" s="1970" t="s">
        <v>2192</v>
      </c>
      <c r="E3" s="1971"/>
    </row>
    <row r="4" spans="2:24" s="1183" customFormat="1" ht="12">
      <c r="B4" s="1184" t="s">
        <v>29</v>
      </c>
      <c r="C4" s="1184" t="s">
        <v>1895</v>
      </c>
      <c r="D4" s="1184" t="s">
        <v>1896</v>
      </c>
      <c r="E4" s="1401"/>
      <c r="F4" s="1401"/>
      <c r="G4" s="1184"/>
      <c r="H4" s="1185"/>
      <c r="I4" s="1185"/>
      <c r="J4" s="1185" t="s">
        <v>1897</v>
      </c>
      <c r="K4" s="1185">
        <v>45658</v>
      </c>
      <c r="L4" s="1185">
        <v>45689</v>
      </c>
      <c r="M4" s="1185">
        <v>45717</v>
      </c>
      <c r="N4" s="1185">
        <v>45748</v>
      </c>
      <c r="O4" s="1185">
        <v>45778</v>
      </c>
      <c r="P4" s="1185">
        <v>45809</v>
      </c>
      <c r="Q4" s="1185">
        <v>45839</v>
      </c>
      <c r="R4" s="1185">
        <v>45870</v>
      </c>
      <c r="S4" s="1185">
        <v>45901</v>
      </c>
      <c r="T4" s="1185">
        <v>45931</v>
      </c>
      <c r="U4" s="1185">
        <v>45962</v>
      </c>
      <c r="V4" s="1185">
        <v>45992</v>
      </c>
      <c r="W4" s="1185">
        <v>46023</v>
      </c>
      <c r="X4" s="1184" t="s">
        <v>1898</v>
      </c>
    </row>
    <row r="5" spans="2:24" s="1183" customFormat="1" ht="12.6" thickBot="1">
      <c r="B5" s="1261" t="s">
        <v>1899</v>
      </c>
      <c r="C5" s="1258">
        <v>462</v>
      </c>
      <c r="D5" s="1402">
        <f>SUM(J5:S5)</f>
        <v>76</v>
      </c>
      <c r="E5" s="1264"/>
      <c r="F5" s="1259"/>
      <c r="G5" s="1259"/>
      <c r="P5" s="1183">
        <v>3</v>
      </c>
      <c r="Q5" s="1183">
        <v>29</v>
      </c>
      <c r="R5" s="1183">
        <v>20</v>
      </c>
      <c r="S5" s="1260">
        <v>24</v>
      </c>
      <c r="T5" s="1260"/>
      <c r="U5" s="1260"/>
      <c r="V5" s="1260"/>
      <c r="W5" s="1260"/>
      <c r="X5" s="1384">
        <f>+C5-D5</f>
        <v>386</v>
      </c>
    </row>
    <row r="6" spans="2:24" s="1183" customFormat="1" ht="12.6" thickBot="1">
      <c r="B6" s="1266" t="s">
        <v>1900</v>
      </c>
      <c r="C6" s="1373">
        <f>+'ADI 09-25'!D50</f>
        <v>68068862.399999991</v>
      </c>
      <c r="D6" s="1403">
        <f>SUM(J6:S6)</f>
        <v>13885050</v>
      </c>
      <c r="E6" s="1373"/>
      <c r="F6" s="1186"/>
      <c r="G6" s="1186"/>
      <c r="H6" s="1187"/>
      <c r="I6" s="1362"/>
      <c r="J6" s="1405"/>
      <c r="K6" s="1405">
        <v>138050</v>
      </c>
      <c r="L6" s="1405"/>
      <c r="M6" s="1405"/>
      <c r="N6" s="1405">
        <v>403450</v>
      </c>
      <c r="O6" s="1405">
        <v>3464300</v>
      </c>
      <c r="P6" s="1405">
        <v>1453610</v>
      </c>
      <c r="Q6" s="1405">
        <v>3115440</v>
      </c>
      <c r="R6" s="1405">
        <v>2848600</v>
      </c>
      <c r="S6" s="1406">
        <v>2461600</v>
      </c>
      <c r="T6" s="1364"/>
      <c r="U6" s="1364"/>
      <c r="V6" s="1364"/>
      <c r="W6" s="1364"/>
      <c r="X6" s="1364">
        <f>+C6-D6</f>
        <v>54183812.399999991</v>
      </c>
    </row>
    <row r="7" spans="2:24" s="1183" customFormat="1" ht="12.6" thickBot="1">
      <c r="B7" s="1407" t="s">
        <v>1901</v>
      </c>
      <c r="C7" s="1373"/>
      <c r="D7" s="1403"/>
      <c r="E7" s="1373"/>
      <c r="F7" s="1186"/>
      <c r="G7" s="1186"/>
      <c r="H7" s="1187"/>
      <c r="I7" s="1362"/>
      <c r="J7" s="1405"/>
      <c r="K7" s="1405"/>
      <c r="L7" s="1405"/>
      <c r="M7" s="1405"/>
      <c r="N7" s="1405"/>
      <c r="O7" s="1405"/>
      <c r="P7" s="1405"/>
      <c r="Q7" s="1405"/>
      <c r="R7" s="1405"/>
      <c r="S7" s="1406"/>
      <c r="T7" s="1364"/>
      <c r="U7" s="1364"/>
      <c r="V7" s="1364"/>
      <c r="W7" s="1364"/>
      <c r="X7" s="1364"/>
    </row>
    <row r="8" spans="2:24" s="1183" customFormat="1" ht="12.6" thickBot="1">
      <c r="B8" s="1262" t="s">
        <v>1902</v>
      </c>
      <c r="C8" s="1365">
        <f>+'ADI 09-25'!C50</f>
        <v>4152200606.3999996</v>
      </c>
      <c r="D8" s="1404">
        <f>SUM(J8:S8)</f>
        <v>76880590.930000007</v>
      </c>
      <c r="E8" s="1365"/>
      <c r="F8" s="1263">
        <f>+D8</f>
        <v>76880590.930000007</v>
      </c>
      <c r="G8" s="1263"/>
      <c r="H8" s="1265"/>
      <c r="I8" s="1363"/>
      <c r="J8" s="1374">
        <v>597566.75</v>
      </c>
      <c r="K8" s="1374">
        <v>123420.98</v>
      </c>
      <c r="L8" s="1374">
        <v>-123572.38</v>
      </c>
      <c r="M8" s="1374">
        <v>61261.19</v>
      </c>
      <c r="N8" s="1374">
        <v>3006924.23</v>
      </c>
      <c r="O8" s="1374">
        <v>6287923.8600000003</v>
      </c>
      <c r="P8" s="1374">
        <v>12848147.640000001</v>
      </c>
      <c r="Q8" s="1374">
        <v>18376055.530000001</v>
      </c>
      <c r="R8" s="1374">
        <v>16465115.92</v>
      </c>
      <c r="S8" s="1375">
        <v>19237747.210000001</v>
      </c>
      <c r="T8" s="1366"/>
      <c r="U8" s="1366"/>
      <c r="V8" s="1366"/>
      <c r="W8" s="1366"/>
      <c r="X8" s="1366">
        <f>+C8-D8</f>
        <v>4075320015.4699998</v>
      </c>
    </row>
    <row r="9" spans="2:24" s="1183" customFormat="1" ht="15" customHeight="1" thickBot="1">
      <c r="B9" s="1262" t="s">
        <v>1903</v>
      </c>
      <c r="C9" s="1225"/>
      <c r="D9" s="1226"/>
      <c r="E9" s="1226"/>
      <c r="F9" s="1226"/>
      <c r="G9" s="1226"/>
      <c r="J9" s="1189"/>
      <c r="K9" s="1189"/>
      <c r="L9" s="1189"/>
      <c r="M9" s="1189"/>
      <c r="N9" s="1189"/>
      <c r="O9" s="1189"/>
      <c r="P9" s="1189"/>
      <c r="Q9" s="1189"/>
      <c r="R9" s="1189"/>
      <c r="S9" s="1189"/>
      <c r="T9" s="1189"/>
      <c r="U9" s="1189"/>
      <c r="V9" s="1189"/>
      <c r="W9" s="1189"/>
      <c r="X9" s="1189"/>
    </row>
    <row r="10" spans="2:24" s="1183" customFormat="1" ht="12" customHeight="1">
      <c r="C10" s="1188"/>
      <c r="D10" s="2155" t="s">
        <v>2193</v>
      </c>
      <c r="E10" s="2156"/>
      <c r="F10" s="2156"/>
      <c r="G10" s="2156"/>
      <c r="H10" s="2156"/>
      <c r="I10" s="2157"/>
      <c r="J10" s="1189"/>
      <c r="K10" s="1189"/>
      <c r="L10" s="1189"/>
      <c r="M10" s="1189"/>
      <c r="N10" s="1189"/>
      <c r="O10" s="1189"/>
      <c r="P10" s="1189"/>
      <c r="Q10" s="1189"/>
      <c r="R10" s="1189"/>
      <c r="S10" s="1189"/>
      <c r="T10" s="1189"/>
      <c r="U10" s="1189"/>
      <c r="V10" s="1189"/>
      <c r="W10" s="1189"/>
      <c r="X10" s="1189"/>
    </row>
    <row r="11" spans="2:24" s="1183" customFormat="1" ht="24">
      <c r="B11" s="2154" t="s">
        <v>1905</v>
      </c>
      <c r="C11" s="2154"/>
      <c r="D11" s="1222" t="s">
        <v>2194</v>
      </c>
      <c r="E11" s="1222" t="s">
        <v>1907</v>
      </c>
      <c r="F11" s="1222" t="s">
        <v>1908</v>
      </c>
      <c r="G11" s="1223" t="s">
        <v>1909</v>
      </c>
      <c r="H11" s="1223" t="s">
        <v>1910</v>
      </c>
      <c r="I11" s="1223" t="s">
        <v>1911</v>
      </c>
      <c r="J11" s="1190"/>
      <c r="O11" s="1191"/>
    </row>
    <row r="12" spans="2:24" s="1183" customFormat="1" ht="15.6">
      <c r="B12" s="1182"/>
      <c r="C12" s="1182"/>
      <c r="D12" s="1224" t="s">
        <v>1912</v>
      </c>
      <c r="E12" s="1224" t="s">
        <v>1913</v>
      </c>
      <c r="F12" s="1224" t="s">
        <v>1914</v>
      </c>
      <c r="G12" s="1224" t="s">
        <v>1915</v>
      </c>
      <c r="H12" s="1224" t="s">
        <v>1916</v>
      </c>
      <c r="I12" s="1224" t="s">
        <v>1917</v>
      </c>
      <c r="J12" s="1190" t="s">
        <v>1918</v>
      </c>
      <c r="O12" s="1191"/>
      <c r="T12" s="1183" t="s">
        <v>1919</v>
      </c>
    </row>
    <row r="13" spans="2:24" s="1192" customFormat="1" ht="12">
      <c r="B13" s="1193" t="s">
        <v>29</v>
      </c>
      <c r="C13" s="1193" t="s">
        <v>1895</v>
      </c>
      <c r="D13" s="1193"/>
      <c r="E13" s="1193"/>
      <c r="F13" s="1193"/>
      <c r="G13" s="1193"/>
      <c r="H13" s="1193"/>
      <c r="I13" s="1194"/>
      <c r="J13" s="1194" t="s">
        <v>1897</v>
      </c>
      <c r="K13" s="1194">
        <v>45658</v>
      </c>
      <c r="L13" s="1194">
        <v>45689</v>
      </c>
      <c r="M13" s="1194">
        <v>45717</v>
      </c>
      <c r="N13" s="1194">
        <v>45748</v>
      </c>
      <c r="O13" s="1194">
        <v>45778</v>
      </c>
      <c r="P13" s="1194">
        <v>45809</v>
      </c>
      <c r="Q13" s="1194">
        <v>45839</v>
      </c>
      <c r="R13" s="1194">
        <v>45870</v>
      </c>
      <c r="S13" s="1194">
        <v>45901</v>
      </c>
      <c r="T13" s="1194">
        <v>45931</v>
      </c>
      <c r="U13" s="1194">
        <v>45962</v>
      </c>
      <c r="V13" s="1194">
        <v>45992</v>
      </c>
      <c r="W13" s="1194">
        <v>46023</v>
      </c>
      <c r="X13" s="1193" t="s">
        <v>1898</v>
      </c>
    </row>
    <row r="14" spans="2:24" s="1183" customFormat="1" ht="12">
      <c r="B14" s="1195" t="s">
        <v>1428</v>
      </c>
      <c r="C14" s="1196">
        <f>+'ADI 09-25'!C18</f>
        <v>106933000</v>
      </c>
      <c r="D14" s="1196">
        <f t="shared" ref="D14:D20" si="0">SUM(G14:H14)</f>
        <v>264445080.15999997</v>
      </c>
      <c r="E14" s="1196">
        <f t="shared" ref="E14:E20" si="1">+C14-D14</f>
        <v>-157512080.15999997</v>
      </c>
      <c r="F14" s="1196">
        <f t="shared" ref="F14:F20" si="2">SUM(G14:I14)</f>
        <v>264445080.15999997</v>
      </c>
      <c r="G14" s="1196">
        <f>SUM(J14:V14)</f>
        <v>264445080.15999997</v>
      </c>
      <c r="H14" s="1196"/>
      <c r="I14" s="1196"/>
      <c r="J14" s="1376">
        <f>+'Costos a Sept-25'!B2</f>
        <v>94172341.829999998</v>
      </c>
      <c r="K14" s="1376">
        <f>+'Costos a Sept-25'!C2</f>
        <v>0</v>
      </c>
      <c r="L14" s="1376">
        <f>+'Costos a Sept-25'!D2</f>
        <v>0</v>
      </c>
      <c r="M14" s="1376">
        <f>+'Costos a Sept-25'!E2</f>
        <v>0</v>
      </c>
      <c r="N14" s="1376">
        <f>+'Costos a Sept-25'!F2</f>
        <v>0</v>
      </c>
      <c r="O14" s="1376">
        <f>+'Costos a Sept-25'!G2</f>
        <v>18880</v>
      </c>
      <c r="P14" s="1376">
        <f>+'Costos a Sept-25'!H2</f>
        <v>0</v>
      </c>
      <c r="Q14" s="1376">
        <f>+'Costos a Sept-25'!I2</f>
        <v>0</v>
      </c>
      <c r="R14" s="1376">
        <f>+'Costos a Sept-25'!J2</f>
        <v>170252678.32999998</v>
      </c>
      <c r="S14" s="1377">
        <f>+'Costos a Sept-25'!K2</f>
        <v>1180</v>
      </c>
      <c r="T14" s="1377">
        <f>+'Costos a Oct-25'!L2</f>
        <v>0</v>
      </c>
      <c r="U14" s="1376">
        <f>+'Costos a Sept-25'!M2</f>
        <v>0</v>
      </c>
      <c r="V14" s="1376">
        <f>+'Costos a Dic-25'!N2</f>
        <v>0</v>
      </c>
      <c r="W14" s="1208">
        <f>+'Costos a Sept-25'!O2</f>
        <v>0</v>
      </c>
      <c r="X14" s="1208">
        <f>SUM(T14:W14)</f>
        <v>0</v>
      </c>
    </row>
    <row r="15" spans="2:24" s="1183" customFormat="1" ht="12">
      <c r="B15" s="1197" t="s">
        <v>35</v>
      </c>
      <c r="C15" s="1198">
        <f>+'ADI 09-25'!C19</f>
        <v>469173666.60000002</v>
      </c>
      <c r="D15" s="1198">
        <f t="shared" si="0"/>
        <v>34011769.689999998</v>
      </c>
      <c r="E15" s="1198">
        <f t="shared" si="1"/>
        <v>435161896.91000003</v>
      </c>
      <c r="F15" s="1198">
        <f t="shared" si="2"/>
        <v>33943438.539999999</v>
      </c>
      <c r="G15" s="1198">
        <f>SUM(J15:V15)</f>
        <v>34011769.689999998</v>
      </c>
      <c r="H15" s="1198"/>
      <c r="I15" s="1198">
        <f>-'CXP 12-25 RES'!H8</f>
        <v>-68331.149999999994</v>
      </c>
      <c r="J15" s="1378">
        <f>+'Costos a Sept-25'!B6</f>
        <v>9219083.5899999999</v>
      </c>
      <c r="K15" s="1378">
        <f>+'Costos a Sept-25'!C6</f>
        <v>0</v>
      </c>
      <c r="L15" s="1378">
        <f>+'Costos a Sept-25'!D6</f>
        <v>0</v>
      </c>
      <c r="M15" s="1378">
        <f>+'Costos a Sept-25'!E6</f>
        <v>0</v>
      </c>
      <c r="N15" s="1378">
        <f>+'Costos a Sept-25'!F6</f>
        <v>353433.2</v>
      </c>
      <c r="O15" s="1378">
        <f>+'Costos a Sept-25'!G6</f>
        <v>93563.38</v>
      </c>
      <c r="P15" s="1378">
        <f>+'Costos a Sept-25'!H6</f>
        <v>806839.56</v>
      </c>
      <c r="Q15" s="1378">
        <f>+'Costos a Sept-25'!I6</f>
        <v>3069742.21</v>
      </c>
      <c r="R15" s="1378">
        <f>+'Costos a Sept-25'!J6</f>
        <v>2900560.48</v>
      </c>
      <c r="S15" s="1379">
        <f>+'Costos a Sept-25'!K6</f>
        <v>342033.18</v>
      </c>
      <c r="T15" s="1379">
        <f>+'Costos a Oct-25'!L6</f>
        <v>201871.48</v>
      </c>
      <c r="U15" s="1379">
        <f>+'Costos a Nov-25'!M6</f>
        <v>1617336.11</v>
      </c>
      <c r="V15" s="1379">
        <f>+'Costos a Dic-25'!N6</f>
        <v>15407306.5</v>
      </c>
      <c r="W15" s="1209">
        <f>+'Compromisos 09-25'!I19</f>
        <v>6683734</v>
      </c>
      <c r="X15" s="1209">
        <f t="shared" ref="X15:X31" si="3">SUM(T15:W15)</f>
        <v>23910248.09</v>
      </c>
    </row>
    <row r="16" spans="2:24" s="1183" customFormat="1" ht="12">
      <c r="B16" s="1197" t="s">
        <v>38</v>
      </c>
      <c r="C16" s="1198">
        <f>+'ADI 09-25'!C20</f>
        <v>1517166651</v>
      </c>
      <c r="D16" s="1198">
        <f t="shared" si="0"/>
        <v>991237.18</v>
      </c>
      <c r="E16" s="1198">
        <f t="shared" si="1"/>
        <v>1516175413.8199999</v>
      </c>
      <c r="F16" s="1198">
        <f t="shared" si="2"/>
        <v>174745.06999999995</v>
      </c>
      <c r="G16" s="1198">
        <f t="shared" ref="G16:G20" si="4">SUM(J16:V16)</f>
        <v>991237.18</v>
      </c>
      <c r="H16" s="1198"/>
      <c r="I16" s="1198">
        <f>-'CXP 12-25 RES'!H9</f>
        <v>-816492.1100000001</v>
      </c>
      <c r="J16" s="1378">
        <f>+'Costos a Sept-25'!B8</f>
        <v>0</v>
      </c>
      <c r="K16" s="1378">
        <f>+'Costos a Sept-25'!C8</f>
        <v>0</v>
      </c>
      <c r="L16" s="1378">
        <f>+'Costos a Sept-25'!D8</f>
        <v>0</v>
      </c>
      <c r="M16" s="1378">
        <f>+'Costos a Sept-25'!E8</f>
        <v>0</v>
      </c>
      <c r="N16" s="1378">
        <f>+'Costos a Sept-25'!F8</f>
        <v>0</v>
      </c>
      <c r="O16" s="1378">
        <f>+'Costos a Sept-25'!G8</f>
        <v>0</v>
      </c>
      <c r="P16" s="1378">
        <f>+'Costos a Sept-25'!H8</f>
        <v>0</v>
      </c>
      <c r="Q16" s="1378">
        <f>+'Costos a Sept-25'!I8</f>
        <v>0</v>
      </c>
      <c r="R16" s="1378">
        <f>+'Costos a Sept-25'!J8</f>
        <v>0</v>
      </c>
      <c r="S16" s="1379">
        <f>+'Costos a Sept-25'!K8</f>
        <v>0</v>
      </c>
      <c r="T16" s="1379">
        <f>+'Costos a Oct-25'!L8</f>
        <v>0</v>
      </c>
      <c r="U16" s="1379">
        <f>+'Costos a Nov-25'!M8</f>
        <v>0</v>
      </c>
      <c r="V16" s="1379">
        <f>+'Costos a Dic-25'!N8</f>
        <v>991237.18</v>
      </c>
      <c r="W16" s="1209">
        <f>+'Costos a Sept-25'!O8</f>
        <v>0</v>
      </c>
      <c r="X16" s="1209">
        <f t="shared" si="3"/>
        <v>991237.18</v>
      </c>
    </row>
    <row r="17" spans="2:24" s="1183" customFormat="1" ht="12">
      <c r="B17" s="1197" t="s">
        <v>1920</v>
      </c>
      <c r="C17" s="1198">
        <f>+'ADI 09-25'!C21</f>
        <v>234388157.47679996</v>
      </c>
      <c r="D17" s="1198">
        <f t="shared" si="0"/>
        <v>25831306.359999999</v>
      </c>
      <c r="E17" s="1198">
        <f t="shared" si="1"/>
        <v>208556851.11679995</v>
      </c>
      <c r="F17" s="1198">
        <f t="shared" si="2"/>
        <v>25831306.359999999</v>
      </c>
      <c r="G17" s="1198">
        <f t="shared" si="4"/>
        <v>25831306.359999999</v>
      </c>
      <c r="H17" s="1198"/>
      <c r="I17" s="1198"/>
      <c r="J17" s="1378">
        <f>+'Costos a Sept-25'!B10</f>
        <v>1644662.03</v>
      </c>
      <c r="K17" s="1378">
        <f>+'Costos a Sept-25'!C10</f>
        <v>1770000</v>
      </c>
      <c r="L17" s="1378">
        <f>+'Costos a Sept-25'!D10</f>
        <v>0</v>
      </c>
      <c r="M17" s="1378">
        <f>+'Costos a Sept-25'!E10</f>
        <v>885000</v>
      </c>
      <c r="N17" s="1378">
        <f>+'Costos a Sept-25'!F10</f>
        <v>2455806.54</v>
      </c>
      <c r="O17" s="1378">
        <f>+'Costos a Sept-25'!G10</f>
        <v>2360000</v>
      </c>
      <c r="P17" s="1378">
        <f>+'Costos a Sept-25'!H10</f>
        <v>2417857.34</v>
      </c>
      <c r="Q17" s="1378">
        <f>+'Costos a Sept-25'!I10</f>
        <v>2664755.19</v>
      </c>
      <c r="R17" s="1378">
        <f>+'Costos a Sept-25'!J10</f>
        <v>2360000</v>
      </c>
      <c r="S17" s="1379">
        <f>+'Costos a Sept-25'!K10</f>
        <v>2360000</v>
      </c>
      <c r="T17" s="1379">
        <f>+'Costos a Oct-25'!L10</f>
        <v>2360000</v>
      </c>
      <c r="U17" s="1379">
        <f>+'Costos a Nov-25'!M10</f>
        <v>2783225.26</v>
      </c>
      <c r="V17" s="1379">
        <f>+'Costos a Dic-25'!N10</f>
        <v>1770000</v>
      </c>
      <c r="W17" s="1209">
        <f>+'Compromisos 09-25'!I26</f>
        <v>2360000</v>
      </c>
      <c r="X17" s="1209">
        <f t="shared" si="3"/>
        <v>9273225.2599999998</v>
      </c>
    </row>
    <row r="18" spans="2:24" s="1183" customFormat="1" ht="12">
      <c r="B18" s="1197" t="s">
        <v>1921</v>
      </c>
      <c r="C18" s="1198">
        <f>+'ADI 09-25'!C22</f>
        <v>19264643</v>
      </c>
      <c r="D18" s="1198">
        <f t="shared" si="0"/>
        <v>2027857.2</v>
      </c>
      <c r="E18" s="1198">
        <f t="shared" si="1"/>
        <v>17236785.800000001</v>
      </c>
      <c r="F18" s="1198">
        <f t="shared" si="2"/>
        <v>1520892.9</v>
      </c>
      <c r="G18" s="1198">
        <f t="shared" si="4"/>
        <v>2027857.2</v>
      </c>
      <c r="H18" s="1198"/>
      <c r="I18" s="1198">
        <f>-'CXP 12-25 RES'!H11</f>
        <v>-506964.3</v>
      </c>
      <c r="J18" s="1378">
        <f>+'Costos a Sept-25'!B22</f>
        <v>0</v>
      </c>
      <c r="K18" s="1378">
        <f>+'Costos a Sept-25'!C22</f>
        <v>0</v>
      </c>
      <c r="L18" s="1378">
        <f>+'Costos a Sept-25'!D22</f>
        <v>0</v>
      </c>
      <c r="M18" s="1378">
        <f>+'Costos a Sept-25'!E22</f>
        <v>0</v>
      </c>
      <c r="N18" s="1378">
        <f>+'Costos a Sept-25'!F22</f>
        <v>0</v>
      </c>
      <c r="O18" s="1378">
        <f>+'Costos a Sept-25'!G22</f>
        <v>0</v>
      </c>
      <c r="P18" s="1378">
        <f>+'Costos a Sept-25'!H22</f>
        <v>0</v>
      </c>
      <c r="Q18" s="1378">
        <f>+'Costos a Sept-25'!I22</f>
        <v>0</v>
      </c>
      <c r="R18" s="1378">
        <f>+'Costos a Sept-25'!J22</f>
        <v>0</v>
      </c>
      <c r="S18" s="1379">
        <f>+'Costos a Sept-25'!K22</f>
        <v>0</v>
      </c>
      <c r="T18" s="1379">
        <f>+'Costos a Oct-25'!L22</f>
        <v>1013928.6</v>
      </c>
      <c r="U18" s="1379">
        <f>+'Costos a Nov-25'!M22</f>
        <v>506964.3</v>
      </c>
      <c r="V18" s="1379">
        <f>+'Costos a Dic-25'!N22</f>
        <v>506964.3</v>
      </c>
      <c r="W18" s="1372">
        <f>+'Compromisos 09-25'!I30</f>
        <v>506964.3</v>
      </c>
      <c r="X18" s="1372">
        <f t="shared" si="3"/>
        <v>2534821.5</v>
      </c>
    </row>
    <row r="19" spans="2:24" s="1183" customFormat="1" ht="12">
      <c r="B19" s="1197" t="s">
        <v>40</v>
      </c>
      <c r="C19" s="1198">
        <f>+'ADI 09-25'!C23</f>
        <v>47672167.622400001</v>
      </c>
      <c r="D19" s="1198">
        <f t="shared" si="0"/>
        <v>945000.45000000007</v>
      </c>
      <c r="E19" s="1198">
        <f t="shared" si="1"/>
        <v>46727167.172399998</v>
      </c>
      <c r="F19" s="1198">
        <f t="shared" si="2"/>
        <v>852299.65</v>
      </c>
      <c r="G19" s="1198">
        <f t="shared" si="4"/>
        <v>945000.45000000007</v>
      </c>
      <c r="H19" s="1198"/>
      <c r="I19" s="1198">
        <f>-'CXP 12-25 RES'!H10</f>
        <v>-92700.800000000003</v>
      </c>
      <c r="J19" s="1378">
        <f>+'Costos a Sept-25'!B12</f>
        <v>0</v>
      </c>
      <c r="K19" s="1378">
        <f>+'Costos a Sept-25'!C12</f>
        <v>0</v>
      </c>
      <c r="L19" s="1378">
        <f>+'Costos a Sept-25'!D12</f>
        <v>0</v>
      </c>
      <c r="M19" s="1378">
        <f>+'Costos a Sept-25'!E12</f>
        <v>0</v>
      </c>
      <c r="N19" s="1378">
        <f>+'Costos a Sept-25'!F12</f>
        <v>0</v>
      </c>
      <c r="O19" s="1378">
        <f>+'Costos a Sept-25'!G12</f>
        <v>0</v>
      </c>
      <c r="P19" s="1378">
        <f>+'Costos a Sept-25'!H12</f>
        <v>147108.53999999998</v>
      </c>
      <c r="Q19" s="1378">
        <f>+'Costos a Sept-25'!I12</f>
        <v>92700.800000000003</v>
      </c>
      <c r="R19" s="1378">
        <f>+'Costos a Sept-25'!J12</f>
        <v>96854.399999999994</v>
      </c>
      <c r="S19" s="1379">
        <f>+'Costos a Sept-25'!K12</f>
        <v>90246.399999999994</v>
      </c>
      <c r="T19" s="1379">
        <f>+'Costos a Oct-25'!L12</f>
        <v>92700.800000000003</v>
      </c>
      <c r="U19" s="1379">
        <f>+'Costos a Nov-25'!M12</f>
        <v>332688.71000000002</v>
      </c>
      <c r="V19" s="1379">
        <f>+'Costos a Dic-25'!N12</f>
        <v>92700.800000000003</v>
      </c>
      <c r="W19" s="1209">
        <f>+'Compromisos 09-25'!I34</f>
        <v>250000</v>
      </c>
      <c r="X19" s="1209">
        <f t="shared" si="3"/>
        <v>768090.31</v>
      </c>
    </row>
    <row r="20" spans="2:24" s="1183" customFormat="1" ht="12">
      <c r="B20" s="1197" t="s">
        <v>764</v>
      </c>
      <c r="C20" s="1198">
        <f>+'ADI 09-25'!C24</f>
        <v>39726806.351999998</v>
      </c>
      <c r="D20" s="1198">
        <f t="shared" si="0"/>
        <v>0</v>
      </c>
      <c r="E20" s="1198">
        <f t="shared" si="1"/>
        <v>39726806.351999998</v>
      </c>
      <c r="F20" s="1198">
        <f t="shared" si="2"/>
        <v>0</v>
      </c>
      <c r="G20" s="1198">
        <f t="shared" si="4"/>
        <v>0</v>
      </c>
      <c r="H20" s="1198"/>
      <c r="I20" s="1198"/>
      <c r="J20" s="1378">
        <f>+'Costos a Sept-25'!B20</f>
        <v>0</v>
      </c>
      <c r="K20" s="1378">
        <f>+'Costos a Sept-25'!C20</f>
        <v>0</v>
      </c>
      <c r="L20" s="1378">
        <f>+'Costos a Sept-25'!D20</f>
        <v>0</v>
      </c>
      <c r="M20" s="1378">
        <f>+'Costos a Sept-25'!E20</f>
        <v>0</v>
      </c>
      <c r="N20" s="1378">
        <f>+'Costos a Sept-25'!F20</f>
        <v>0</v>
      </c>
      <c r="O20" s="1378">
        <f>+'Costos a Sept-25'!G20</f>
        <v>0</v>
      </c>
      <c r="P20" s="1378">
        <f>+'Costos a Sept-25'!H20</f>
        <v>0</v>
      </c>
      <c r="Q20" s="1378">
        <f>+'Costos a Sept-25'!I20</f>
        <v>0</v>
      </c>
      <c r="R20" s="1378">
        <f>+'Costos a Sept-25'!J20</f>
        <v>0</v>
      </c>
      <c r="S20" s="1379">
        <f>+'Costos a Sept-25'!K20</f>
        <v>0</v>
      </c>
      <c r="T20" s="1379">
        <f>+'Costos a Oct-25'!L20</f>
        <v>0</v>
      </c>
      <c r="U20" s="1379">
        <f>+'Costos a Nov-25'!M20</f>
        <v>0</v>
      </c>
      <c r="V20" s="1379">
        <f>+'Costos a Dic-25'!N20</f>
        <v>0</v>
      </c>
      <c r="W20" s="1209">
        <f>+'Costos a Sept-25'!O20</f>
        <v>0</v>
      </c>
      <c r="X20" s="1209">
        <f t="shared" si="3"/>
        <v>0</v>
      </c>
    </row>
    <row r="21" spans="2:24" s="1183" customFormat="1" ht="12">
      <c r="B21" s="1199" t="s">
        <v>41</v>
      </c>
      <c r="C21" s="1200">
        <f t="shared" ref="C21:X21" si="5">SUM(C15:C20)</f>
        <v>2327392092.0511999</v>
      </c>
      <c r="D21" s="1200">
        <f t="shared" si="5"/>
        <v>63807170.880000003</v>
      </c>
      <c r="E21" s="1200">
        <f t="shared" si="5"/>
        <v>2263584921.1711998</v>
      </c>
      <c r="F21" s="1200">
        <f t="shared" si="5"/>
        <v>62322682.519999996</v>
      </c>
      <c r="G21" s="1200">
        <f t="shared" si="5"/>
        <v>63807170.880000003</v>
      </c>
      <c r="H21" s="1200">
        <f t="shared" si="5"/>
        <v>0</v>
      </c>
      <c r="I21" s="1200">
        <f t="shared" si="5"/>
        <v>-1484488.36</v>
      </c>
      <c r="J21" s="1380">
        <f t="shared" si="5"/>
        <v>10863745.619999999</v>
      </c>
      <c r="K21" s="1380">
        <f t="shared" si="5"/>
        <v>1770000</v>
      </c>
      <c r="L21" s="1380">
        <f t="shared" si="5"/>
        <v>0</v>
      </c>
      <c r="M21" s="1380">
        <f t="shared" si="5"/>
        <v>885000</v>
      </c>
      <c r="N21" s="1380">
        <f t="shared" si="5"/>
        <v>2809239.74</v>
      </c>
      <c r="O21" s="1380">
        <f t="shared" si="5"/>
        <v>2453563.38</v>
      </c>
      <c r="P21" s="1380">
        <f t="shared" si="5"/>
        <v>3371805.44</v>
      </c>
      <c r="Q21" s="1380">
        <f t="shared" si="5"/>
        <v>5827198.2000000002</v>
      </c>
      <c r="R21" s="1380">
        <f t="shared" si="5"/>
        <v>5357414.8800000008</v>
      </c>
      <c r="S21" s="1381">
        <f t="shared" si="5"/>
        <v>2792279.58</v>
      </c>
      <c r="T21" s="1381">
        <f t="shared" si="5"/>
        <v>3668500.88</v>
      </c>
      <c r="U21" s="1381">
        <f t="shared" si="5"/>
        <v>5240214.38</v>
      </c>
      <c r="V21" s="1381">
        <f t="shared" si="5"/>
        <v>18768208.780000001</v>
      </c>
      <c r="W21" s="1210">
        <f t="shared" si="5"/>
        <v>9800698.3000000007</v>
      </c>
      <c r="X21" s="1210">
        <f t="shared" si="5"/>
        <v>37477622.340000004</v>
      </c>
    </row>
    <row r="22" spans="2:24" s="1183" customFormat="1" ht="12">
      <c r="B22" s="1201" t="s">
        <v>42</v>
      </c>
      <c r="C22" s="1198">
        <f>+'ADI 09-25'!C26</f>
        <v>187510525.98143998</v>
      </c>
      <c r="D22" s="1198">
        <f>SUM(G22:H22)</f>
        <v>16091175.969999999</v>
      </c>
      <c r="E22" s="1198">
        <f>+C22-D22</f>
        <v>171419350.01143998</v>
      </c>
      <c r="F22" s="1198">
        <f>SUM(G22:I22)</f>
        <v>16091175.969999999</v>
      </c>
      <c r="G22" s="1198">
        <f>SUM(J22:V22)</f>
        <v>16091175.969999999</v>
      </c>
      <c r="H22" s="1198"/>
      <c r="I22" s="1198"/>
      <c r="J22" s="1378">
        <f>+'Costos a Sept-25'!B24</f>
        <v>161175.97</v>
      </c>
      <c r="K22" s="1378">
        <f>+'Costos a Sept-25'!C24</f>
        <v>0</v>
      </c>
      <c r="L22" s="1378">
        <f>+'Costos a Sept-25'!D24</f>
        <v>0</v>
      </c>
      <c r="M22" s="1378">
        <f>+'Costos a Sept-25'!E24</f>
        <v>0</v>
      </c>
      <c r="N22" s="1378">
        <f>+'Costos a Sept-25'!F24</f>
        <v>1770000</v>
      </c>
      <c r="O22" s="1378">
        <f>+'Costos a Sept-25'!G24</f>
        <v>1770000</v>
      </c>
      <c r="P22" s="1378">
        <f>+'Costos a Sept-25'!H24</f>
        <v>1770000</v>
      </c>
      <c r="Q22" s="1378">
        <f>+'Costos a Sept-25'!I24</f>
        <v>1770000</v>
      </c>
      <c r="R22" s="1378">
        <f>+'Costos a Sept-25'!J24</f>
        <v>1770000</v>
      </c>
      <c r="S22" s="1379">
        <f>+'Costos a Sept-25'!K24</f>
        <v>1770000</v>
      </c>
      <c r="T22" s="1379">
        <f>+'Costos a Oct-25'!L24</f>
        <v>1770000</v>
      </c>
      <c r="U22" s="1379">
        <f>+'Costos a Nov-25'!M24</f>
        <v>1770000</v>
      </c>
      <c r="V22" s="1379">
        <f>+'Costos a Dic-25'!N24</f>
        <v>1770000</v>
      </c>
      <c r="W22" s="1209">
        <f>+'Compromisos 09-25'!I38</f>
        <v>1770000</v>
      </c>
      <c r="X22" s="1209">
        <f t="shared" si="3"/>
        <v>7080000</v>
      </c>
    </row>
    <row r="23" spans="2:24" s="1183" customFormat="1" ht="12">
      <c r="B23" s="1197" t="s">
        <v>43</v>
      </c>
      <c r="C23" s="1198">
        <f>+'ADI 09-25'!C27</f>
        <v>327746152.40399998</v>
      </c>
      <c r="D23" s="1198">
        <f>SUM(G23:H23)</f>
        <v>75936327</v>
      </c>
      <c r="E23" s="1198">
        <f>+C23-D23</f>
        <v>251809825.40399998</v>
      </c>
      <c r="F23" s="1198">
        <f>SUM(G23:I23)</f>
        <v>75076078.680000007</v>
      </c>
      <c r="G23" s="1198">
        <f t="shared" ref="G23:G26" si="6">SUM(J23:V23)</f>
        <v>75936327</v>
      </c>
      <c r="H23" s="1198"/>
      <c r="I23" s="1198">
        <f>-'CXP 12-25 RES'!H12-'CXP 12-25 RES'!H13</f>
        <v>-860248.32</v>
      </c>
      <c r="J23" s="1378">
        <f>+'Costos a Sept-25'!B26</f>
        <v>559355.54</v>
      </c>
      <c r="K23" s="1378">
        <f>+'Costos a Sept-25'!C26</f>
        <v>0</v>
      </c>
      <c r="L23" s="1378">
        <f>+'Costos a Sept-25'!D26</f>
        <v>645765.21</v>
      </c>
      <c r="M23" s="1378">
        <f>+'Costos a Sept-25'!E26</f>
        <v>595001.35</v>
      </c>
      <c r="N23" s="1378">
        <f>+'Costos a Sept-25'!F26</f>
        <v>1549872.47</v>
      </c>
      <c r="O23" s="1378">
        <f>+'Costos a Sept-25'!G26</f>
        <v>1423527.61</v>
      </c>
      <c r="P23" s="1378">
        <f>+'Costos a Sept-25'!H26</f>
        <v>1733909.84</v>
      </c>
      <c r="Q23" s="1378">
        <f>+'Costos a Sept-25'!I26</f>
        <v>7890097.2200000007</v>
      </c>
      <c r="R23" s="1378">
        <f>+'Costos a Sept-25'!J26</f>
        <v>16166710.020000001</v>
      </c>
      <c r="S23" s="1379">
        <f>+'Costos a Sept-25'!K26</f>
        <v>11886550.289999999</v>
      </c>
      <c r="T23" s="1379">
        <f>+'Costos a Oct-25'!L26</f>
        <v>12659941.220000001</v>
      </c>
      <c r="U23" s="1379">
        <f>+'Costos a Nov-25'!M26</f>
        <v>15204797.51</v>
      </c>
      <c r="V23" s="1379">
        <f>+'Costos a Dic-25'!N26</f>
        <v>5620798.7199999997</v>
      </c>
      <c r="W23" s="1209">
        <f>+'Compromisos 09-25'!I44+'Compromisos 09-25'!I48+'Compromisos 09-25'!I55</f>
        <v>2067000</v>
      </c>
      <c r="X23" s="1209">
        <f t="shared" si="3"/>
        <v>35552537.450000003</v>
      </c>
    </row>
    <row r="24" spans="2:24" s="1183" customFormat="1" ht="12">
      <c r="B24" s="1197" t="s">
        <v>44</v>
      </c>
      <c r="C24" s="1198">
        <f>+'ADI 09-25'!C28</f>
        <v>81458723.221791998</v>
      </c>
      <c r="D24" s="1198">
        <f>SUM(G24:H24)</f>
        <v>2561939.6499999994</v>
      </c>
      <c r="E24" s="1198">
        <f>+C24-D24</f>
        <v>78896783.571791992</v>
      </c>
      <c r="F24" s="1198">
        <f>SUM(G24:I24)</f>
        <v>2561939.6499999994</v>
      </c>
      <c r="G24" s="1198">
        <f t="shared" si="6"/>
        <v>2561939.6499999994</v>
      </c>
      <c r="H24" s="1198"/>
      <c r="I24" s="1198"/>
      <c r="J24" s="1378">
        <f>+'Costos a Sept-25'!B31</f>
        <v>373034.61</v>
      </c>
      <c r="K24" s="1378">
        <f>+'Costos a Sept-25'!C31</f>
        <v>43563.47</v>
      </c>
      <c r="L24" s="1378">
        <f>+'Costos a Sept-25'!D31</f>
        <v>36723.129999999997</v>
      </c>
      <c r="M24" s="1378">
        <f>+'Costos a Sept-25'!E31</f>
        <v>37034.89</v>
      </c>
      <c r="N24" s="1378">
        <f>+'Costos a Sept-25'!F31</f>
        <v>51335.37</v>
      </c>
      <c r="O24" s="1378">
        <f>+'Costos a Sept-25'!G31</f>
        <v>125971.53</v>
      </c>
      <c r="P24" s="1378">
        <f>+'Costos a Sept-25'!H31</f>
        <v>205035.01</v>
      </c>
      <c r="Q24" s="1378">
        <f>+'Costos a Sept-25'!I31</f>
        <v>193826.15000000002</v>
      </c>
      <c r="R24" s="1378">
        <f>+'Costos a Sept-25'!J31</f>
        <v>228402.97999999998</v>
      </c>
      <c r="S24" s="1379">
        <f>+'Costos a Sept-25'!K31</f>
        <v>824240.61999999988</v>
      </c>
      <c r="T24" s="1379">
        <f>+'Costos a Oct-25'!L31</f>
        <v>143558.04999999999</v>
      </c>
      <c r="U24" s="1379">
        <f>+'Costos a Nov-25'!M31</f>
        <v>111569.53</v>
      </c>
      <c r="V24" s="1379">
        <f>+'Costos a Dic-25'!N31</f>
        <v>187644.31</v>
      </c>
      <c r="W24" s="1371">
        <v>500000</v>
      </c>
      <c r="X24" s="1371">
        <f t="shared" si="3"/>
        <v>942771.89</v>
      </c>
    </row>
    <row r="25" spans="2:24" s="1183" customFormat="1" ht="12">
      <c r="B25" s="1197" t="s">
        <v>45</v>
      </c>
      <c r="C25" s="1198">
        <f>+'ADI 09-25'!C29</f>
        <v>69521911.115999997</v>
      </c>
      <c r="D25" s="1198">
        <f>SUM(G25:H25)</f>
        <v>25416711.27</v>
      </c>
      <c r="E25" s="1198">
        <f>+C25-D25</f>
        <v>44105199.846000001</v>
      </c>
      <c r="F25" s="1198">
        <f>SUM(G25:I25)</f>
        <v>24770675.489999998</v>
      </c>
      <c r="G25" s="1198">
        <f t="shared" si="6"/>
        <v>25400653.829999998</v>
      </c>
      <c r="H25" s="1198">
        <f>+'Anticipos 12-25'!D7</f>
        <v>16057.44</v>
      </c>
      <c r="I25" s="1198">
        <f>-'CXP 12-25 RES'!H14-'CXP 12-25 RES'!H15-'CXP MMHB 12-25'!E19</f>
        <v>-646035.78</v>
      </c>
      <c r="J25" s="1378">
        <f>+'Costos a Sept-25'!B34</f>
        <v>11066720.34</v>
      </c>
      <c r="K25" s="1378">
        <f>+'Costos a Sept-25'!C34</f>
        <v>915790.08000000007</v>
      </c>
      <c r="L25" s="1378">
        <f>+'Costos a Sept-25'!D34</f>
        <v>1931201.9</v>
      </c>
      <c r="M25" s="1378">
        <f>+'Costos a Sept-25'!E34</f>
        <v>1103623.17</v>
      </c>
      <c r="N25" s="1378">
        <f>+'Costos a Sept-25'!F34</f>
        <v>807731.34</v>
      </c>
      <c r="O25" s="1378">
        <f>+'Costos a Sept-25'!G34</f>
        <v>740040.2</v>
      </c>
      <c r="P25" s="1378">
        <f>+'Costos a Sept-25'!H34</f>
        <v>1412884.71</v>
      </c>
      <c r="Q25" s="1378">
        <f>+'Costos a Sept-25'!I34</f>
        <v>3494146.35</v>
      </c>
      <c r="R25" s="1378">
        <f>+'Costos a Sept-25'!J34</f>
        <v>184710.12999999995</v>
      </c>
      <c r="S25" s="1379">
        <f>+'Costos a Sept-25'!K34</f>
        <v>551935.67999999993</v>
      </c>
      <c r="T25" s="1379">
        <f>+'Costos a Oct-25'!L34</f>
        <v>1245788.3799999999</v>
      </c>
      <c r="U25" s="1379">
        <f>+'Costos a Nov-25'!M34</f>
        <v>943821.03</v>
      </c>
      <c r="V25" s="1379">
        <f>+'Costos a Dic-25'!N34+5979.31</f>
        <v>1002260.52</v>
      </c>
      <c r="W25" s="1209">
        <f>+'Compromisos 09-25'!I63+'Compromisos 09-25'!I73+'Compromisos 09-25'!I77</f>
        <v>258004</v>
      </c>
      <c r="X25" s="1209">
        <f t="shared" si="3"/>
        <v>3449873.93</v>
      </c>
    </row>
    <row r="26" spans="2:24" s="1183" customFormat="1" ht="12">
      <c r="B26" s="1197" t="s">
        <v>46</v>
      </c>
      <c r="C26" s="1198">
        <f>+'ADI 09-25'!C30</f>
        <v>19863403.175999999</v>
      </c>
      <c r="D26" s="1198">
        <f>SUM(G26:H26)</f>
        <v>0</v>
      </c>
      <c r="E26" s="1198">
        <f>+C26-D26</f>
        <v>19863403.175999999</v>
      </c>
      <c r="F26" s="1198">
        <f>SUM(G26:I26)</f>
        <v>0</v>
      </c>
      <c r="G26" s="1198">
        <f t="shared" si="6"/>
        <v>0</v>
      </c>
      <c r="H26" s="1198"/>
      <c r="I26" s="1198"/>
      <c r="J26" s="1378">
        <f>+'Costos a Sept-25'!B40</f>
        <v>0</v>
      </c>
      <c r="K26" s="1378">
        <f>+'Costos a Sept-25'!C40</f>
        <v>0</v>
      </c>
      <c r="L26" s="1378">
        <f>+'Costos a Sept-25'!D40</f>
        <v>0</v>
      </c>
      <c r="M26" s="1378">
        <f>+'Costos a Sept-25'!E40</f>
        <v>0</v>
      </c>
      <c r="N26" s="1378">
        <f>+'Costos a Sept-25'!F40</f>
        <v>0</v>
      </c>
      <c r="O26" s="1378">
        <f>+'Costos a Sept-25'!G40</f>
        <v>0</v>
      </c>
      <c r="P26" s="1378">
        <f>+'Costos a Sept-25'!H40</f>
        <v>0</v>
      </c>
      <c r="Q26" s="1378">
        <f>+'Costos a Sept-25'!I40</f>
        <v>0</v>
      </c>
      <c r="R26" s="1378">
        <f>+'Costos a Sept-25'!J40</f>
        <v>0</v>
      </c>
      <c r="S26" s="1379">
        <f>+'Costos a Sept-25'!K40</f>
        <v>0</v>
      </c>
      <c r="T26" s="1379">
        <v>0</v>
      </c>
      <c r="U26" s="1379">
        <f>+'Costos a Nov-25'!M43</f>
        <v>0</v>
      </c>
      <c r="V26" s="1379">
        <f>+'Costos a Dic-25'!N43</f>
        <v>0</v>
      </c>
      <c r="W26" s="1209">
        <f>+'Costos a Sept-25'!O40</f>
        <v>0</v>
      </c>
      <c r="X26" s="1209">
        <f t="shared" si="3"/>
        <v>0</v>
      </c>
    </row>
    <row r="27" spans="2:24" s="1183" customFormat="1" ht="12">
      <c r="B27" s="1199" t="s">
        <v>47</v>
      </c>
      <c r="C27" s="1200">
        <f>SUM(C22:C26)</f>
        <v>686100715.89923203</v>
      </c>
      <c r="D27" s="1200">
        <f t="shared" ref="D27:X27" si="7">SUM(D22:D26)</f>
        <v>120006153.89</v>
      </c>
      <c r="E27" s="1200">
        <f t="shared" si="7"/>
        <v>566094562.00923193</v>
      </c>
      <c r="F27" s="1200">
        <f t="shared" si="7"/>
        <v>118499869.79000001</v>
      </c>
      <c r="G27" s="1200">
        <f t="shared" si="7"/>
        <v>119990096.45</v>
      </c>
      <c r="H27" s="1200">
        <f t="shared" si="7"/>
        <v>16057.44</v>
      </c>
      <c r="I27" s="1200">
        <f t="shared" si="7"/>
        <v>-1506284.1</v>
      </c>
      <c r="J27" s="1380">
        <f t="shared" si="7"/>
        <v>12160286.460000001</v>
      </c>
      <c r="K27" s="1380">
        <f t="shared" si="7"/>
        <v>959353.55</v>
      </c>
      <c r="L27" s="1380">
        <f t="shared" si="7"/>
        <v>2613690.2399999998</v>
      </c>
      <c r="M27" s="1380">
        <f t="shared" si="7"/>
        <v>1735659.41</v>
      </c>
      <c r="N27" s="1380">
        <f t="shared" si="7"/>
        <v>4178939.1799999997</v>
      </c>
      <c r="O27" s="1380">
        <f t="shared" si="7"/>
        <v>4059539.34</v>
      </c>
      <c r="P27" s="1380">
        <f t="shared" si="7"/>
        <v>5121829.5599999996</v>
      </c>
      <c r="Q27" s="1380">
        <f t="shared" si="7"/>
        <v>13348069.720000001</v>
      </c>
      <c r="R27" s="1380">
        <f t="shared" si="7"/>
        <v>18349823.130000003</v>
      </c>
      <c r="S27" s="1381">
        <f t="shared" si="7"/>
        <v>15032726.589999998</v>
      </c>
      <c r="T27" s="1381">
        <f t="shared" si="7"/>
        <v>15819287.650000002</v>
      </c>
      <c r="U27" s="1381">
        <f t="shared" si="7"/>
        <v>18030188.07</v>
      </c>
      <c r="V27" s="1381">
        <f t="shared" si="7"/>
        <v>8580703.5499999989</v>
      </c>
      <c r="W27" s="1210">
        <f t="shared" si="7"/>
        <v>4595004</v>
      </c>
      <c r="X27" s="1210">
        <f t="shared" si="7"/>
        <v>47025183.270000003</v>
      </c>
    </row>
    <row r="28" spans="2:24" s="1183" customFormat="1" ht="13.95" customHeight="1">
      <c r="B28" s="1201" t="s">
        <v>48</v>
      </c>
      <c r="C28" s="1198">
        <f>+'ADI 09-25'!C32</f>
        <v>30500000</v>
      </c>
      <c r="D28" s="1198">
        <f>SUM(G28:H28)</f>
        <v>20612170.899999995</v>
      </c>
      <c r="E28" s="1198">
        <f>+C28-D28</f>
        <v>9887829.1000000052</v>
      </c>
      <c r="F28" s="1198">
        <f>SUM(G28:I28)</f>
        <v>20580670.899999995</v>
      </c>
      <c r="G28" s="1198">
        <f>SUM(J28:V28)</f>
        <v>20605499.019999996</v>
      </c>
      <c r="H28" s="1198">
        <f>+'Anticipos 12-25'!D5</f>
        <v>6671.88</v>
      </c>
      <c r="I28" s="1198">
        <f>-'CXP 12-25 RES'!H16</f>
        <v>-31500</v>
      </c>
      <c r="J28" s="1378">
        <f>+'Costos a Sept-25'!B43</f>
        <v>12715384.379999999</v>
      </c>
      <c r="K28" s="1378">
        <f>+'Costos a Sept-25'!C43</f>
        <v>0</v>
      </c>
      <c r="L28" s="1378">
        <f>+'Costos a Sept-25'!D43</f>
        <v>0</v>
      </c>
      <c r="M28" s="1378">
        <f>+'Costos a Sept-25'!E43</f>
        <v>128745.38</v>
      </c>
      <c r="N28" s="1378">
        <f>+'Costos a Sept-25'!F43</f>
        <v>552632.57999999996</v>
      </c>
      <c r="O28" s="1378">
        <f>+'Costos a Sept-25'!G43</f>
        <v>120006</v>
      </c>
      <c r="P28" s="1378">
        <f>+'Costos a Sept-25'!H43</f>
        <v>1543136</v>
      </c>
      <c r="Q28" s="1378">
        <f>+'Costos a Sept-25'!I43</f>
        <v>300</v>
      </c>
      <c r="R28" s="1378">
        <f>+'Costos a Sept-25'!J43</f>
        <v>223322.53</v>
      </c>
      <c r="S28" s="1379">
        <f>+'Costos a Sept-25'!K43</f>
        <v>1594150.23</v>
      </c>
      <c r="T28" s="1379">
        <f>+'Costos a Oct-25'!L48</f>
        <v>842419.7</v>
      </c>
      <c r="U28" s="1379">
        <f>+'Costos a Nov-25'!M46</f>
        <v>339222.22</v>
      </c>
      <c r="V28" s="1379">
        <f>+'Costos a Dic-25'!N46</f>
        <v>2546180</v>
      </c>
      <c r="W28" s="1209">
        <f>+'Compromisos 09-25'!I85</f>
        <v>357835</v>
      </c>
      <c r="X28" s="1209">
        <f t="shared" si="3"/>
        <v>4085656.92</v>
      </c>
    </row>
    <row r="29" spans="2:24" s="1183" customFormat="1" ht="12">
      <c r="B29" s="1197" t="s">
        <v>49</v>
      </c>
      <c r="C29" s="1198">
        <f>+'ADI 09-25'!C33</f>
        <v>25000000</v>
      </c>
      <c r="D29" s="1198">
        <f>SUM(G29:H29)</f>
        <v>23984688.73</v>
      </c>
      <c r="E29" s="1198">
        <f>+C29-D29</f>
        <v>1015311.2699999996</v>
      </c>
      <c r="F29" s="1198">
        <f>SUM(G29:I29)</f>
        <v>22557010.310000002</v>
      </c>
      <c r="G29" s="1198">
        <f t="shared" ref="G29:G31" si="8">SUM(J29:V29)</f>
        <v>23711688.73</v>
      </c>
      <c r="H29" s="1198">
        <f>+'Anticipos 12-25'!D3</f>
        <v>273000</v>
      </c>
      <c r="I29" s="1198">
        <f>-'CXP 12-25 RES'!H7</f>
        <v>-1427678.42</v>
      </c>
      <c r="J29" s="1378">
        <f>+'Costos a Sept-25'!B4</f>
        <v>21168315.640000001</v>
      </c>
      <c r="K29" s="1378">
        <f>+'Costos a Sept-25'!C4</f>
        <v>239349.75</v>
      </c>
      <c r="L29" s="1378">
        <f>+'Costos a Sept-25'!D4</f>
        <v>0</v>
      </c>
      <c r="M29" s="1378">
        <f>+'Costos a Sept-25'!E4</f>
        <v>146320</v>
      </c>
      <c r="N29" s="1378">
        <f>+'Costos a Sept-25'!F4</f>
        <v>108350.26</v>
      </c>
      <c r="O29" s="1378">
        <f>+'Costos a Sept-25'!G4</f>
        <v>53100</v>
      </c>
      <c r="P29" s="1378">
        <f>+'Costos a Sept-25'!H4</f>
        <v>0</v>
      </c>
      <c r="Q29" s="1378">
        <f>+'Costos a Sept-25'!I4</f>
        <v>0</v>
      </c>
      <c r="R29" s="1378">
        <f>+'Costos a Sept-25'!J4</f>
        <v>1595686.82</v>
      </c>
      <c r="S29" s="1379">
        <f>+'Costos a Sept-25'!K4</f>
        <v>87792</v>
      </c>
      <c r="T29" s="1379">
        <f>+'Costos a Oct-25'!L4</f>
        <v>310669.15000000002</v>
      </c>
      <c r="U29" s="1379">
        <f>+'Costos a Nov-25'!M4</f>
        <v>0</v>
      </c>
      <c r="V29" s="1379">
        <v>2105.11</v>
      </c>
      <c r="W29" s="1209">
        <f>+'Compromisos 09-25'!I11</f>
        <v>0</v>
      </c>
      <c r="X29" s="1209">
        <f t="shared" si="3"/>
        <v>312774.26</v>
      </c>
    </row>
    <row r="30" spans="2:24" s="1183" customFormat="1" ht="12">
      <c r="B30" s="1197" t="s">
        <v>50</v>
      </c>
      <c r="C30" s="1198">
        <f>+'ADI 09-25'!C34</f>
        <v>232739209.20512</v>
      </c>
      <c r="D30" s="1198">
        <f>SUM(G30:H30)</f>
        <v>4414348</v>
      </c>
      <c r="E30" s="1198">
        <f>+C30-D30</f>
        <v>228324861.20512</v>
      </c>
      <c r="F30" s="1198">
        <f>SUM(G30:I30)</f>
        <v>4414348</v>
      </c>
      <c r="G30" s="1198">
        <f t="shared" si="8"/>
        <v>4414348</v>
      </c>
      <c r="H30" s="1198"/>
      <c r="I30" s="1198"/>
      <c r="J30" s="1378">
        <f>+'Costos a Sept-25'!B47</f>
        <v>0</v>
      </c>
      <c r="K30" s="1378">
        <f>+'Costos a Sept-25'!C47</f>
        <v>0</v>
      </c>
      <c r="L30" s="1378">
        <f>+'Costos a Sept-25'!D47</f>
        <v>0</v>
      </c>
      <c r="M30" s="1378">
        <f>+'Costos a Sept-25'!E47</f>
        <v>0</v>
      </c>
      <c r="N30" s="1378">
        <f>+'Costos a Sept-25'!F47</f>
        <v>0</v>
      </c>
      <c r="O30" s="1378">
        <f>+'Costos a Sept-25'!G47</f>
        <v>0</v>
      </c>
      <c r="P30" s="1378">
        <f>+'Costos a Sept-25'!H47</f>
        <v>0</v>
      </c>
      <c r="Q30" s="1378">
        <f>+'Costos a Sept-25'!I47</f>
        <v>0</v>
      </c>
      <c r="R30" s="1378">
        <f>+'Costos a Sept-25'!J47</f>
        <v>0</v>
      </c>
      <c r="S30" s="1379">
        <f>+'Costos a Sept-25'!K47</f>
        <v>0</v>
      </c>
      <c r="T30" s="1379">
        <f>+'Costos a Oct-25'!L51</f>
        <v>5900</v>
      </c>
      <c r="U30" s="1379">
        <f>+'Costos a Nov-25'!M50</f>
        <v>0</v>
      </c>
      <c r="V30" s="1379">
        <f>+'Costos a Dic-25'!N50</f>
        <v>4408448</v>
      </c>
      <c r="W30" s="1371">
        <v>650000</v>
      </c>
      <c r="X30" s="1371">
        <f t="shared" si="3"/>
        <v>5064348</v>
      </c>
    </row>
    <row r="31" spans="2:24" s="1183" customFormat="1" ht="12">
      <c r="B31" s="1197" t="s">
        <v>51</v>
      </c>
      <c r="C31" s="1198">
        <f>+'ADI 09-25'!C35</f>
        <v>19863403.175999999</v>
      </c>
      <c r="D31" s="1198">
        <f>SUM(G31:H31)</f>
        <v>0</v>
      </c>
      <c r="E31" s="1198">
        <f>+C31-D31</f>
        <v>19863403.175999999</v>
      </c>
      <c r="F31" s="1198">
        <f>SUM(G31:I31)</f>
        <v>0</v>
      </c>
      <c r="G31" s="1198">
        <f t="shared" si="8"/>
        <v>0</v>
      </c>
      <c r="H31" s="1198"/>
      <c r="I31" s="1198"/>
      <c r="J31" s="1378">
        <f>+'Costos a Sept-25'!B45</f>
        <v>0</v>
      </c>
      <c r="K31" s="1378">
        <f>+'Costos a Sept-25'!C45</f>
        <v>0</v>
      </c>
      <c r="L31" s="1378">
        <f>+'Costos a Sept-25'!D45</f>
        <v>0</v>
      </c>
      <c r="M31" s="1378">
        <f>+'Costos a Sept-25'!E45</f>
        <v>0</v>
      </c>
      <c r="N31" s="1378">
        <f>+'Costos a Sept-25'!F45</f>
        <v>0</v>
      </c>
      <c r="O31" s="1378">
        <f>+'Costos a Sept-25'!G45</f>
        <v>0</v>
      </c>
      <c r="P31" s="1378">
        <f>+'Costos a Sept-25'!H45</f>
        <v>0</v>
      </c>
      <c r="Q31" s="1378">
        <f>+'Costos a Sept-25'!I45</f>
        <v>0</v>
      </c>
      <c r="R31" s="1378">
        <f>+'Costos a Sept-25'!J45</f>
        <v>0</v>
      </c>
      <c r="S31" s="1379">
        <f>+'Costos a Sept-25'!K45</f>
        <v>0</v>
      </c>
      <c r="T31" s="1379">
        <f>+'Costos a Oct-25'!L45</f>
        <v>0</v>
      </c>
      <c r="U31" s="1379">
        <f>+'Costos a Nov-25'!M48</f>
        <v>0</v>
      </c>
      <c r="V31" s="1379">
        <f>+'Costos a Dic-25'!N48</f>
        <v>0</v>
      </c>
      <c r="W31" s="1209">
        <f>+'Costos a Sept-25'!O45</f>
        <v>0</v>
      </c>
      <c r="X31" s="1209">
        <f t="shared" si="3"/>
        <v>0</v>
      </c>
    </row>
    <row r="32" spans="2:24" s="1183" customFormat="1" ht="12">
      <c r="B32" s="1199" t="s">
        <v>52</v>
      </c>
      <c r="C32" s="1200">
        <f>SUM(C28:C31)</f>
        <v>308102612.38111997</v>
      </c>
      <c r="D32" s="1200">
        <f t="shared" ref="D32:X32" si="9">SUM(D28:D31)</f>
        <v>49011207.629999995</v>
      </c>
      <c r="E32" s="1200">
        <f t="shared" si="9"/>
        <v>259091404.75112</v>
      </c>
      <c r="F32" s="1200">
        <f t="shared" si="9"/>
        <v>47552029.209999993</v>
      </c>
      <c r="G32" s="1200">
        <f t="shared" si="9"/>
        <v>48731535.75</v>
      </c>
      <c r="H32" s="1200">
        <f t="shared" si="9"/>
        <v>279671.88</v>
      </c>
      <c r="I32" s="1200">
        <f t="shared" si="9"/>
        <v>-1459178.42</v>
      </c>
      <c r="J32" s="1380">
        <f t="shared" si="9"/>
        <v>33883700.019999996</v>
      </c>
      <c r="K32" s="1380">
        <f t="shared" si="9"/>
        <v>239349.75</v>
      </c>
      <c r="L32" s="1380">
        <f t="shared" si="9"/>
        <v>0</v>
      </c>
      <c r="M32" s="1380">
        <f t="shared" si="9"/>
        <v>275065.38</v>
      </c>
      <c r="N32" s="1380">
        <f t="shared" si="9"/>
        <v>660982.84</v>
      </c>
      <c r="O32" s="1380">
        <f t="shared" si="9"/>
        <v>173106</v>
      </c>
      <c r="P32" s="1380">
        <f t="shared" si="9"/>
        <v>1543136</v>
      </c>
      <c r="Q32" s="1380">
        <f t="shared" si="9"/>
        <v>300</v>
      </c>
      <c r="R32" s="1380">
        <f t="shared" si="9"/>
        <v>1819009.35</v>
      </c>
      <c r="S32" s="1381">
        <f t="shared" si="9"/>
        <v>1681942.23</v>
      </c>
      <c r="T32" s="1381">
        <f t="shared" si="9"/>
        <v>1158988.8500000001</v>
      </c>
      <c r="U32" s="1381">
        <f t="shared" si="9"/>
        <v>339222.22</v>
      </c>
      <c r="V32" s="1381">
        <f t="shared" si="9"/>
        <v>6956733.1099999994</v>
      </c>
      <c r="W32" s="1210">
        <f t="shared" si="9"/>
        <v>1007835</v>
      </c>
      <c r="X32" s="1210">
        <f t="shared" si="9"/>
        <v>9462779.1799999997</v>
      </c>
    </row>
    <row r="33" spans="2:24" s="1183" customFormat="1" ht="12">
      <c r="B33" s="1202" t="s">
        <v>53</v>
      </c>
      <c r="C33" s="1203">
        <f t="shared" ref="C33:X33" si="10">+C14+C21+C27+C32</f>
        <v>3428528420.3315516</v>
      </c>
      <c r="D33" s="1203">
        <f t="shared" si="10"/>
        <v>497269612.55999994</v>
      </c>
      <c r="E33" s="1203">
        <f t="shared" si="10"/>
        <v>2931258807.7715521</v>
      </c>
      <c r="F33" s="1203">
        <f t="shared" si="10"/>
        <v>492819661.67999995</v>
      </c>
      <c r="G33" s="1203">
        <f t="shared" si="10"/>
        <v>496973883.23999995</v>
      </c>
      <c r="H33" s="1203">
        <f t="shared" si="10"/>
        <v>295729.32</v>
      </c>
      <c r="I33" s="1203">
        <f t="shared" si="10"/>
        <v>-4449950.88</v>
      </c>
      <c r="J33" s="1382">
        <f t="shared" si="10"/>
        <v>151080073.93000001</v>
      </c>
      <c r="K33" s="1382">
        <f t="shared" si="10"/>
        <v>2968703.3</v>
      </c>
      <c r="L33" s="1382">
        <f t="shared" si="10"/>
        <v>2613690.2399999998</v>
      </c>
      <c r="M33" s="1382">
        <f t="shared" si="10"/>
        <v>2895724.79</v>
      </c>
      <c r="N33" s="1382">
        <f t="shared" si="10"/>
        <v>7649161.7599999998</v>
      </c>
      <c r="O33" s="1382">
        <f t="shared" si="10"/>
        <v>6705088.7199999997</v>
      </c>
      <c r="P33" s="1382">
        <f t="shared" si="10"/>
        <v>10036771</v>
      </c>
      <c r="Q33" s="1382">
        <f t="shared" si="10"/>
        <v>19175567.920000002</v>
      </c>
      <c r="R33" s="1382">
        <f t="shared" si="10"/>
        <v>195778925.68999997</v>
      </c>
      <c r="S33" s="1383">
        <f t="shared" si="10"/>
        <v>19508128.399999999</v>
      </c>
      <c r="T33" s="1383">
        <f t="shared" si="10"/>
        <v>20646777.380000003</v>
      </c>
      <c r="U33" s="1383">
        <f t="shared" si="10"/>
        <v>23609624.669999998</v>
      </c>
      <c r="V33" s="1383">
        <f t="shared" si="10"/>
        <v>34305645.439999998</v>
      </c>
      <c r="W33" s="1211">
        <f t="shared" si="10"/>
        <v>15403537.300000001</v>
      </c>
      <c r="X33" s="1211">
        <f t="shared" si="10"/>
        <v>93965584.790000021</v>
      </c>
    </row>
    <row r="34" spans="2:24" s="1183" customFormat="1" ht="12">
      <c r="B34" s="1267" t="s">
        <v>1922</v>
      </c>
      <c r="C34" s="1268"/>
      <c r="D34" s="1268"/>
      <c r="E34" s="1268"/>
      <c r="F34" s="1268"/>
      <c r="G34" s="1268">
        <f>496973887.43-4.19</f>
        <v>496973883.24000001</v>
      </c>
      <c r="H34" s="1268">
        <v>13958578.380000001</v>
      </c>
      <c r="I34" s="1268">
        <f>-24006738.19-293474.91-824841.04</f>
        <v>-25125054.140000001</v>
      </c>
      <c r="J34" s="1205"/>
      <c r="T34" s="1435">
        <v>20648882.489999998</v>
      </c>
      <c r="U34" s="1435">
        <v>23615603.98</v>
      </c>
      <c r="V34" s="1627">
        <v>34297561.019999996</v>
      </c>
    </row>
    <row r="35" spans="2:24" s="1183" customFormat="1" ht="12">
      <c r="C35" s="1188"/>
      <c r="D35" s="1206">
        <f t="shared" ref="D35" si="11">+D33-D14</f>
        <v>232824532.39999998</v>
      </c>
      <c r="E35" s="1206"/>
      <c r="F35" s="1206">
        <f>+F33-F14</f>
        <v>228374581.51999998</v>
      </c>
      <c r="G35" s="1206">
        <f>+G33-G34</f>
        <v>0</v>
      </c>
      <c r="H35" s="1206">
        <f t="shared" ref="H35:I35" si="12">+H33-H34</f>
        <v>-13662849.060000001</v>
      </c>
      <c r="I35" s="1206">
        <f t="shared" si="12"/>
        <v>20675103.260000002</v>
      </c>
      <c r="J35" s="1204"/>
      <c r="K35" s="1204"/>
      <c r="L35" s="1204"/>
      <c r="M35" s="1204"/>
      <c r="N35" s="1204"/>
      <c r="O35" s="1204"/>
      <c r="P35" s="1204"/>
      <c r="Q35" s="1204"/>
      <c r="R35" s="1204"/>
      <c r="S35" s="1204"/>
      <c r="T35" s="1204">
        <f t="shared" ref="T35:V35" si="13">+T33-T34</f>
        <v>-2105.1099999956787</v>
      </c>
      <c r="U35" s="1204">
        <f t="shared" si="13"/>
        <v>-5979.3100000023842</v>
      </c>
      <c r="V35" s="1204">
        <f t="shared" si="13"/>
        <v>8084.4200000017881</v>
      </c>
    </row>
  </sheetData>
  <mergeCells count="3">
    <mergeCell ref="B3:C3"/>
    <mergeCell ref="D10:I10"/>
    <mergeCell ref="B11:C11"/>
  </mergeCells>
  <hyperlinks>
    <hyperlink ref="F1" r:id="rId1" xr:uid="{91E7B9BB-F479-4551-BDD3-B41D4451B206}"/>
  </hyperlinks>
  <pageMargins left="0.5" right="0.69" top="0.92" bottom="1" header="0" footer="0"/>
  <pageSetup scale="38" orientation="landscape" r:id="rId2"/>
  <legacyDrawing r:id="rId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F9049-B893-4BE1-A83A-AB87805DA371}">
  <dimension ref="A1:H57"/>
  <sheetViews>
    <sheetView showGridLines="0" topLeftCell="A4" zoomScaleNormal="100" workbookViewId="0">
      <selection activeCell="D24" sqref="D24"/>
    </sheetView>
  </sheetViews>
  <sheetFormatPr baseColWidth="10" defaultColWidth="8" defaultRowHeight="11.4"/>
  <cols>
    <col min="1" max="1" width="1.33203125" style="1440" customWidth="1"/>
    <col min="2" max="2" width="42.6640625" style="1440" customWidth="1"/>
    <col min="3" max="3" width="13.33203125" style="1440" customWidth="1"/>
    <col min="4" max="4" width="4.88671875" style="1440" customWidth="1"/>
    <col min="5" max="5" width="11.5546875" style="1440" bestFit="1" customWidth="1"/>
    <col min="6" max="6" width="17.109375" style="1440" bestFit="1" customWidth="1"/>
    <col min="7" max="7" width="22.6640625" style="1440" bestFit="1" customWidth="1"/>
    <col min="8" max="8" width="16.33203125" style="1440" bestFit="1" customWidth="1"/>
    <col min="9" max="16384" width="8" style="1440"/>
  </cols>
  <sheetData>
    <row r="1" spans="1:8" s="1437" customFormat="1" ht="16.649999999999999" customHeight="1">
      <c r="A1" s="1436" t="s">
        <v>235</v>
      </c>
      <c r="B1" s="1436"/>
      <c r="C1" s="1436"/>
      <c r="D1" s="1436"/>
    </row>
    <row r="2" spans="1:8" s="1439" customFormat="1" ht="14.4" customHeight="1">
      <c r="A2" s="1438" t="s">
        <v>236</v>
      </c>
      <c r="B2" s="1438"/>
      <c r="C2" s="1438"/>
      <c r="D2" s="1438"/>
    </row>
    <row r="3" spans="1:8" s="1439" customFormat="1" ht="14.4" customHeight="1">
      <c r="A3" s="1438" t="s">
        <v>2207</v>
      </c>
      <c r="B3" s="1438"/>
      <c r="C3" s="1438"/>
      <c r="D3" s="1438"/>
    </row>
    <row r="4" spans="1:8" ht="13.35" customHeight="1"/>
    <row r="5" spans="1:8" s="1444" customFormat="1" ht="12.15" customHeight="1">
      <c r="A5" s="1445"/>
      <c r="B5" s="1441" t="s">
        <v>238</v>
      </c>
      <c r="C5" s="1442" t="s">
        <v>2245</v>
      </c>
      <c r="D5" s="1442"/>
    </row>
    <row r="6" spans="1:8" ht="13.35" customHeight="1"/>
    <row r="7" spans="1:8" s="1444" customFormat="1" ht="12.15" customHeight="1">
      <c r="A7" s="1445" t="s">
        <v>239</v>
      </c>
      <c r="B7" s="1445"/>
      <c r="C7" s="1445"/>
      <c r="D7" s="1445"/>
    </row>
    <row r="8" spans="1:8" ht="10.95" customHeight="1">
      <c r="A8" s="1458"/>
      <c r="B8" s="1458" t="s">
        <v>638</v>
      </c>
      <c r="C8" s="1458"/>
      <c r="D8" s="1458"/>
    </row>
    <row r="9" spans="1:8" ht="10.95" customHeight="1">
      <c r="B9" s="1450" t="s">
        <v>639</v>
      </c>
      <c r="C9" s="1452">
        <v>83880.55</v>
      </c>
      <c r="D9" s="1450"/>
    </row>
    <row r="10" spans="1:8" ht="10.95" customHeight="1">
      <c r="B10" s="1450" t="s">
        <v>1608</v>
      </c>
      <c r="C10" s="1452">
        <v>9856138.8499999996</v>
      </c>
      <c r="D10" s="1450" t="s">
        <v>641</v>
      </c>
    </row>
    <row r="11" spans="1:8" ht="10.95" customHeight="1">
      <c r="B11" s="1450" t="s">
        <v>640</v>
      </c>
      <c r="C11" s="1452">
        <v>4413647.3499999996</v>
      </c>
      <c r="D11" s="1450" t="s">
        <v>641</v>
      </c>
    </row>
    <row r="12" spans="1:8" ht="10.95" customHeight="1">
      <c r="B12" s="1450" t="s">
        <v>1392</v>
      </c>
      <c r="C12" s="1452">
        <v>43454415.890000001</v>
      </c>
      <c r="D12" s="1450" t="s">
        <v>641</v>
      </c>
      <c r="G12" s="1440" t="s">
        <v>2246</v>
      </c>
      <c r="H12" s="400">
        <f>+'FLUJO 12-25'!C27</f>
        <v>62068899.310000002</v>
      </c>
    </row>
    <row r="13" spans="1:8" ht="10.95" customHeight="1">
      <c r="B13" s="1450" t="s">
        <v>1394</v>
      </c>
      <c r="C13" s="1452">
        <v>22400.23</v>
      </c>
      <c r="D13" s="1450"/>
      <c r="G13" s="1440" t="s">
        <v>2247</v>
      </c>
      <c r="H13" s="1566">
        <f>+C16</f>
        <v>62009654.039999999</v>
      </c>
    </row>
    <row r="14" spans="1:8" ht="10.95" customHeight="1">
      <c r="B14" s="1450" t="s">
        <v>844</v>
      </c>
      <c r="C14" s="1452">
        <v>4147197.28</v>
      </c>
      <c r="D14" s="1450" t="s">
        <v>641</v>
      </c>
      <c r="G14" s="1440" t="s">
        <v>191</v>
      </c>
      <c r="H14" s="400">
        <f>+H12-H13</f>
        <v>59245.270000003278</v>
      </c>
    </row>
    <row r="15" spans="1:8" ht="10.95" customHeight="1">
      <c r="B15" s="1450" t="s">
        <v>845</v>
      </c>
      <c r="C15" s="1452">
        <v>31973.89</v>
      </c>
      <c r="D15" s="1450"/>
      <c r="H15" s="1566"/>
    </row>
    <row r="16" spans="1:8" ht="10.95" customHeight="1">
      <c r="B16" s="1454" t="s">
        <v>642</v>
      </c>
      <c r="C16" s="1455">
        <f>SUM(C9:C15)</f>
        <v>62009654.039999999</v>
      </c>
      <c r="D16" s="1454"/>
      <c r="E16" s="1566"/>
      <c r="F16" s="1634"/>
      <c r="H16" s="1566"/>
    </row>
    <row r="17" spans="1:6" ht="10.95" customHeight="1">
      <c r="B17" s="1458" t="s">
        <v>240</v>
      </c>
      <c r="C17" s="1458"/>
      <c r="D17" s="1458"/>
    </row>
    <row r="18" spans="1:6" ht="10.95" customHeight="1">
      <c r="A18" s="1458"/>
      <c r="B18" s="1450" t="s">
        <v>1826</v>
      </c>
      <c r="C18" s="1452">
        <v>3356332.32</v>
      </c>
      <c r="D18" s="1458"/>
    </row>
    <row r="19" spans="1:6" ht="10.95" customHeight="1">
      <c r="A19" s="1458"/>
      <c r="B19" s="1450" t="s">
        <v>241</v>
      </c>
      <c r="C19" s="1452">
        <v>295729.40000000002</v>
      </c>
      <c r="D19" s="1450"/>
    </row>
    <row r="20" spans="1:6" ht="10.95" customHeight="1">
      <c r="B20" s="1454" t="s">
        <v>242</v>
      </c>
      <c r="C20" s="1455">
        <f>SUM(C18:C19)</f>
        <v>3652061.7199999997</v>
      </c>
      <c r="D20" s="1454"/>
    </row>
    <row r="21" spans="1:6" ht="10.95" customHeight="1">
      <c r="B21" s="1458" t="s">
        <v>243</v>
      </c>
      <c r="C21" s="1458"/>
      <c r="D21" s="1458"/>
    </row>
    <row r="22" spans="1:6" ht="10.95" customHeight="1">
      <c r="A22" s="1458"/>
      <c r="B22" s="1450" t="s">
        <v>1278</v>
      </c>
      <c r="C22" s="1452">
        <v>4.1900000000000004</v>
      </c>
      <c r="D22" s="1450"/>
    </row>
    <row r="23" spans="1:6" ht="10.95" customHeight="1">
      <c r="B23" s="1450" t="s">
        <v>800</v>
      </c>
      <c r="C23" s="1452">
        <v>351963939.76999998</v>
      </c>
      <c r="D23" s="1450"/>
    </row>
    <row r="24" spans="1:6" ht="10.95" customHeight="1">
      <c r="B24" s="1450" t="s">
        <v>245</v>
      </c>
      <c r="C24" s="1452">
        <v>119990096.45</v>
      </c>
      <c r="D24" s="1450"/>
    </row>
    <row r="25" spans="1:6" ht="10.95" customHeight="1">
      <c r="B25" s="1450" t="s">
        <v>801</v>
      </c>
      <c r="C25" s="1452">
        <v>25019847.02</v>
      </c>
      <c r="D25" s="1450"/>
    </row>
    <row r="26" spans="1:6" ht="10.95" customHeight="1">
      <c r="B26" s="1454" t="s">
        <v>247</v>
      </c>
      <c r="C26" s="1455">
        <f>SUM(C22:C25)</f>
        <v>496973887.42999995</v>
      </c>
      <c r="D26" s="1454"/>
    </row>
    <row r="27" spans="1:6" ht="10.95" customHeight="1">
      <c r="C27" s="1455">
        <f>(0 + ((C16 + C20) + C26))</f>
        <v>562635603.18999994</v>
      </c>
      <c r="D27" s="1454"/>
    </row>
    <row r="28" spans="1:6" ht="10.95" customHeight="1">
      <c r="A28" s="1454" t="s">
        <v>248</v>
      </c>
    </row>
    <row r="29" spans="1:6" ht="13.35" customHeight="1">
      <c r="B29" s="1445"/>
      <c r="C29" s="1445"/>
      <c r="D29" s="1445"/>
      <c r="E29" s="1444"/>
      <c r="F29" s="1444"/>
    </row>
    <row r="30" spans="1:6" s="1444" customFormat="1" ht="12.15" customHeight="1">
      <c r="A30" s="1445" t="s">
        <v>249</v>
      </c>
      <c r="B30" s="1458" t="s">
        <v>250</v>
      </c>
      <c r="C30" s="1458"/>
      <c r="D30" s="1458"/>
      <c r="E30" s="1440"/>
      <c r="F30" s="1440"/>
    </row>
    <row r="31" spans="1:6" ht="10.95" customHeight="1">
      <c r="A31" s="1458"/>
      <c r="B31" s="1450" t="s">
        <v>1825</v>
      </c>
      <c r="C31" s="1452">
        <v>100000000</v>
      </c>
      <c r="D31" s="1450"/>
    </row>
    <row r="32" spans="1:6" ht="10.95" customHeight="1">
      <c r="B32" s="1450" t="s">
        <v>799</v>
      </c>
      <c r="C32" s="1452">
        <v>156775.41</v>
      </c>
      <c r="D32" s="1450" t="s">
        <v>641</v>
      </c>
    </row>
    <row r="33" spans="1:6" ht="10.95" customHeight="1">
      <c r="B33" s="1450" t="s">
        <v>251</v>
      </c>
      <c r="C33" s="1452">
        <v>4283205.22</v>
      </c>
      <c r="D33" s="1450" t="s">
        <v>641</v>
      </c>
    </row>
    <row r="34" spans="1:6" ht="10.95" customHeight="1">
      <c r="B34" s="1632" t="s">
        <v>2196</v>
      </c>
      <c r="C34" s="1633">
        <v>60392.11</v>
      </c>
      <c r="D34" s="1632"/>
      <c r="E34" s="1631">
        <f>6605*64</f>
        <v>422720</v>
      </c>
      <c r="F34" s="1630" t="s">
        <v>2197</v>
      </c>
    </row>
    <row r="35" spans="1:6" ht="10.95" customHeight="1">
      <c r="B35" s="1450" t="s">
        <v>802</v>
      </c>
      <c r="C35" s="1452">
        <v>124303739.08</v>
      </c>
      <c r="D35" s="1450"/>
    </row>
    <row r="36" spans="1:6" ht="10.95" customHeight="1">
      <c r="B36" s="1450" t="s">
        <v>803</v>
      </c>
      <c r="C36" s="1452">
        <v>31180</v>
      </c>
      <c r="D36" s="1450"/>
    </row>
    <row r="37" spans="1:6" ht="10.95" customHeight="1">
      <c r="B37" s="1450" t="s">
        <v>1284</v>
      </c>
      <c r="C37" s="1452">
        <v>49622.400000000001</v>
      </c>
      <c r="D37" s="1450"/>
    </row>
    <row r="38" spans="1:6" ht="10.95" customHeight="1">
      <c r="B38" s="1450" t="s">
        <v>804</v>
      </c>
      <c r="C38" s="1452">
        <v>650590.03</v>
      </c>
      <c r="D38" s="1450"/>
    </row>
    <row r="39" spans="1:6" ht="10.95" customHeight="1">
      <c r="B39" s="1450" t="s">
        <v>813</v>
      </c>
      <c r="C39" s="1452">
        <v>194665.61</v>
      </c>
      <c r="D39" s="1450"/>
    </row>
    <row r="40" spans="1:6" ht="10.95" customHeight="1">
      <c r="B40" s="1450" t="s">
        <v>805</v>
      </c>
      <c r="C40" s="1452">
        <v>17322.22</v>
      </c>
      <c r="D40" s="1450"/>
    </row>
    <row r="41" spans="1:6" ht="10.95" customHeight="1">
      <c r="B41" s="1450" t="s">
        <v>2248</v>
      </c>
      <c r="C41" s="1452">
        <v>28694.26</v>
      </c>
      <c r="D41" s="1450"/>
    </row>
    <row r="42" spans="1:6" ht="10.95" customHeight="1">
      <c r="B42" s="1454" t="s">
        <v>253</v>
      </c>
      <c r="C42" s="1455">
        <f>SUM(C31:C41)</f>
        <v>229776186.34</v>
      </c>
      <c r="D42" s="1454"/>
    </row>
    <row r="43" spans="1:6" ht="10.95" customHeight="1">
      <c r="C43" s="1455">
        <f>(0 + C42)</f>
        <v>229776186.34</v>
      </c>
      <c r="D43" s="1454"/>
    </row>
    <row r="44" spans="1:6" ht="10.95" customHeight="1">
      <c r="A44" s="1454" t="s">
        <v>254</v>
      </c>
    </row>
    <row r="45" spans="1:6" ht="13.35" customHeight="1">
      <c r="B45" s="1461" t="s">
        <v>255</v>
      </c>
      <c r="C45" s="1462">
        <f>(C27 - C43)</f>
        <v>332859416.8499999</v>
      </c>
      <c r="D45" s="1461"/>
    </row>
    <row r="46" spans="1:6" ht="10.95" customHeight="1"/>
    <row r="47" spans="1:6" ht="13.35" customHeight="1">
      <c r="B47" s="1445"/>
      <c r="C47" s="1445"/>
      <c r="D47" s="1445"/>
      <c r="E47" s="1444"/>
      <c r="F47" s="1444"/>
    </row>
    <row r="48" spans="1:6" s="1444" customFormat="1" ht="12.15" customHeight="1">
      <c r="A48" s="1445" t="s">
        <v>256</v>
      </c>
      <c r="B48" s="1446" t="s">
        <v>257</v>
      </c>
      <c r="C48" s="1448">
        <v>329948451.97000003</v>
      </c>
      <c r="D48" s="1446"/>
      <c r="E48" s="1440"/>
      <c r="F48" s="1440"/>
    </row>
    <row r="49" spans="1:3" ht="10.95" customHeight="1">
      <c r="B49" s="1450" t="s">
        <v>647</v>
      </c>
      <c r="C49" s="1452">
        <v>2773112.48</v>
      </c>
    </row>
    <row r="50" spans="1:3" ht="10.95" customHeight="1">
      <c r="B50" s="1450" t="s">
        <v>846</v>
      </c>
      <c r="C50" s="1452">
        <v>137838.47</v>
      </c>
    </row>
    <row r="51" spans="1:3" ht="10.95" customHeight="1">
      <c r="C51" s="1455">
        <f>SUM(C48:C50)</f>
        <v>332859402.92000008</v>
      </c>
    </row>
    <row r="52" spans="1:3" ht="10.95" customHeight="1">
      <c r="A52" s="1454" t="s">
        <v>258</v>
      </c>
    </row>
    <row r="53" spans="1:3" ht="13.35" customHeight="1"/>
    <row r="54" spans="1:3" ht="13.35" customHeight="1"/>
    <row r="55" spans="1:3" ht="10.95" customHeight="1">
      <c r="A55" s="1628" t="s">
        <v>648</v>
      </c>
    </row>
    <row r="56" spans="1:3" ht="10.95" customHeight="1">
      <c r="A56" s="1629" t="s">
        <v>2245</v>
      </c>
    </row>
    <row r="57" spans="1:3" ht="10.95" customHeight="1">
      <c r="A57" s="1628" t="s">
        <v>2249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90F85-6BB6-4D57-9E37-364861D20C4F}">
  <dimension ref="A1:D28"/>
  <sheetViews>
    <sheetView showGridLines="0" topLeftCell="A5" zoomScale="120" zoomScaleNormal="120" workbookViewId="0">
      <selection activeCell="D24" sqref="D24"/>
    </sheetView>
  </sheetViews>
  <sheetFormatPr baseColWidth="10" defaultColWidth="8" defaultRowHeight="11.4"/>
  <cols>
    <col min="1" max="1" width="7" style="1440" customWidth="1"/>
    <col min="2" max="2" width="35.44140625" style="1440" customWidth="1"/>
    <col min="3" max="3" width="20.5546875" style="1440" customWidth="1"/>
    <col min="4" max="4" width="11.5546875" style="1440" bestFit="1" customWidth="1"/>
    <col min="5" max="16384" width="8" style="1440"/>
  </cols>
  <sheetData>
    <row r="1" spans="1:4" s="1437" customFormat="1" ht="16.649999999999999" customHeight="1">
      <c r="A1" s="2168"/>
      <c r="B1" s="2168"/>
      <c r="C1" s="2168"/>
    </row>
    <row r="2" spans="1:4" s="1439" customFormat="1" ht="21.6" customHeight="1">
      <c r="A2" s="2171" t="s">
        <v>236</v>
      </c>
      <c r="B2" s="2171"/>
      <c r="C2" s="2171"/>
    </row>
    <row r="3" spans="1:4" s="1439" customFormat="1" ht="14.4" customHeight="1">
      <c r="A3" s="2172" t="s">
        <v>2250</v>
      </c>
      <c r="B3" s="2172"/>
      <c r="C3" s="2172"/>
    </row>
    <row r="4" spans="1:4" ht="4.95" customHeight="1" thickBot="1"/>
    <row r="5" spans="1:4" s="1444" customFormat="1" ht="13.2">
      <c r="A5" s="1502"/>
      <c r="B5" s="1501" t="s">
        <v>2084</v>
      </c>
      <c r="C5" s="1598">
        <v>46022</v>
      </c>
    </row>
    <row r="6" spans="1:4" ht="9" customHeight="1">
      <c r="A6" s="1491"/>
      <c r="C6" s="1495"/>
    </row>
    <row r="7" spans="1:4" s="1444" customFormat="1" ht="13.2">
      <c r="A7" s="1494" t="s">
        <v>2085</v>
      </c>
      <c r="B7" s="1445"/>
      <c r="C7" s="1493"/>
    </row>
    <row r="8" spans="1:4">
      <c r="A8" s="1491"/>
      <c r="B8" s="1450" t="s">
        <v>2086</v>
      </c>
      <c r="C8" s="1601">
        <f>+'BCE 12-25'!C16+'BCE 12-25'!E34</f>
        <v>62432374.039999999</v>
      </c>
    </row>
    <row r="9" spans="1:4">
      <c r="A9" s="1491"/>
      <c r="B9" s="1450" t="s">
        <v>241</v>
      </c>
      <c r="C9" s="1601">
        <f>+'BCE 12-25'!C20</f>
        <v>3652061.7199999997</v>
      </c>
    </row>
    <row r="10" spans="1:4">
      <c r="A10" s="1491"/>
      <c r="B10" s="1450" t="s">
        <v>2087</v>
      </c>
      <c r="C10" s="1601">
        <f>+'BCE 12-25'!C26</f>
        <v>496973887.42999995</v>
      </c>
      <c r="D10" s="1440" t="s">
        <v>2251</v>
      </c>
    </row>
    <row r="11" spans="1:4" ht="12">
      <c r="A11" s="1498" t="s">
        <v>2088</v>
      </c>
      <c r="C11" s="1602">
        <f>(0 + ((C8 + C9) + C10))</f>
        <v>563058323.18999994</v>
      </c>
    </row>
    <row r="12" spans="1:4" ht="8.4" customHeight="1">
      <c r="A12" s="1491"/>
      <c r="C12" s="1495"/>
    </row>
    <row r="13" spans="1:4" s="1444" customFormat="1" ht="13.2">
      <c r="A13" s="1494" t="s">
        <v>2089</v>
      </c>
      <c r="B13" s="1445"/>
      <c r="C13" s="1493"/>
    </row>
    <row r="14" spans="1:4">
      <c r="A14" s="1491"/>
      <c r="B14" s="1450" t="s">
        <v>1825</v>
      </c>
      <c r="C14" s="1601">
        <f>+'BCE 12-25'!C31</f>
        <v>100000000</v>
      </c>
    </row>
    <row r="15" spans="1:4">
      <c r="A15" s="1491"/>
      <c r="B15" s="1450" t="s">
        <v>251</v>
      </c>
      <c r="C15" s="1601">
        <f>+'BCE 12-25'!C32+'BCE 12-25'!C33</f>
        <v>4439980.63</v>
      </c>
    </row>
    <row r="16" spans="1:4">
      <c r="A16" s="1491"/>
      <c r="B16" s="1450" t="s">
        <v>802</v>
      </c>
      <c r="C16" s="1601">
        <f>+'BCE 12-25'!C34+'BCE 12-25'!E34+'BCE 12-25'!C35</f>
        <v>124786851.19</v>
      </c>
      <c r="D16" s="1503"/>
    </row>
    <row r="17" spans="1:4">
      <c r="A17" s="1491"/>
      <c r="B17" s="1450" t="s">
        <v>2090</v>
      </c>
      <c r="C17" s="1601">
        <f>+'BCE 12-25'!C36+'BCE 12-25'!C37+'BCE 12-25'!C38+'BCE 12-25'!C39+'BCE 12-25'!C40+'BCE 12-25'!C41</f>
        <v>972074.52</v>
      </c>
    </row>
    <row r="18" spans="1:4" ht="12">
      <c r="A18" s="1498" t="s">
        <v>2091</v>
      </c>
      <c r="C18" s="1602">
        <f>SUM(C14:C17)</f>
        <v>230198906.34</v>
      </c>
    </row>
    <row r="19" spans="1:4">
      <c r="A19" s="1491"/>
      <c r="C19" s="1603"/>
    </row>
    <row r="20" spans="1:4" ht="18" customHeight="1">
      <c r="A20" s="1607"/>
      <c r="B20" s="1461" t="s">
        <v>2092</v>
      </c>
      <c r="C20" s="1604">
        <f>(C11 - C18)</f>
        <v>332859416.8499999</v>
      </c>
    </row>
    <row r="21" spans="1:4">
      <c r="A21" s="1491"/>
      <c r="C21" s="1495"/>
    </row>
    <row r="22" spans="1:4" s="1444" customFormat="1" ht="13.2">
      <c r="A22" s="1494" t="s">
        <v>2093</v>
      </c>
      <c r="B22" s="1445"/>
      <c r="C22" s="1493"/>
    </row>
    <row r="23" spans="1:4">
      <c r="A23" s="1491"/>
      <c r="B23" s="1446" t="s">
        <v>2094</v>
      </c>
      <c r="C23" s="1605">
        <f>+'BCE 12-25'!C48</f>
        <v>329948451.97000003</v>
      </c>
      <c r="D23" s="1644"/>
    </row>
    <row r="24" spans="1:4">
      <c r="A24" s="1491"/>
      <c r="B24" s="1450" t="s">
        <v>647</v>
      </c>
      <c r="C24" s="1601">
        <f>+'BCE 12-25'!C49</f>
        <v>2773112.48</v>
      </c>
    </row>
    <row r="25" spans="1:4">
      <c r="A25" s="1491"/>
      <c r="B25" s="1450" t="s">
        <v>846</v>
      </c>
      <c r="C25" s="1601">
        <f>+'BCE 12-25'!C50</f>
        <v>137838.47</v>
      </c>
    </row>
    <row r="26" spans="1:4" ht="12">
      <c r="A26" s="1498" t="s">
        <v>2095</v>
      </c>
      <c r="C26" s="1602">
        <f>SUM(C23:C25)</f>
        <v>332859402.92000008</v>
      </c>
    </row>
    <row r="27" spans="1:4">
      <c r="A27" s="1491"/>
      <c r="B27" s="1446"/>
      <c r="C27" s="1605"/>
    </row>
    <row r="28" spans="1:4" ht="19.2" customHeight="1" thickBot="1">
      <c r="A28" s="1608"/>
      <c r="B28" s="1489" t="s">
        <v>2095</v>
      </c>
      <c r="C28" s="1606">
        <f>+C26</f>
        <v>332859402.92000008</v>
      </c>
    </row>
  </sheetData>
  <mergeCells count="3">
    <mergeCell ref="A1:C1"/>
    <mergeCell ref="A2:C2"/>
    <mergeCell ref="A3:C3"/>
  </mergeCells>
  <pageMargins left="0.7" right="0.7" top="0.75" bottom="0.75" header="0.3" footer="0.3"/>
  <pageSetup paperSize="9" fitToWidth="0" fitToHeight="0" orientation="portrait" horizontalDpi="0" verticalDpi="0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46C01-E047-43C6-AC34-E6B286A5DED7}">
  <sheetPr>
    <tabColor theme="5" tint="0.79998168889431442"/>
  </sheetPr>
  <dimension ref="A1:U50"/>
  <sheetViews>
    <sheetView showGridLines="0" topLeftCell="A2" zoomScale="110" zoomScaleNormal="110" workbookViewId="0">
      <pane xSplit="7" ySplit="3" topLeftCell="H5" activePane="bottomRight" state="frozen"/>
      <selection pane="topRight" activeCell="H2" sqref="H2"/>
      <selection pane="bottomLeft" activeCell="A5" sqref="A5"/>
      <selection pane="bottomRight" activeCell="K20" sqref="K20"/>
    </sheetView>
  </sheetViews>
  <sheetFormatPr baseColWidth="10" defaultColWidth="11.44140625" defaultRowHeight="14.4"/>
  <cols>
    <col min="1" max="1" width="3.6640625" customWidth="1"/>
    <col min="2" max="2" width="27.109375" customWidth="1"/>
    <col min="3" max="5" width="18" hidden="1" customWidth="1"/>
    <col min="6" max="6" width="14.6640625" style="841" hidden="1" customWidth="1"/>
    <col min="7" max="7" width="17.6640625" style="841" customWidth="1"/>
    <col min="8" max="8" width="13.33203125" customWidth="1"/>
    <col min="9" max="9" width="16.33203125" customWidth="1"/>
    <col min="10" max="11" width="13.6640625" customWidth="1"/>
    <col min="12" max="12" width="13.33203125" customWidth="1"/>
    <col min="13" max="13" width="15" customWidth="1"/>
    <col min="14" max="14" width="15.6640625" customWidth="1"/>
    <col min="15" max="15" width="15.5546875" customWidth="1"/>
    <col min="16" max="16" width="18.109375" customWidth="1"/>
    <col min="17" max="17" width="17.6640625" customWidth="1"/>
    <col min="18" max="18" width="16.109375" customWidth="1"/>
    <col min="19" max="19" width="18.5546875" customWidth="1"/>
    <col min="20" max="20" width="17" customWidth="1"/>
    <col min="21" max="23" width="15.44140625" bestFit="1" customWidth="1"/>
    <col min="24" max="24" width="14.44140625" bestFit="1" customWidth="1"/>
  </cols>
  <sheetData>
    <row r="1" spans="1:21" ht="21.6" customHeight="1">
      <c r="E1" s="370"/>
      <c r="H1" s="370"/>
      <c r="J1" s="370"/>
      <c r="K1" s="370"/>
      <c r="O1" s="732"/>
      <c r="R1" s="2109" t="s">
        <v>185</v>
      </c>
      <c r="S1" s="2109"/>
      <c r="T1" s="2109"/>
      <c r="U1" s="2109"/>
    </row>
    <row r="2" spans="1:21" ht="15" thickBot="1">
      <c r="E2" s="509"/>
      <c r="F2" s="840"/>
      <c r="G2" s="840"/>
      <c r="H2" s="509"/>
      <c r="I2" s="181" t="s">
        <v>197</v>
      </c>
      <c r="J2" s="1621"/>
      <c r="K2" s="2148" t="s">
        <v>1611</v>
      </c>
      <c r="L2" s="2148"/>
      <c r="M2" s="2148"/>
      <c r="N2" s="2148"/>
      <c r="O2" s="1111"/>
      <c r="P2" s="181" t="s">
        <v>199</v>
      </c>
      <c r="Q2" s="181" t="s">
        <v>225</v>
      </c>
      <c r="R2" s="2109"/>
      <c r="S2" s="2109"/>
      <c r="T2" s="2109"/>
      <c r="U2" s="2109"/>
    </row>
    <row r="3" spans="1:21" ht="15.6" customHeight="1" thickBot="1">
      <c r="B3" s="1033" t="s">
        <v>1445</v>
      </c>
      <c r="C3" s="1034"/>
      <c r="D3" s="1035"/>
      <c r="E3" s="1035"/>
      <c r="F3" s="1036"/>
      <c r="G3" s="1036"/>
      <c r="H3" s="1565">
        <v>61</v>
      </c>
      <c r="I3" s="2142" t="s">
        <v>145</v>
      </c>
      <c r="J3" s="2142" t="s">
        <v>650</v>
      </c>
      <c r="K3" s="2146" t="s">
        <v>2080</v>
      </c>
      <c r="L3" s="2146" t="s">
        <v>1541</v>
      </c>
      <c r="M3" s="2146" t="s">
        <v>1613</v>
      </c>
      <c r="N3" s="2146" t="s">
        <v>652</v>
      </c>
      <c r="O3" s="2142" t="s">
        <v>227</v>
      </c>
      <c r="P3" s="2142" t="s">
        <v>807</v>
      </c>
      <c r="Q3" s="2142" t="s">
        <v>146</v>
      </c>
      <c r="R3" s="183"/>
      <c r="S3" s="183"/>
      <c r="T3" s="183"/>
      <c r="U3" s="183"/>
    </row>
    <row r="4" spans="1:21" ht="16.95" customHeight="1" thickBot="1">
      <c r="A4" s="152"/>
      <c r="B4" s="1038" t="s">
        <v>29</v>
      </c>
      <c r="C4" s="1039" t="s">
        <v>762</v>
      </c>
      <c r="D4" s="1038" t="s">
        <v>763</v>
      </c>
      <c r="E4" s="1110" t="s">
        <v>1446</v>
      </c>
      <c r="F4" s="1110" t="s">
        <v>1614</v>
      </c>
      <c r="G4" s="1038" t="s">
        <v>1614</v>
      </c>
      <c r="H4" s="1038" t="s">
        <v>31</v>
      </c>
      <c r="I4" s="2143"/>
      <c r="J4" s="2143"/>
      <c r="K4" s="2147"/>
      <c r="L4" s="2147"/>
      <c r="M4" s="2147"/>
      <c r="N4" s="2147"/>
      <c r="O4" s="2143"/>
      <c r="P4" s="2143"/>
      <c r="Q4" s="2143"/>
      <c r="R4" s="183"/>
      <c r="S4" s="183"/>
      <c r="T4" s="183"/>
      <c r="U4" s="183"/>
    </row>
    <row r="5" spans="1:21">
      <c r="A5">
        <v>1</v>
      </c>
      <c r="B5" s="335" t="s">
        <v>33</v>
      </c>
      <c r="C5" s="1025">
        <f>SUM('budget (11)'!D2:D3)</f>
        <v>103385169</v>
      </c>
      <c r="D5" s="1053">
        <v>103385169</v>
      </c>
      <c r="E5" s="1053">
        <f>+'ADI 462 julio 25 '!D18</f>
        <v>105180000</v>
      </c>
      <c r="F5" s="1054">
        <f>+'ADI 462 AGO25'!D18</f>
        <v>106933000</v>
      </c>
      <c r="G5" s="1054">
        <f>+'ADI 09-25'!C18</f>
        <v>106933000</v>
      </c>
      <c r="H5" s="1053">
        <f>G5/H3</f>
        <v>1753000</v>
      </c>
      <c r="I5" s="1055">
        <f>+'Proc. 12-25'!C2+1</f>
        <v>264445081.16</v>
      </c>
      <c r="J5" s="1055">
        <f>+'Proc. 12-25'!D2</f>
        <v>264445081.16</v>
      </c>
      <c r="K5" s="1055">
        <f>+'Flujo y Ejecución 10-25'!H14</f>
        <v>0</v>
      </c>
      <c r="L5" s="1055"/>
      <c r="M5" s="1055"/>
      <c r="N5" s="1055"/>
      <c r="O5" s="1055">
        <f t="shared" ref="O5:O11" si="0">+J5-L5-M5+N5</f>
        <v>264445081.16</v>
      </c>
      <c r="P5" s="1056">
        <f>I5-O5</f>
        <v>0</v>
      </c>
      <c r="Q5" s="1056">
        <f t="shared" ref="Q5:Q11" si="1">+G5-I5</f>
        <v>-157512081.16</v>
      </c>
      <c r="R5" s="183"/>
      <c r="S5" s="183"/>
      <c r="T5" s="183"/>
      <c r="U5" s="183"/>
    </row>
    <row r="6" spans="1:21">
      <c r="B6" s="1044" t="s">
        <v>35</v>
      </c>
      <c r="C6" s="1017">
        <f>SUM('budget (11)'!D11:D24)</f>
        <v>451758999.99999994</v>
      </c>
      <c r="D6" s="1057">
        <v>451758999.99999994</v>
      </c>
      <c r="E6" s="1057">
        <f>+'ADI 462 julio 25 '!D19</f>
        <v>461429397</v>
      </c>
      <c r="F6" s="1058">
        <f>+'ADI 462 AGO25'!D19</f>
        <v>469173666.60000002</v>
      </c>
      <c r="G6" s="1058">
        <f>+'ADI 09-25'!C19</f>
        <v>469173666.60000002</v>
      </c>
      <c r="H6" s="1057">
        <f>G6/$H$3</f>
        <v>7691371.5836065579</v>
      </c>
      <c r="I6" s="1059">
        <f>+'Proc. 12-25'!C4</f>
        <v>34260105.009999998</v>
      </c>
      <c r="J6" s="1059">
        <f>+'Proc. 12-25'!D4</f>
        <v>34011769.700000003</v>
      </c>
      <c r="K6" s="1059"/>
      <c r="L6" s="1059"/>
      <c r="M6" s="1059">
        <f>+'CXP 12-25 RES'!H8</f>
        <v>68331.149999999994</v>
      </c>
      <c r="N6" s="1059"/>
      <c r="O6" s="1059">
        <f t="shared" si="0"/>
        <v>33943438.550000004</v>
      </c>
      <c r="P6" s="1060">
        <f>I6-O6</f>
        <v>316666.45999999344</v>
      </c>
      <c r="Q6" s="1060">
        <f t="shared" si="1"/>
        <v>434913561.59000003</v>
      </c>
      <c r="R6" s="183"/>
      <c r="S6" s="184"/>
      <c r="T6" s="183"/>
      <c r="U6" s="183"/>
    </row>
    <row r="7" spans="1:21" ht="13.95" customHeight="1">
      <c r="B7" s="1044" t="s">
        <v>38</v>
      </c>
      <c r="C7" s="1020">
        <f>SUM('budget (11)'!D25:D39)</f>
        <v>1265953920</v>
      </c>
      <c r="D7" s="1057">
        <f>1447934796</f>
        <v>1447934796</v>
      </c>
      <c r="E7" s="1057">
        <f>+'ADI 462 julio 25 '!D22</f>
        <v>1521122757</v>
      </c>
      <c r="F7" s="1058">
        <f>+'ADI 462 AGO25'!D20</f>
        <v>1517166651</v>
      </c>
      <c r="G7" s="1058">
        <f>+'ADI 09-25'!C20</f>
        <v>1517166651</v>
      </c>
      <c r="H7" s="1057">
        <f t="shared" ref="H7:H11" si="2">G7/$H$3</f>
        <v>24871584.442622952</v>
      </c>
      <c r="I7" s="1061">
        <f>+'Proc. 12-25'!C5</f>
        <v>1410570.24</v>
      </c>
      <c r="J7" s="1061">
        <f>+'Proc. 12-25'!D5</f>
        <v>991237.18</v>
      </c>
      <c r="K7" s="1061"/>
      <c r="L7" s="1061"/>
      <c r="M7" s="1061">
        <f>+'CXP 12-25 RES'!H9</f>
        <v>816492.1100000001</v>
      </c>
      <c r="N7" s="1061"/>
      <c r="O7" s="1061">
        <f t="shared" si="0"/>
        <v>174745.06999999995</v>
      </c>
      <c r="P7" s="1062">
        <f>I7-O7</f>
        <v>1235825.17</v>
      </c>
      <c r="Q7" s="1062">
        <f t="shared" si="1"/>
        <v>1515756080.76</v>
      </c>
      <c r="R7" s="183"/>
      <c r="S7" s="184"/>
      <c r="T7" s="183"/>
      <c r="U7" s="183"/>
    </row>
    <row r="8" spans="1:21" ht="13.95" customHeight="1">
      <c r="B8" s="1044" t="s">
        <v>767</v>
      </c>
      <c r="C8" s="1020">
        <f>SUM('budget (11)'!D40:D41)</f>
        <v>171771292</v>
      </c>
      <c r="D8" s="1057">
        <v>189969380</v>
      </c>
      <c r="E8" s="1057">
        <f>+'ADI 462 julio 25 '!D23</f>
        <v>198255215.40000001</v>
      </c>
      <c r="F8" s="1058">
        <f>+'ADI 462 AGO25'!D21</f>
        <v>198634031.75999999</v>
      </c>
      <c r="G8" s="1058">
        <f>+'ADI 09-25'!C21</f>
        <v>234388157.47679996</v>
      </c>
      <c r="H8" s="1057">
        <f t="shared" si="2"/>
        <v>3842428.8110950813</v>
      </c>
      <c r="I8" s="1061">
        <f>+'Proc. 12-25'!C6</f>
        <v>25848093.649999999</v>
      </c>
      <c r="J8" s="1061">
        <f>+'Proc. 12-25'!D6</f>
        <v>25831306.359999999</v>
      </c>
      <c r="K8" s="1061"/>
      <c r="L8" s="1061"/>
      <c r="M8" s="1061"/>
      <c r="N8" s="1061"/>
      <c r="O8" s="1061">
        <f t="shared" si="0"/>
        <v>25831306.359999999</v>
      </c>
      <c r="P8" s="1062">
        <f>I8-O8</f>
        <v>16787.289999999106</v>
      </c>
      <c r="Q8" s="1062">
        <f t="shared" si="1"/>
        <v>208540063.82679996</v>
      </c>
      <c r="R8" s="183"/>
      <c r="S8" s="184"/>
      <c r="T8" s="183"/>
      <c r="U8" s="183"/>
    </row>
    <row r="9" spans="1:21" ht="13.95" customHeight="1">
      <c r="B9" s="1044" t="s">
        <v>1607</v>
      </c>
      <c r="C9" s="1114"/>
      <c r="D9" s="1057">
        <v>0</v>
      </c>
      <c r="E9" s="1057">
        <v>0</v>
      </c>
      <c r="F9" s="1058">
        <f>+'ADI 462 AGO25'!D22</f>
        <v>19863403.175999999</v>
      </c>
      <c r="G9" s="1058">
        <f>+'ADI 09-25'!C22</f>
        <v>19264643</v>
      </c>
      <c r="H9" s="1057">
        <f t="shared" si="2"/>
        <v>315813.81967213115</v>
      </c>
      <c r="I9" s="1061">
        <f>+'Proc. 12-25'!C9</f>
        <v>2027857.2</v>
      </c>
      <c r="J9" s="1061">
        <f>+'Proc. 12-25'!D9</f>
        <v>2027857.2</v>
      </c>
      <c r="K9" s="1061"/>
      <c r="L9" s="1061"/>
      <c r="M9" s="1061">
        <f>+'CXP 12-25 RES'!H11</f>
        <v>506964.3</v>
      </c>
      <c r="N9" s="1061"/>
      <c r="O9" s="1061">
        <f t="shared" si="0"/>
        <v>1520892.9</v>
      </c>
      <c r="P9" s="1062"/>
      <c r="Q9" s="1062">
        <f t="shared" si="1"/>
        <v>17236785.800000001</v>
      </c>
      <c r="R9" s="183"/>
      <c r="S9" s="184"/>
      <c r="T9" s="183"/>
      <c r="U9" s="183"/>
    </row>
    <row r="10" spans="1:21">
      <c r="B10" s="1044" t="s">
        <v>40</v>
      </c>
      <c r="C10" s="1020">
        <f>SUM('budget (11)'!D42)</f>
        <v>34354258</v>
      </c>
      <c r="D10" s="1057">
        <v>37993876</v>
      </c>
      <c r="E10" s="1057">
        <f>+'ADI 462 julio 25 '!D24/2</f>
        <v>39651043.079999998</v>
      </c>
      <c r="F10" s="1058">
        <f>+'ADI 462 AGO25'!D23</f>
        <v>47672167.622400001</v>
      </c>
      <c r="G10" s="1058">
        <f>+'ADI 09-25'!C23</f>
        <v>47672167.622400001</v>
      </c>
      <c r="H10" s="1057">
        <f t="shared" si="2"/>
        <v>781510.94462950819</v>
      </c>
      <c r="I10" s="1061">
        <f>+'Proc. 12-25'!C7</f>
        <v>945000.45</v>
      </c>
      <c r="J10" s="1061">
        <f>+'Proc. 12-25'!D7</f>
        <v>945000.45</v>
      </c>
      <c r="K10" s="1061"/>
      <c r="L10" s="1061"/>
      <c r="M10" s="1061">
        <f>+'CXP 12-25 RES'!H10</f>
        <v>92700.800000000003</v>
      </c>
      <c r="N10" s="1061"/>
      <c r="O10" s="1061">
        <f t="shared" si="0"/>
        <v>852299.64999999991</v>
      </c>
      <c r="P10" s="1062">
        <f>I10-O10</f>
        <v>92700.800000000047</v>
      </c>
      <c r="Q10" s="1062">
        <f t="shared" si="1"/>
        <v>46727167.172399998</v>
      </c>
      <c r="R10" s="183"/>
      <c r="S10" s="184"/>
      <c r="T10" s="183"/>
      <c r="U10" s="183"/>
    </row>
    <row r="11" spans="1:21">
      <c r="B11" s="1044" t="s">
        <v>764</v>
      </c>
      <c r="C11" s="1020">
        <v>0</v>
      </c>
      <c r="D11" s="1057">
        <v>37993876</v>
      </c>
      <c r="E11" s="1057">
        <f>+'ADI 462 julio 25 '!D24/2</f>
        <v>39651043.079999998</v>
      </c>
      <c r="F11" s="1058">
        <f>+'ADI 462 AGO25'!D24</f>
        <v>39726806.351999998</v>
      </c>
      <c r="G11" s="1058">
        <f>+'ADI 09-25'!C24</f>
        <v>39726806.351999998</v>
      </c>
      <c r="H11" s="1057">
        <f t="shared" si="2"/>
        <v>651259.12052459014</v>
      </c>
      <c r="I11" s="1061">
        <f>+'Proc. 12-25'!C8</f>
        <v>0</v>
      </c>
      <c r="J11" s="1061">
        <f>+'Proc. 12-25'!D8</f>
        <v>0</v>
      </c>
      <c r="K11" s="1061"/>
      <c r="L11" s="1061"/>
      <c r="M11" s="1061"/>
      <c r="N11" s="1061"/>
      <c r="O11" s="1061">
        <f t="shared" si="0"/>
        <v>0</v>
      </c>
      <c r="P11" s="1062">
        <f>I11-O11</f>
        <v>0</v>
      </c>
      <c r="Q11" s="1062">
        <f t="shared" si="1"/>
        <v>39726806.351999998</v>
      </c>
      <c r="R11" s="183"/>
      <c r="S11" s="184"/>
      <c r="T11" s="183"/>
      <c r="U11" s="183"/>
    </row>
    <row r="12" spans="1:21">
      <c r="B12" s="254" t="s">
        <v>41</v>
      </c>
      <c r="C12" s="665">
        <f>SUM(C6:C10)</f>
        <v>1923838470</v>
      </c>
      <c r="D12" s="1063">
        <f t="shared" ref="D12:Q12" si="3">SUM(D6:D11)</f>
        <v>2165650928</v>
      </c>
      <c r="E12" s="1063">
        <f t="shared" si="3"/>
        <v>2260109455.5599999</v>
      </c>
      <c r="F12" s="1063">
        <f t="shared" si="3"/>
        <v>2292236726.5103998</v>
      </c>
      <c r="G12" s="1063">
        <f t="shared" si="3"/>
        <v>2327392092.0511999</v>
      </c>
      <c r="H12" s="1063">
        <f t="shared" si="3"/>
        <v>38153968.722150818</v>
      </c>
      <c r="I12" s="1064">
        <f t="shared" si="3"/>
        <v>64491626.550000004</v>
      </c>
      <c r="J12" s="1064">
        <f t="shared" ref="J12" si="4">SUM(J6:J11)</f>
        <v>63807170.890000008</v>
      </c>
      <c r="K12" s="1064">
        <f t="shared" si="3"/>
        <v>0</v>
      </c>
      <c r="L12" s="1064">
        <f t="shared" si="3"/>
        <v>0</v>
      </c>
      <c r="M12" s="1064">
        <f>SUM(M6:M11)</f>
        <v>1484488.36</v>
      </c>
      <c r="N12" s="1064">
        <f t="shared" si="3"/>
        <v>0</v>
      </c>
      <c r="O12" s="1064">
        <f t="shared" si="3"/>
        <v>62322682.530000001</v>
      </c>
      <c r="P12" s="1064">
        <f t="shared" si="3"/>
        <v>1661979.7199999925</v>
      </c>
      <c r="Q12" s="1064">
        <f t="shared" si="3"/>
        <v>2262900465.5011997</v>
      </c>
      <c r="R12" s="183"/>
      <c r="S12" s="184"/>
      <c r="T12" s="183"/>
      <c r="U12" s="183"/>
    </row>
    <row r="13" spans="1:21">
      <c r="B13" s="1044" t="s">
        <v>42</v>
      </c>
      <c r="C13" s="1023">
        <f>SUM('budget (11)'!D43)</f>
        <v>137417034</v>
      </c>
      <c r="D13" s="1065">
        <v>151975504</v>
      </c>
      <c r="E13" s="1057">
        <f>+'ADI 462 julio 25 '!D26</f>
        <v>158604172.31999999</v>
      </c>
      <c r="F13" s="1058">
        <f>+'ADI 462 AGO25'!D26</f>
        <v>158907225.40799999</v>
      </c>
      <c r="G13" s="1058">
        <f>+'ADI 09-25'!C26</f>
        <v>187510525.98143998</v>
      </c>
      <c r="H13" s="1057">
        <f>G13/$H$3</f>
        <v>3073943.0488760653</v>
      </c>
      <c r="I13" s="1066">
        <f>+'Proc. 12-25'!C10</f>
        <v>16091175.970000001</v>
      </c>
      <c r="J13" s="1066">
        <f>+'Proc. 12-25'!D10</f>
        <v>16091175.970000001</v>
      </c>
      <c r="K13" s="1066"/>
      <c r="L13" s="1066"/>
      <c r="M13" s="1066"/>
      <c r="N13" s="1066"/>
      <c r="O13" s="1066">
        <f>+J13-L13-M13+N13</f>
        <v>16091175.970000001</v>
      </c>
      <c r="P13" s="1066">
        <f>I13-O13</f>
        <v>0</v>
      </c>
      <c r="Q13" s="1066">
        <f>+G13-I13</f>
        <v>171419350.01143998</v>
      </c>
      <c r="R13" s="183"/>
      <c r="S13" s="184"/>
      <c r="T13" s="183"/>
      <c r="U13" s="183"/>
    </row>
    <row r="14" spans="1:21">
      <c r="B14" s="1044" t="s">
        <v>43</v>
      </c>
      <c r="C14" s="1023">
        <f>SUM('budget (11)'!D45:D46)</f>
        <v>281704919</v>
      </c>
      <c r="D14" s="1065">
        <v>308130334</v>
      </c>
      <c r="E14" s="1065">
        <f>+'ADI 462 julio 25 '!D27</f>
        <v>356859387.71999997</v>
      </c>
      <c r="F14" s="1067">
        <f>+'ADI 462 AGO25'!D27</f>
        <v>365486618.43839997</v>
      </c>
      <c r="G14" s="1067">
        <f>+'ADI 09-25'!C27</f>
        <v>327746152.40399998</v>
      </c>
      <c r="H14" s="1057">
        <f>G14/$H$3</f>
        <v>5372887.7443278683</v>
      </c>
      <c r="I14" s="1066">
        <f>+'Proc. 12-25'!C11</f>
        <v>75937988.409999996</v>
      </c>
      <c r="J14" s="1066">
        <f>+'Proc. 12-25'!D11</f>
        <v>75937988.409999996</v>
      </c>
      <c r="K14" s="1066"/>
      <c r="L14" s="1066"/>
      <c r="M14" s="1066">
        <f>+'CXP 12-25 RES'!H12+'CXP 12-25 RES'!H13</f>
        <v>860248.32</v>
      </c>
      <c r="N14" s="1066"/>
      <c r="O14" s="1066">
        <f>+J14-L14-M14+N14</f>
        <v>75077740.090000004</v>
      </c>
      <c r="P14" s="1066">
        <f>I14-O14</f>
        <v>860248.31999999285</v>
      </c>
      <c r="Q14" s="1066">
        <f>+G14-I14</f>
        <v>251808163.99399999</v>
      </c>
      <c r="R14" s="183"/>
      <c r="S14" s="184"/>
      <c r="T14" s="183"/>
      <c r="U14" s="183"/>
    </row>
    <row r="15" spans="1:21">
      <c r="B15" s="1044" t="s">
        <v>44</v>
      </c>
      <c r="C15" s="1023">
        <f>SUM('budget (11)'!D47)</f>
        <v>67334346</v>
      </c>
      <c r="D15" s="1065">
        <v>75797782</v>
      </c>
      <c r="E15" s="1065">
        <f>+'ADI 462 julio 25 '!D28</f>
        <v>79103830.944600001</v>
      </c>
      <c r="F15" s="1067">
        <f>+'ADI 462 AGO25'!D28</f>
        <v>80228285.427864</v>
      </c>
      <c r="G15" s="1067">
        <f>+'ADI 09-25'!C28</f>
        <v>81458723.221791998</v>
      </c>
      <c r="H15" s="1057">
        <f>G15/$H$3</f>
        <v>1335388.9052752787</v>
      </c>
      <c r="I15" s="1066">
        <f>+'Proc. 12-25'!C12</f>
        <v>2561939.65</v>
      </c>
      <c r="J15" s="1066">
        <f>+'Proc. 12-25'!D12</f>
        <v>2561939.65</v>
      </c>
      <c r="K15" s="1066"/>
      <c r="L15" s="1066"/>
      <c r="M15" s="1066"/>
      <c r="N15" s="1066"/>
      <c r="O15" s="1066">
        <f>+J15-L15-M15+N15</f>
        <v>2561939.65</v>
      </c>
      <c r="P15" s="1066">
        <f>I15-O15</f>
        <v>0</v>
      </c>
      <c r="Q15" s="1066">
        <f>+G15-I15</f>
        <v>78896783.571791992</v>
      </c>
      <c r="R15" s="183"/>
      <c r="S15" s="184"/>
      <c r="T15" s="183"/>
      <c r="U15" s="183"/>
    </row>
    <row r="16" spans="1:21">
      <c r="A16">
        <v>1</v>
      </c>
      <c r="B16" s="1044" t="s">
        <v>45</v>
      </c>
      <c r="C16" s="1023">
        <f>SUM('budget (11)'!D48:D49)</f>
        <v>51531387.949999996</v>
      </c>
      <c r="D16" s="1065">
        <v>56990814</v>
      </c>
      <c r="E16" s="1065">
        <f>+'ADI 462 julio 25 '!D29</f>
        <v>59476564.619999997</v>
      </c>
      <c r="F16" s="1067">
        <f>+'ADI 462 AGO25'!D29</f>
        <v>69521911.115999997</v>
      </c>
      <c r="G16" s="1067">
        <f>+'ADI 09-25'!C29</f>
        <v>69521911.115999997</v>
      </c>
      <c r="H16" s="1057">
        <f>G16/$H$3</f>
        <v>1139703.4609180328</v>
      </c>
      <c r="I16" s="1066">
        <f>+'Proc. 12-25'!C13</f>
        <v>26411333.16</v>
      </c>
      <c r="J16" s="1066">
        <f>+'Proc. 12-25'!D13</f>
        <v>25398992.379999999</v>
      </c>
      <c r="K16" s="1066"/>
      <c r="L16" s="1066">
        <f>+'CXP MMHB 12-25'!E19</f>
        <v>148544.28</v>
      </c>
      <c r="M16" s="1066">
        <f>+'CXP 12-25 RES'!H14+'CXP 12-25 RES'!H15</f>
        <v>497491.5</v>
      </c>
      <c r="N16" s="1066">
        <f>+'Anticipos 12-25'!D7</f>
        <v>16057.44</v>
      </c>
      <c r="O16" s="1066">
        <f>+J16-L16-M16+N16</f>
        <v>24769014.039999999</v>
      </c>
      <c r="P16" s="1066">
        <f>I16-O16</f>
        <v>1642319.120000001</v>
      </c>
      <c r="Q16" s="1066">
        <f>+G16-I16</f>
        <v>43110577.956</v>
      </c>
      <c r="R16" s="183"/>
      <c r="S16" s="184"/>
      <c r="T16" s="183"/>
      <c r="U16" s="183"/>
    </row>
    <row r="17" spans="2:21">
      <c r="B17" s="1044" t="s">
        <v>46</v>
      </c>
      <c r="C17" s="1023">
        <f>SUM('budget (11)'!D50)</f>
        <v>19238385</v>
      </c>
      <c r="D17" s="1065">
        <v>21656506</v>
      </c>
      <c r="E17" s="1065">
        <f>+'ADI 462 julio 25 '!D30</f>
        <v>19825521.539999999</v>
      </c>
      <c r="F17" s="1067">
        <f>+'ADI 462 AGO25'!D30</f>
        <v>19863403.175999999</v>
      </c>
      <c r="G17" s="1067">
        <f>+'ADI 09-25'!C30</f>
        <v>19863403.175999999</v>
      </c>
      <c r="H17" s="1057">
        <f>G17/$H$3</f>
        <v>325629.56026229507</v>
      </c>
      <c r="I17" s="1066">
        <f>+'Proc. 12-25'!C14</f>
        <v>0</v>
      </c>
      <c r="J17" s="1066">
        <f>+'Proc. 12-25'!D14</f>
        <v>0</v>
      </c>
      <c r="K17" s="1066"/>
      <c r="L17" s="1066"/>
      <c r="M17" s="1066"/>
      <c r="N17" s="1066"/>
      <c r="O17" s="1066">
        <f>+J17-L17-M17+N17</f>
        <v>0</v>
      </c>
      <c r="P17" s="1066">
        <f>I17-O17</f>
        <v>0</v>
      </c>
      <c r="Q17" s="1066">
        <f>+G17-I17</f>
        <v>19863403.175999999</v>
      </c>
      <c r="R17" s="183"/>
      <c r="S17" s="184"/>
      <c r="T17" s="183"/>
      <c r="U17" s="183"/>
    </row>
    <row r="18" spans="2:21">
      <c r="B18" s="254" t="s">
        <v>47</v>
      </c>
      <c r="C18" s="665">
        <f t="shared" ref="C18:P18" si="5">SUM(C13:C17)</f>
        <v>557226071.95000005</v>
      </c>
      <c r="D18" s="1063">
        <f t="shared" si="5"/>
        <v>614550940</v>
      </c>
      <c r="E18" s="1063">
        <f t="shared" ref="E18:G18" si="6">SUM(E13:E17)</f>
        <v>673869477.14459991</v>
      </c>
      <c r="F18" s="1063">
        <f t="shared" si="6"/>
        <v>694007443.56626403</v>
      </c>
      <c r="G18" s="1063">
        <f t="shared" si="6"/>
        <v>686100715.89923203</v>
      </c>
      <c r="H18" s="1063">
        <f>SUM(H13:H17)</f>
        <v>11247552.719659541</v>
      </c>
      <c r="I18" s="1064">
        <f>SUM(I13:I17)</f>
        <v>121002437.19</v>
      </c>
      <c r="J18" s="1064">
        <f>SUM(J13:J17)</f>
        <v>119990096.41</v>
      </c>
      <c r="K18" s="1064">
        <f t="shared" ref="K18:L18" si="7">SUM(K13:K17)</f>
        <v>0</v>
      </c>
      <c r="L18" s="1064">
        <f t="shared" si="7"/>
        <v>148544.28</v>
      </c>
      <c r="M18" s="1064">
        <f>SUM(M13:M17)</f>
        <v>1357739.8199999998</v>
      </c>
      <c r="N18" s="1064">
        <f t="shared" si="5"/>
        <v>16057.44</v>
      </c>
      <c r="O18" s="1064">
        <f t="shared" si="5"/>
        <v>118499869.75</v>
      </c>
      <c r="P18" s="1064">
        <f t="shared" si="5"/>
        <v>2502567.4399999939</v>
      </c>
      <c r="Q18" s="1064">
        <f t="shared" ref="Q18" si="8">SUM(Q13:Q17)</f>
        <v>565098278.70923197</v>
      </c>
      <c r="R18" s="183"/>
      <c r="S18" s="184"/>
      <c r="T18" s="183"/>
      <c r="U18" s="183"/>
    </row>
    <row r="19" spans="2:21">
      <c r="B19" s="1044" t="s">
        <v>48</v>
      </c>
      <c r="C19" s="1023">
        <f>SUM('budget (11)'!D51:D52)</f>
        <v>15000000</v>
      </c>
      <c r="D19" s="1065">
        <v>30500000</v>
      </c>
      <c r="E19" s="1065">
        <f>+'ADI 462 julio 25 '!D32</f>
        <v>30500000</v>
      </c>
      <c r="F19" s="1067">
        <f>+'ADI 462 AGO25'!D32</f>
        <v>30500000</v>
      </c>
      <c r="G19" s="1067">
        <f>+'ADI 09-25'!C32</f>
        <v>30500000</v>
      </c>
      <c r="H19" s="1065">
        <f>G19/$H$3</f>
        <v>500000</v>
      </c>
      <c r="I19" s="1066">
        <f>+'Proc. 12-25'!C15</f>
        <v>23517978.77</v>
      </c>
      <c r="J19" s="1066">
        <f>+'Proc. 12-25'!D15</f>
        <v>20612016.449999999</v>
      </c>
      <c r="K19" s="1066"/>
      <c r="L19" s="1066"/>
      <c r="M19" s="1066">
        <f>+'CXP 12-25 RES'!H16</f>
        <v>31500</v>
      </c>
      <c r="N19" s="1066">
        <f>+'Anticipos 12-25'!D5</f>
        <v>6671.88</v>
      </c>
      <c r="O19" s="1066">
        <f>+J19-L19-M19+N19</f>
        <v>20587188.329999998</v>
      </c>
      <c r="P19" s="1066">
        <f>I19-O19</f>
        <v>2930790.4400000013</v>
      </c>
      <c r="Q19" s="1066">
        <f>+G19-I19</f>
        <v>6982021.2300000004</v>
      </c>
      <c r="R19" s="183"/>
      <c r="S19" s="184"/>
      <c r="T19" s="183"/>
      <c r="U19" s="185"/>
    </row>
    <row r="20" spans="2:21">
      <c r="B20" s="1044" t="s">
        <v>49</v>
      </c>
      <c r="C20" s="1023">
        <f>SUM('budget (11)'!D4:D10)</f>
        <v>20789999.999999996</v>
      </c>
      <c r="D20" s="1065">
        <v>20789999.999999996</v>
      </c>
      <c r="E20" s="1065">
        <f>+'ADI 462 julio 25 '!D33</f>
        <v>25000000</v>
      </c>
      <c r="F20" s="1067">
        <f>+'ADI 462 AGO25'!D33</f>
        <v>25000000</v>
      </c>
      <c r="G20" s="1067">
        <f>+'ADI 09-25'!C33</f>
        <v>25000000</v>
      </c>
      <c r="H20" s="1065">
        <f>G20/$H$3</f>
        <v>409836.06557377049</v>
      </c>
      <c r="I20" s="1066">
        <f>+'Proc. 12-25'!C3</f>
        <v>24418753.809999999</v>
      </c>
      <c r="J20" s="1066">
        <f>+'Proc. 12-25'!D3</f>
        <v>23983270.809999999</v>
      </c>
      <c r="K20" s="1066">
        <f>+'Proc. 12-25'!F3</f>
        <v>278099.52</v>
      </c>
      <c r="L20" s="1066"/>
      <c r="M20" s="1066">
        <f>+'CXP 12-25 RES'!H7</f>
        <v>1427678.42</v>
      </c>
      <c r="N20" s="1066">
        <f>+'Anticipos 12-25'!D3</f>
        <v>273000</v>
      </c>
      <c r="O20" s="1066">
        <f>+J20-L20-M20+N20</f>
        <v>22828592.390000001</v>
      </c>
      <c r="P20" s="1066">
        <f>I20-O20</f>
        <v>1590161.4199999981</v>
      </c>
      <c r="Q20" s="1066">
        <f>+G20-I20</f>
        <v>581246.19000000134</v>
      </c>
      <c r="R20" s="183"/>
      <c r="S20" s="184"/>
      <c r="T20" s="183"/>
      <c r="U20" s="183"/>
    </row>
    <row r="21" spans="2:21">
      <c r="B21" s="1044" t="s">
        <v>50</v>
      </c>
      <c r="C21" s="1023">
        <f>SUM('budget (11)'!D54)</f>
        <v>192383847</v>
      </c>
      <c r="D21" s="1065">
        <v>216565093</v>
      </c>
      <c r="E21" s="1065">
        <f>+'ADI 462 julio 25 '!D34</f>
        <v>226010945.55599999</v>
      </c>
      <c r="F21" s="1067">
        <f>+'ADI 462 AGO25'!D34</f>
        <v>229223672.65103999</v>
      </c>
      <c r="G21" s="1067">
        <f>+'ADI 09-25'!C34</f>
        <v>232739209.20512</v>
      </c>
      <c r="H21" s="1065">
        <f>G21/$H$3</f>
        <v>3815396.8722150819</v>
      </c>
      <c r="I21" s="1066">
        <f>+'Proc. 12-25'!C16</f>
        <v>4414348</v>
      </c>
      <c r="J21" s="1066">
        <f>+'Proc. 12-25'!D16</f>
        <v>4414348</v>
      </c>
      <c r="K21" s="1066"/>
      <c r="L21" s="1066"/>
      <c r="M21" s="1066"/>
      <c r="N21" s="1066"/>
      <c r="O21" s="1066">
        <f>+J21-L21-M21+N21</f>
        <v>4414348</v>
      </c>
      <c r="P21" s="1066">
        <f>I21-O21</f>
        <v>0</v>
      </c>
      <c r="Q21" s="1066">
        <f>+G21-I21</f>
        <v>228324861.20512</v>
      </c>
      <c r="R21" s="183"/>
      <c r="S21" s="184"/>
      <c r="T21" s="183"/>
      <c r="U21" s="183"/>
    </row>
    <row r="22" spans="2:21">
      <c r="B22" s="1044" t="s">
        <v>51</v>
      </c>
      <c r="C22" s="1023">
        <f>SUM('budget (11)'!D53)</f>
        <v>19238385</v>
      </c>
      <c r="D22" s="1065">
        <v>21656509</v>
      </c>
      <c r="E22" s="1065">
        <f>+'ADI 462 julio 25 '!D35</f>
        <v>19825521.539999999</v>
      </c>
      <c r="F22" s="1067">
        <f>+'ADI 462 AGO25'!D35</f>
        <v>19863403.175999999</v>
      </c>
      <c r="G22" s="1067">
        <f>+'ADI 09-25'!C35</f>
        <v>19863403.175999999</v>
      </c>
      <c r="H22" s="1065">
        <f>G22/$H$3</f>
        <v>325629.56026229507</v>
      </c>
      <c r="I22" s="1066">
        <f>+'Proc. 12-25'!C17</f>
        <v>0</v>
      </c>
      <c r="J22" s="1066">
        <f>+'Proc. 12-25'!D17</f>
        <v>0</v>
      </c>
      <c r="K22" s="1066"/>
      <c r="L22" s="1066"/>
      <c r="M22" s="1066"/>
      <c r="N22" s="1066"/>
      <c r="O22" s="1066">
        <f>+J22-L22-M22+N22</f>
        <v>0</v>
      </c>
      <c r="P22" s="1066">
        <f>I22-O22</f>
        <v>0</v>
      </c>
      <c r="Q22" s="1066">
        <f>+G22-I22</f>
        <v>19863403.175999999</v>
      </c>
      <c r="R22" s="183"/>
      <c r="S22" s="184"/>
      <c r="T22" s="183"/>
      <c r="U22" s="183"/>
    </row>
    <row r="23" spans="2:21" ht="15" thickBot="1">
      <c r="B23" s="254" t="s">
        <v>52</v>
      </c>
      <c r="C23" s="665">
        <f t="shared" ref="C23:Q23" si="9">SUM(C19:C22)</f>
        <v>247412232</v>
      </c>
      <c r="D23" s="1063">
        <f t="shared" si="9"/>
        <v>289511602</v>
      </c>
      <c r="E23" s="1063">
        <f t="shared" ref="E23" si="10">SUM(E19:E22)</f>
        <v>301336467.09600002</v>
      </c>
      <c r="F23" s="1063">
        <f>SUM(F19:F22)</f>
        <v>304587075.82703996</v>
      </c>
      <c r="G23" s="1063">
        <f>SUM(G19:G22)</f>
        <v>308102612.38111997</v>
      </c>
      <c r="H23" s="1063">
        <f>SUM(H19:H22)</f>
        <v>5050862.4980511479</v>
      </c>
      <c r="I23" s="1064">
        <f>SUM(I19:I22)</f>
        <v>52351080.579999998</v>
      </c>
      <c r="J23" s="1064">
        <f>SUM(J19:J22)</f>
        <v>49009635.259999998</v>
      </c>
      <c r="K23" s="1064">
        <f t="shared" ref="K23:L23" si="11">SUM(K19:K22)</f>
        <v>278099.52</v>
      </c>
      <c r="L23" s="1064">
        <f t="shared" si="11"/>
        <v>0</v>
      </c>
      <c r="M23" s="1064">
        <f>SUM(M19:M22)</f>
        <v>1459178.42</v>
      </c>
      <c r="N23" s="1064">
        <f t="shared" si="9"/>
        <v>279671.88</v>
      </c>
      <c r="O23" s="1064">
        <f t="shared" si="9"/>
        <v>47830128.719999999</v>
      </c>
      <c r="P23" s="1064">
        <f t="shared" si="9"/>
        <v>4520951.8599999994</v>
      </c>
      <c r="Q23" s="1064">
        <f t="shared" si="9"/>
        <v>255751531.80111998</v>
      </c>
      <c r="R23" s="183"/>
      <c r="S23" s="184"/>
      <c r="T23" s="183"/>
      <c r="U23" s="183"/>
    </row>
    <row r="24" spans="2:21" ht="16.2" thickBot="1">
      <c r="B24" s="1041" t="s">
        <v>1156</v>
      </c>
      <c r="C24" s="1042">
        <f t="shared" ref="C24:H24" si="12">C5+C12+C18+C23</f>
        <v>2831861942.9499998</v>
      </c>
      <c r="D24" s="1068">
        <f t="shared" si="12"/>
        <v>3173098639</v>
      </c>
      <c r="E24" s="1043">
        <f t="shared" si="12"/>
        <v>3340495399.8006001</v>
      </c>
      <c r="F24" s="1043">
        <f t="shared" si="12"/>
        <v>3397764245.9037037</v>
      </c>
      <c r="G24" s="1043">
        <f t="shared" si="12"/>
        <v>3428528420.3315516</v>
      </c>
      <c r="H24" s="1043">
        <f t="shared" si="12"/>
        <v>56205383.939861506</v>
      </c>
      <c r="I24" s="1043">
        <f t="shared" ref="I24:Q24" si="13">I23+I18+I12+I5</f>
        <v>502290225.48000002</v>
      </c>
      <c r="J24" s="1043">
        <f t="shared" ref="J24" si="14">J23+J18+J12+J5</f>
        <v>497251983.72000003</v>
      </c>
      <c r="K24" s="1043">
        <f t="shared" si="13"/>
        <v>278099.52</v>
      </c>
      <c r="L24" s="1043">
        <f t="shared" si="13"/>
        <v>148544.28</v>
      </c>
      <c r="M24" s="1043">
        <f>M23+M18+M12+M5</f>
        <v>4301406.5999999996</v>
      </c>
      <c r="N24" s="1043">
        <f t="shared" si="13"/>
        <v>295729.32</v>
      </c>
      <c r="O24" s="1043">
        <f t="shared" si="13"/>
        <v>493097762.15999997</v>
      </c>
      <c r="P24" s="1043">
        <f t="shared" si="13"/>
        <v>8685499.0199999865</v>
      </c>
      <c r="Q24" s="1043">
        <f t="shared" si="13"/>
        <v>2926238194.851552</v>
      </c>
      <c r="R24" s="183"/>
      <c r="S24" s="184"/>
      <c r="T24" s="183"/>
      <c r="U24" s="183"/>
    </row>
    <row r="25" spans="2:21" ht="15" thickBot="1">
      <c r="E25" s="509"/>
      <c r="H25" s="509"/>
      <c r="I25" s="369"/>
      <c r="J25" s="369"/>
      <c r="K25" s="369"/>
      <c r="L25" s="369"/>
      <c r="M25" s="369"/>
      <c r="N25" s="369"/>
      <c r="O25" s="730"/>
      <c r="P25" s="320"/>
      <c r="Q25" s="320"/>
    </row>
    <row r="26" spans="2:21" ht="15" thickBot="1">
      <c r="D26" s="320"/>
      <c r="E26" s="320"/>
      <c r="H26" s="320"/>
      <c r="I26" s="368"/>
      <c r="J26" s="368"/>
      <c r="K26" s="368"/>
      <c r="L26" s="368"/>
      <c r="M26" s="434" t="s">
        <v>653</v>
      </c>
      <c r="N26" s="435">
        <f>+'BCE 07-25'!C45</f>
        <v>159695773.63999999</v>
      </c>
      <c r="O26" s="1016"/>
      <c r="P26" s="142"/>
      <c r="Q26" s="142"/>
      <c r="S26" s="186" t="s">
        <v>189</v>
      </c>
      <c r="T26" s="190">
        <v>2831861942.3920002</v>
      </c>
    </row>
    <row r="27" spans="2:21" ht="18.600000000000001" thickBot="1">
      <c r="B27" s="333" t="s">
        <v>1447</v>
      </c>
      <c r="C27" s="672">
        <v>3515158425</v>
      </c>
      <c r="D27" s="672">
        <f t="shared" ref="D27" si="15">+D14/0.08</f>
        <v>3851629175</v>
      </c>
      <c r="E27" s="672">
        <f>+E28*60</f>
        <v>3996000000</v>
      </c>
      <c r="H27" s="672"/>
      <c r="I27" s="368"/>
      <c r="J27" s="368"/>
      <c r="K27" s="368"/>
      <c r="L27" s="368"/>
      <c r="M27" s="586" t="s">
        <v>1157</v>
      </c>
      <c r="N27" s="587">
        <f>+'BCE 07-25'!C33</f>
        <v>48015000</v>
      </c>
      <c r="O27" s="1016"/>
      <c r="P27" s="1098"/>
      <c r="Q27" s="142"/>
      <c r="S27" s="186"/>
      <c r="T27" s="190"/>
    </row>
    <row r="28" spans="2:21" ht="15" thickBot="1">
      <c r="C28" s="370">
        <f>+C27/59</f>
        <v>59578956.355932206</v>
      </c>
      <c r="D28" s="370">
        <f>+D27/59</f>
        <v>65281850.423728816</v>
      </c>
      <c r="E28" s="370">
        <v>66600000</v>
      </c>
      <c r="H28" s="370"/>
      <c r="I28" s="474"/>
      <c r="J28" s="368"/>
      <c r="M28" s="436" t="s">
        <v>654</v>
      </c>
      <c r="N28" s="437">
        <f>-'BCE 07-25'!C17</f>
        <v>-45448879.799999997</v>
      </c>
      <c r="O28" s="12"/>
      <c r="P28" s="320"/>
      <c r="Q28" s="320"/>
      <c r="S28" s="188" t="s">
        <v>190</v>
      </c>
      <c r="T28" s="189">
        <f>C24</f>
        <v>2831861942.9499998</v>
      </c>
    </row>
    <row r="29" spans="2:21" ht="15" thickBot="1">
      <c r="C29" s="489"/>
      <c r="D29" s="370"/>
      <c r="E29" s="370"/>
      <c r="H29" s="370"/>
      <c r="I29" s="474"/>
      <c r="M29" s="441" t="s">
        <v>655</v>
      </c>
      <c r="N29" s="442">
        <f>+'BCE 07-25'!C35+'BCE 07-25'!C36+'BCE 07-25'!C37+'BCE 07-25'!C38</f>
        <v>432311.75</v>
      </c>
      <c r="O29" s="445"/>
      <c r="P29" s="320"/>
      <c r="Q29" s="320"/>
      <c r="S29" s="187" t="s">
        <v>191</v>
      </c>
      <c r="T29" s="191">
        <f>T26-T28</f>
        <v>-0.55799961090087891</v>
      </c>
    </row>
    <row r="30" spans="2:21" ht="18.600000000000001" thickBot="1">
      <c r="B30" s="333" t="s">
        <v>1448</v>
      </c>
      <c r="C30" s="672">
        <f>+C27-C24</f>
        <v>683296482.05000019</v>
      </c>
      <c r="D30" s="672">
        <f t="shared" ref="D30" si="16">+D27-D24</f>
        <v>678530536</v>
      </c>
      <c r="E30" s="672">
        <f>+E27-E24</f>
        <v>655504600.19939995</v>
      </c>
      <c r="H30" s="672"/>
      <c r="I30" s="474"/>
      <c r="M30" s="441" t="s">
        <v>808</v>
      </c>
      <c r="N30" s="442">
        <f>+'BCE 07-25'!C34</f>
        <v>42907921.100000001</v>
      </c>
      <c r="O30" s="445"/>
      <c r="P30" s="320"/>
      <c r="Q30" s="320"/>
      <c r="S30" s="183"/>
      <c r="T30" s="508"/>
    </row>
    <row r="31" spans="2:21">
      <c r="C31" s="370">
        <f>+C30/59</f>
        <v>11581296.305932207</v>
      </c>
      <c r="D31" s="370">
        <f t="shared" ref="D31" si="17">+D30/59</f>
        <v>11500517.559322033</v>
      </c>
      <c r="E31" s="370">
        <f>+E30/60</f>
        <v>10925076.669989999</v>
      </c>
      <c r="H31" s="370"/>
      <c r="I31" s="474"/>
      <c r="M31" s="441"/>
      <c r="N31" s="442"/>
      <c r="O31" s="445"/>
      <c r="P31" s="320"/>
      <c r="Q31" s="320"/>
      <c r="S31" s="183"/>
      <c r="T31" s="508"/>
    </row>
    <row r="32" spans="2:21">
      <c r="C32" s="489"/>
      <c r="D32" s="370"/>
      <c r="E32" s="370"/>
      <c r="H32" s="370"/>
      <c r="I32" s="474"/>
      <c r="M32" s="441" t="s">
        <v>888</v>
      </c>
      <c r="N32" s="442">
        <f>+'CXP 07-25'!E13</f>
        <v>364684.38</v>
      </c>
      <c r="O32" s="445"/>
      <c r="P32" s="320"/>
      <c r="Q32" s="320"/>
      <c r="S32" s="183"/>
      <c r="T32" s="508"/>
    </row>
    <row r="33" spans="2:16" ht="15" thickBot="1">
      <c r="C33" s="369"/>
      <c r="D33" s="370"/>
      <c r="E33" s="370"/>
      <c r="H33" s="370"/>
      <c r="M33" s="438" t="s">
        <v>656</v>
      </c>
      <c r="N33" s="439">
        <f>SUM(N26:N32)</f>
        <v>205966811.06999996</v>
      </c>
      <c r="O33" s="445"/>
    </row>
    <row r="34" spans="2:16">
      <c r="C34" s="161"/>
      <c r="D34" s="370"/>
      <c r="E34" s="370"/>
      <c r="H34" s="370"/>
      <c r="M34" s="440" t="s">
        <v>657</v>
      </c>
      <c r="N34" s="445">
        <f>+O24</f>
        <v>493097762.15999997</v>
      </c>
    </row>
    <row r="35" spans="2:16">
      <c r="M35" s="443" t="s">
        <v>658</v>
      </c>
      <c r="N35" s="443">
        <f>+N33-N34</f>
        <v>-287130951.09000003</v>
      </c>
      <c r="O35" s="444">
        <f>+'BCE 07-25'!C46+'BCE 07-25'!C47</f>
        <v>953438.13</v>
      </c>
      <c r="P35" s="444">
        <f>+N35+O35</f>
        <v>-286177512.96000004</v>
      </c>
    </row>
    <row r="36" spans="2:16">
      <c r="B36" s="192"/>
      <c r="C36" s="192"/>
      <c r="D36" s="192"/>
      <c r="E36" s="192"/>
      <c r="F36" s="843"/>
      <c r="G36" s="843"/>
      <c r="H36" s="192"/>
      <c r="I36" s="192"/>
      <c r="J36" s="192"/>
      <c r="K36" s="192"/>
      <c r="L36" s="192"/>
      <c r="M36" s="192"/>
      <c r="N36" s="192"/>
      <c r="O36" s="192"/>
      <c r="P36" s="192"/>
    </row>
    <row r="38" spans="2:16">
      <c r="B38" s="254" t="s">
        <v>47</v>
      </c>
    </row>
    <row r="39" spans="2:16">
      <c r="B39" s="112" t="s">
        <v>48</v>
      </c>
    </row>
    <row r="40" spans="2:16">
      <c r="B40" s="115" t="s">
        <v>49</v>
      </c>
    </row>
    <row r="41" spans="2:16">
      <c r="B41" s="112" t="s">
        <v>50</v>
      </c>
    </row>
    <row r="42" spans="2:16">
      <c r="B42" s="115" t="s">
        <v>51</v>
      </c>
    </row>
    <row r="43" spans="2:16">
      <c r="B43" s="254" t="s">
        <v>52</v>
      </c>
    </row>
    <row r="44" spans="2:16" ht="18.600000000000001" thickBot="1">
      <c r="B44" s="333" t="s">
        <v>229</v>
      </c>
    </row>
    <row r="46" spans="2:16" ht="15" thickBot="1"/>
    <row r="47" spans="2:16">
      <c r="B47" s="335" t="s">
        <v>234</v>
      </c>
      <c r="C47" s="336">
        <v>160000000</v>
      </c>
      <c r="D47" s="336"/>
      <c r="E47" s="336"/>
      <c r="F47" s="844"/>
      <c r="G47" s="844"/>
      <c r="H47" s="336"/>
    </row>
    <row r="48" spans="2:16">
      <c r="B48" s="588" t="s">
        <v>1158</v>
      </c>
      <c r="C48" s="589">
        <v>22200000</v>
      </c>
      <c r="D48" s="589"/>
      <c r="E48" s="589"/>
      <c r="F48" s="845"/>
      <c r="G48" s="845"/>
      <c r="H48" s="589"/>
    </row>
    <row r="49" spans="2:8">
      <c r="B49" s="112" t="s">
        <v>153</v>
      </c>
      <c r="C49" s="403">
        <f>+O24+P24</f>
        <v>501783261.17999995</v>
      </c>
      <c r="D49" s="403"/>
      <c r="E49" s="403"/>
      <c r="F49" s="846"/>
      <c r="G49" s="846"/>
      <c r="H49" s="403">
        <f>C49/C47</f>
        <v>3.1361453823749996</v>
      </c>
    </row>
    <row r="50" spans="2:8" ht="15" thickBot="1">
      <c r="B50" s="339" t="s">
        <v>154</v>
      </c>
      <c r="C50" s="340">
        <f>+C47+C48-C49</f>
        <v>-319583261.17999995</v>
      </c>
      <c r="D50" s="340"/>
      <c r="E50" s="340"/>
      <c r="F50" s="847"/>
      <c r="G50" s="847"/>
      <c r="H50" s="340">
        <f>C50/C47</f>
        <v>-1.9973953823749997</v>
      </c>
    </row>
  </sheetData>
  <mergeCells count="11">
    <mergeCell ref="Q3:Q4"/>
    <mergeCell ref="R1:U2"/>
    <mergeCell ref="K2:N2"/>
    <mergeCell ref="I3:I4"/>
    <mergeCell ref="J3:J4"/>
    <mergeCell ref="K3:K4"/>
    <mergeCell ref="L3:L4"/>
    <mergeCell ref="M3:M4"/>
    <mergeCell ref="N3:N4"/>
    <mergeCell ref="O3:O4"/>
    <mergeCell ref="P3:P4"/>
  </mergeCells>
  <conditionalFormatting sqref="R6:R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R8:R9">
    <cfRule type="iconSet" priority="1">
      <iconSet iconSet="3Arrows">
        <cfvo type="percent" val="0"/>
        <cfvo type="percent" val="45"/>
        <cfvo type="percent" val="80"/>
      </iconSet>
    </cfRule>
  </conditionalFormatting>
  <conditionalFormatting sqref="R14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R16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R20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R22">
    <cfRule type="iconSet" priority="2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ignoredErrors>
    <ignoredError sqref="O12:Q12 O18:Q18 H12 H18" formula="1"/>
  </ignoredErrors>
  <drawing r:id="rId2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7B232-4AC2-4B6D-9A18-A45B49388FF6}">
  <dimension ref="B3:I46"/>
  <sheetViews>
    <sheetView showGridLines="0" topLeftCell="A15" zoomScaleNormal="100" workbookViewId="0">
      <selection activeCell="C27" sqref="C27"/>
    </sheetView>
  </sheetViews>
  <sheetFormatPr baseColWidth="10" defaultColWidth="11.44140625" defaultRowHeight="14.4"/>
  <cols>
    <col min="1" max="1" width="2.44140625" customWidth="1"/>
    <col min="2" max="2" width="34.109375" bestFit="1" customWidth="1"/>
    <col min="3" max="3" width="20.6640625" style="731" customWidth="1"/>
    <col min="4" max="4" width="16.6640625" style="730" bestFit="1" customWidth="1"/>
    <col min="5" max="8" width="14.109375" style="730" bestFit="1" customWidth="1"/>
    <col min="9" max="9" width="14.5546875" style="731" bestFit="1" customWidth="1"/>
    <col min="10" max="10" width="20.6640625" bestFit="1" customWidth="1"/>
    <col min="11" max="12" width="12.33203125" bestFit="1" customWidth="1"/>
  </cols>
  <sheetData>
    <row r="3" spans="2:9" hidden="1">
      <c r="B3" s="142">
        <v>160000000</v>
      </c>
    </row>
    <row r="4" spans="2:9" ht="15" hidden="1" thickBot="1">
      <c r="B4" s="284" t="s">
        <v>259</v>
      </c>
    </row>
    <row r="5" spans="2:9" ht="15" hidden="1" thickBot="1">
      <c r="B5" s="284" t="s">
        <v>260</v>
      </c>
    </row>
    <row r="6" spans="2:9" ht="15.6" hidden="1" thickTop="1" thickBot="1">
      <c r="B6" s="285" t="s">
        <v>261</v>
      </c>
    </row>
    <row r="7" spans="2:9" ht="15.6" hidden="1" thickTop="1" thickBot="1">
      <c r="B7" s="285" t="s">
        <v>149</v>
      </c>
    </row>
    <row r="8" spans="2:9" ht="15.6" hidden="1" thickTop="1" thickBot="1">
      <c r="B8" s="285" t="s">
        <v>262</v>
      </c>
    </row>
    <row r="9" spans="2:9" hidden="1"/>
    <row r="10" spans="2:9" hidden="1"/>
    <row r="11" spans="2:9" hidden="1"/>
    <row r="12" spans="2:9" hidden="1"/>
    <row r="13" spans="2:9" hidden="1"/>
    <row r="14" spans="2:9" hidden="1"/>
    <row r="15" spans="2:9" ht="15" thickBot="1">
      <c r="C15" s="1154" t="s">
        <v>1286</v>
      </c>
      <c r="F15" s="733"/>
      <c r="G15" s="733"/>
    </row>
    <row r="16" spans="2:9" ht="16.2" thickBot="1">
      <c r="B16" s="676"/>
      <c r="C16" s="734" t="s">
        <v>2252</v>
      </c>
      <c r="D16" s="735">
        <v>46023</v>
      </c>
      <c r="E16" s="735">
        <v>46054</v>
      </c>
      <c r="F16" s="735">
        <v>46082</v>
      </c>
      <c r="G16" s="735">
        <v>46113</v>
      </c>
      <c r="H16" s="735">
        <v>46143</v>
      </c>
      <c r="I16" s="807" t="s">
        <v>1290</v>
      </c>
    </row>
    <row r="17" spans="2:9" ht="16.2" thickBot="1">
      <c r="B17" s="736" t="s">
        <v>1291</v>
      </c>
      <c r="C17" s="737">
        <f>+'BCE 12-25'!C34+'BCE 12-25'!E34+'BCE 12-25'!C35</f>
        <v>124786851.19</v>
      </c>
      <c r="D17" s="737">
        <f>+'Proyección de Ventas y Comision'!F9</f>
        <v>16000000</v>
      </c>
      <c r="E17" s="737">
        <f>+'Proyección de Ventas y Comision'!G9</f>
        <v>17000000</v>
      </c>
      <c r="F17" s="737">
        <f>+'Proyección de Ventas y Comision'!H9</f>
        <v>18000000</v>
      </c>
      <c r="G17" s="737">
        <f>+'Proyección de Ventas y Comision'!I9</f>
        <v>19000000</v>
      </c>
      <c r="H17" s="737">
        <f>+'Proyección de Ventas y Comision'!J9</f>
        <v>20000000</v>
      </c>
      <c r="I17" s="808">
        <f>SUM(C17:H17)</f>
        <v>214786851.19</v>
      </c>
    </row>
    <row r="18" spans="2:9" ht="15.6" hidden="1">
      <c r="B18" s="681" t="s">
        <v>2097</v>
      </c>
      <c r="C18" s="738"/>
      <c r="D18" s="738">
        <f>+C17+D17</f>
        <v>140786851.19</v>
      </c>
      <c r="E18" s="738">
        <f>+D18+E17</f>
        <v>157786851.19</v>
      </c>
      <c r="F18" s="738">
        <f t="shared" ref="F18:H18" si="0">+E18+F17</f>
        <v>175786851.19</v>
      </c>
      <c r="G18" s="738">
        <f t="shared" si="0"/>
        <v>194786851.19</v>
      </c>
      <c r="H18" s="738">
        <f t="shared" si="0"/>
        <v>214786851.19</v>
      </c>
      <c r="I18" s="809"/>
    </row>
    <row r="19" spans="2:9" ht="15.6" hidden="1">
      <c r="B19" s="681"/>
      <c r="C19" s="738"/>
      <c r="D19" s="738"/>
      <c r="E19" s="738">
        <f>+E18+E27</f>
        <v>197048158.43000001</v>
      </c>
      <c r="F19" s="738">
        <f>+F18+F27</f>
        <v>200797060.3292</v>
      </c>
      <c r="G19" s="738">
        <f>+G18+G27</f>
        <v>215382523.99919999</v>
      </c>
      <c r="H19" s="738">
        <f>+H18+H27</f>
        <v>229023943.25619999</v>
      </c>
      <c r="I19" s="809"/>
    </row>
    <row r="20" spans="2:9" ht="15.6">
      <c r="B20" s="681" t="s">
        <v>1616</v>
      </c>
      <c r="C20" s="738">
        <v>330000000</v>
      </c>
      <c r="D20" s="739"/>
      <c r="E20" s="739"/>
      <c r="F20" s="739"/>
      <c r="G20" s="739"/>
      <c r="H20" s="739"/>
      <c r="I20" s="809">
        <f>SUM(C20:H20)</f>
        <v>330000000</v>
      </c>
    </row>
    <row r="21" spans="2:9" ht="15.6">
      <c r="B21" s="681" t="s">
        <v>2005</v>
      </c>
      <c r="C21" s="738">
        <f>+'Préstamos 12-25'!H6</f>
        <v>100000000</v>
      </c>
      <c r="D21" s="739"/>
      <c r="E21" s="739"/>
      <c r="F21" s="739"/>
      <c r="G21" s="739"/>
      <c r="H21" s="739"/>
      <c r="I21" s="809">
        <f t="shared" ref="I21:I25" si="1">SUM(C21:H21)</f>
        <v>100000000</v>
      </c>
    </row>
    <row r="22" spans="2:9" ht="15.6" hidden="1">
      <c r="B22" s="681"/>
      <c r="C22" s="738"/>
      <c r="D22" s="739">
        <f>+C21+D21</f>
        <v>100000000</v>
      </c>
      <c r="E22" s="739">
        <f>+D22+E21</f>
        <v>100000000</v>
      </c>
      <c r="F22" s="739">
        <f t="shared" ref="F22:H22" si="2">+E22+F21</f>
        <v>100000000</v>
      </c>
      <c r="G22" s="739">
        <f t="shared" si="2"/>
        <v>100000000</v>
      </c>
      <c r="H22" s="739">
        <f t="shared" si="2"/>
        <v>100000000</v>
      </c>
      <c r="I22" s="809">
        <f>+I21</f>
        <v>100000000</v>
      </c>
    </row>
    <row r="23" spans="2:9" ht="15.6">
      <c r="B23" s="681" t="s">
        <v>1617</v>
      </c>
      <c r="C23" s="738">
        <f>+'Préstamos 12-25'!H4+'Préstamos 12-25'!H5</f>
        <v>49200000</v>
      </c>
      <c r="D23" s="739"/>
      <c r="E23" s="739"/>
      <c r="F23" s="739"/>
      <c r="G23" s="738"/>
      <c r="H23" s="739"/>
      <c r="I23" s="809">
        <f t="shared" si="1"/>
        <v>49200000</v>
      </c>
    </row>
    <row r="24" spans="2:9" ht="15.6">
      <c r="B24" s="681" t="s">
        <v>2253</v>
      </c>
      <c r="C24" s="738">
        <f>+'Préstamos 12-25'!J4+'Préstamos 12-25'!J5</f>
        <v>-49200000</v>
      </c>
      <c r="D24" s="739"/>
      <c r="E24" s="739"/>
      <c r="F24" s="739"/>
      <c r="G24" s="738"/>
      <c r="H24" s="739"/>
      <c r="I24" s="809">
        <f t="shared" si="1"/>
        <v>-49200000</v>
      </c>
    </row>
    <row r="25" spans="2:9" ht="15.6" hidden="1">
      <c r="B25" s="681"/>
      <c r="C25" s="738"/>
      <c r="D25" s="739">
        <f>+C23+D23+D20+C24</f>
        <v>0</v>
      </c>
      <c r="E25" s="739">
        <f>+D25+E20+D24</f>
        <v>0</v>
      </c>
      <c r="F25" s="739">
        <f>+E25+F20+F24</f>
        <v>0</v>
      </c>
      <c r="G25" s="739">
        <f>+F25+G23+G24</f>
        <v>0</v>
      </c>
      <c r="H25" s="739"/>
      <c r="I25" s="809">
        <f t="shared" si="1"/>
        <v>0</v>
      </c>
    </row>
    <row r="26" spans="2:9" ht="15.6" hidden="1">
      <c r="B26" s="681" t="s">
        <v>2254</v>
      </c>
      <c r="C26" s="738"/>
      <c r="D26" s="739"/>
      <c r="E26" s="739"/>
      <c r="F26" s="739"/>
      <c r="G26" s="739"/>
      <c r="H26" s="739"/>
      <c r="I26" s="809"/>
    </row>
    <row r="27" spans="2:9" ht="15.6">
      <c r="B27" s="681" t="s">
        <v>266</v>
      </c>
      <c r="C27" s="738">
        <f>+C20+C21+C23-C28+C24+C17+C26</f>
        <v>62068899.310000002</v>
      </c>
      <c r="D27" s="739">
        <f>+C27+D21+D24-D28+D17</f>
        <v>53821345.549999997</v>
      </c>
      <c r="E27" s="739">
        <f>+D27+E21+E24-E28+E17</f>
        <v>39261307.239999995</v>
      </c>
      <c r="F27" s="739">
        <f>+E27+F21+F24-F28+F17</f>
        <v>25010209.139199995</v>
      </c>
      <c r="G27" s="739">
        <f>+F27+G21+G24-G28+G17</f>
        <v>20595672.809199996</v>
      </c>
      <c r="H27" s="739">
        <f>+G27+H21+H24-H28+H17</f>
        <v>14237092.066199996</v>
      </c>
      <c r="I27" s="809">
        <f>+H27</f>
        <v>14237092.066199996</v>
      </c>
    </row>
    <row r="28" spans="2:9" ht="15.6">
      <c r="B28" s="740" t="s">
        <v>267</v>
      </c>
      <c r="C28" s="741">
        <f>SUM(C29:C46)</f>
        <v>492717951.88</v>
      </c>
      <c r="D28" s="741">
        <f>SUM(D31:D46)</f>
        <v>24247553.760000002</v>
      </c>
      <c r="E28" s="741">
        <f t="shared" ref="E28:H28" si="3">SUM(E31:E46)</f>
        <v>31560038.310000002</v>
      </c>
      <c r="F28" s="741">
        <f t="shared" si="3"/>
        <v>32251098.1008</v>
      </c>
      <c r="G28" s="741">
        <f t="shared" si="3"/>
        <v>23414536.329999998</v>
      </c>
      <c r="H28" s="741">
        <f t="shared" si="3"/>
        <v>26358580.743000001</v>
      </c>
      <c r="I28" s="810">
        <f>SUM(C28:H28)</f>
        <v>630549759.12380016</v>
      </c>
    </row>
    <row r="29" spans="2:9" ht="15.6" hidden="1">
      <c r="B29" s="1635" t="s">
        <v>2255</v>
      </c>
      <c r="C29" s="738">
        <f>-'BCE 12-25'!C49-'BCE 12-25'!C50</f>
        <v>-2910950.95</v>
      </c>
      <c r="D29" s="738"/>
      <c r="E29" s="738"/>
      <c r="F29" s="738"/>
      <c r="G29" s="738"/>
      <c r="H29" s="738"/>
      <c r="I29" s="809"/>
    </row>
    <row r="30" spans="2:9" ht="15.6" hidden="1">
      <c r="B30" s="1635" t="s">
        <v>655</v>
      </c>
      <c r="C30" s="738">
        <f>-'BCE Resumido 12-25'!C17</f>
        <v>-972074.52</v>
      </c>
      <c r="D30" s="738"/>
      <c r="E30" s="738"/>
      <c r="F30" s="738"/>
      <c r="G30" s="738"/>
      <c r="H30" s="738"/>
      <c r="I30" s="809"/>
    </row>
    <row r="31" spans="2:9" ht="15.6" hidden="1">
      <c r="B31" s="1635" t="s">
        <v>2256</v>
      </c>
      <c r="C31" s="738">
        <f>+'BCE 12-25'!C18+'CXP MMHB 12-25'!E19</f>
        <v>3504876.5999999996</v>
      </c>
      <c r="D31" s="739"/>
      <c r="E31" s="738"/>
      <c r="F31" s="738"/>
      <c r="G31" s="738"/>
      <c r="H31" s="738"/>
      <c r="I31" s="809"/>
    </row>
    <row r="32" spans="2:9" ht="15.6">
      <c r="B32" s="694" t="s">
        <v>33</v>
      </c>
      <c r="C32" s="743">
        <f>+'PRESENTACIÓN 12-25'!O5</f>
        <v>264445081.16</v>
      </c>
      <c r="D32" s="742">
        <v>0</v>
      </c>
      <c r="E32" s="742">
        <v>0</v>
      </c>
      <c r="F32" s="742">
        <v>0</v>
      </c>
      <c r="G32" s="742">
        <v>0</v>
      </c>
      <c r="H32" s="742">
        <v>0</v>
      </c>
      <c r="I32" s="811">
        <f t="shared" ref="I32:I45" si="4">SUM(C32:H32)</f>
        <v>264445081.16</v>
      </c>
    </row>
    <row r="33" spans="2:9" ht="15.6">
      <c r="B33" s="697" t="s">
        <v>49</v>
      </c>
      <c r="C33" s="738">
        <f>+'PRESENTACIÓN 12-25'!O20</f>
        <v>22828592.390000001</v>
      </c>
      <c r="D33" s="739">
        <f>+'Compromisos 12-25'!F10</f>
        <v>1427678.42</v>
      </c>
      <c r="E33" s="739">
        <f>+'Compromisos 12-25'!G10</f>
        <v>0</v>
      </c>
      <c r="F33" s="739">
        <f>+'Compromisos 12-25'!H10</f>
        <v>0</v>
      </c>
      <c r="G33" s="739">
        <f>+'Compromisos 12-25'!I10</f>
        <v>0</v>
      </c>
      <c r="H33" s="739">
        <f>+'Compromisos 12-25'!J10</f>
        <v>0</v>
      </c>
      <c r="I33" s="809">
        <f t="shared" si="4"/>
        <v>24256270.810000002</v>
      </c>
    </row>
    <row r="34" spans="2:9" ht="15.6">
      <c r="B34" s="697" t="s">
        <v>717</v>
      </c>
      <c r="C34" s="743">
        <f>+'PRESENTACIÓN 12-25'!O19</f>
        <v>20587188.329999998</v>
      </c>
      <c r="D34" s="742">
        <f>+'Compromisos 12-25'!F113</f>
        <v>776670</v>
      </c>
      <c r="E34" s="742">
        <f>+'Compromisos 12-25'!G113</f>
        <v>2121458.9900000002</v>
      </c>
      <c r="F34" s="742">
        <f>+'Compromisos 12-25'!H113</f>
        <v>0</v>
      </c>
      <c r="G34" s="742">
        <f>+'Compromisos 12-25'!I113</f>
        <v>0</v>
      </c>
      <c r="H34" s="742">
        <f>+'Compromisos 12-25'!J113</f>
        <v>715670</v>
      </c>
      <c r="I34" s="811">
        <f t="shared" si="4"/>
        <v>24200987.32</v>
      </c>
    </row>
    <row r="35" spans="2:9" ht="15.6">
      <c r="B35" s="697" t="s">
        <v>1764</v>
      </c>
      <c r="C35" s="738">
        <f>+'PRESENTACIÓN 12-25'!O6</f>
        <v>33943438.550000004</v>
      </c>
      <c r="D35" s="739">
        <f>+'Compromisos 12-25'!F15</f>
        <v>4682329.0350000001</v>
      </c>
      <c r="E35" s="739">
        <f>+'Compromisos 12-25'!G15</f>
        <v>2751484.34</v>
      </c>
      <c r="F35" s="739">
        <f>+'Compromisos 12-25'!H15</f>
        <v>863406.98</v>
      </c>
      <c r="G35" s="739">
        <f>+'Compromisos 12-25'!I15</f>
        <v>175000</v>
      </c>
      <c r="H35" s="739">
        <f>+'Compromisos 12-25'!J15</f>
        <v>175000</v>
      </c>
      <c r="I35" s="809">
        <f t="shared" si="4"/>
        <v>42590658.905000009</v>
      </c>
    </row>
    <row r="36" spans="2:9" ht="15.6">
      <c r="B36" s="697" t="s">
        <v>1765</v>
      </c>
      <c r="C36" s="738">
        <f>+'PRESENTACIÓN 12-25'!O7</f>
        <v>174745.06999999995</v>
      </c>
      <c r="D36" s="739">
        <f>+'Compromisos 12-25'!F20</f>
        <v>4316073.4950000001</v>
      </c>
      <c r="E36" s="739">
        <f>+'Compromisos 12-25'!G20</f>
        <v>3725419.58</v>
      </c>
      <c r="F36" s="739">
        <f>+'Compromisos 12-25'!H20</f>
        <v>5086566.8</v>
      </c>
      <c r="G36" s="739">
        <f>+'Compromisos 12-25'!I20</f>
        <v>1893860.93</v>
      </c>
      <c r="H36" s="739">
        <f>+'Compromisos 12-25'!J20</f>
        <v>175000</v>
      </c>
      <c r="I36" s="809">
        <f t="shared" si="4"/>
        <v>15371665.875</v>
      </c>
    </row>
    <row r="37" spans="2:9" ht="15.6">
      <c r="B37" s="697" t="s">
        <v>40</v>
      </c>
      <c r="C37" s="743">
        <f>+'PRESENTACIÓN 12-25'!O10</f>
        <v>852299.64999999991</v>
      </c>
      <c r="D37" s="742">
        <f>+'Compromisos 12-25'!F28+'Compromisos 12-25'!F32+'Compromisos 12-25'!F37</f>
        <v>1742700.8</v>
      </c>
      <c r="E37" s="742">
        <f>+'Compromisos 12-25'!G28+'Compromisos 12-25'!G32+'Compromisos 12-25'!G37</f>
        <v>600000</v>
      </c>
      <c r="F37" s="742">
        <f>+'Compromisos 12-25'!H28+'Compromisos 12-25'!H32+'Compromisos 12-25'!H37</f>
        <v>600000</v>
      </c>
      <c r="G37" s="742">
        <f>+'Compromisos 12-25'!I28+'Compromisos 12-25'!I32+'Compromisos 12-25'!I37</f>
        <v>600000</v>
      </c>
      <c r="H37" s="742">
        <f>+'Compromisos 12-25'!J28+'Compromisos 12-25'!J32+'Compromisos 12-25'!J37</f>
        <v>600000</v>
      </c>
      <c r="I37" s="811">
        <f>SUM(C37:H37)</f>
        <v>4995000.45</v>
      </c>
    </row>
    <row r="38" spans="2:9" ht="15.6">
      <c r="B38" s="697" t="s">
        <v>2016</v>
      </c>
      <c r="C38" s="743">
        <f>+'PRESENTACIÓN 12-25'!O16</f>
        <v>24769014.039999999</v>
      </c>
      <c r="D38" s="742">
        <f>+'Compromisos 12-25'!F78+'Compromisos 12-25'!F84+'Compromisos 12-25'!F92+'Compromisos 12-25'!F98+'Compromisos 12-25'!F106</f>
        <v>2052520.88</v>
      </c>
      <c r="E38" s="742">
        <f>+'Compromisos 12-25'!G78+'Compromisos 12-25'!G84+'Compromisos 12-25'!G92+'Compromisos 12-25'!G98+'Compromisos 12-25'!G106</f>
        <v>3087311.1</v>
      </c>
      <c r="F38" s="742">
        <f>+'Compromisos 12-25'!H78+'Compromisos 12-25'!H84+'Compromisos 12-25'!H92+'Compromisos 12-25'!H98+'Compromisos 12-25'!H106</f>
        <v>1087311.1000000001</v>
      </c>
      <c r="G38" s="742">
        <f>+'Compromisos 12-25'!I78+'Compromisos 12-25'!I84+'Compromisos 12-25'!I92+'Compromisos 12-25'!I98+'Compromisos 12-25'!I106</f>
        <v>1471311.1</v>
      </c>
      <c r="H38" s="742">
        <f>+'Compromisos 12-25'!J78+'Compromisos 12-25'!J84+'Compromisos 12-25'!J92+'Compromisos 12-25'!J98+'Compromisos 12-25'!J106</f>
        <v>1087311.1000000001</v>
      </c>
      <c r="I38" s="811">
        <f t="shared" si="4"/>
        <v>33554779.32</v>
      </c>
    </row>
    <row r="39" spans="2:9" ht="15.6">
      <c r="B39" s="744" t="s">
        <v>672</v>
      </c>
      <c r="C39" s="1646">
        <f>+'PRESENTACIÓN 12-25'!O15</f>
        <v>2561939.65</v>
      </c>
      <c r="D39" s="1647">
        <f>+'Compromisos 12-25'!F73</f>
        <v>250000</v>
      </c>
      <c r="E39" s="1647">
        <f>+'Compromisos 12-25'!G73</f>
        <v>250000</v>
      </c>
      <c r="F39" s="1647">
        <f>+'Compromisos 12-25'!H73</f>
        <v>250000</v>
      </c>
      <c r="G39" s="1647">
        <f>+'Compromisos 12-25'!I73</f>
        <v>250000</v>
      </c>
      <c r="H39" s="1647">
        <f>+'Compromisos 12-25'!J73</f>
        <v>250000</v>
      </c>
      <c r="I39" s="1648">
        <f t="shared" si="4"/>
        <v>3811939.65</v>
      </c>
    </row>
    <row r="40" spans="2:9" s="747" customFormat="1" ht="15.6">
      <c r="B40" s="703" t="s">
        <v>767</v>
      </c>
      <c r="C40" s="749">
        <f>+'PRESENTACIÓN 12-25'!O8</f>
        <v>25831306.359999999</v>
      </c>
      <c r="D40" s="750">
        <f>+'Compromisos 12-25'!F24</f>
        <v>2360000</v>
      </c>
      <c r="E40" s="750">
        <f>+'Compromisos 12-25'!G24</f>
        <v>2360000</v>
      </c>
      <c r="F40" s="750">
        <f>+'Compromisos 12-25'!H24</f>
        <v>2360000</v>
      </c>
      <c r="G40" s="750">
        <f>+'Compromisos 12-25'!I24</f>
        <v>2360000</v>
      </c>
      <c r="H40" s="750">
        <f>+'Compromisos 12-25'!J24</f>
        <v>2360000</v>
      </c>
      <c r="I40" s="813">
        <f t="shared" si="4"/>
        <v>37631306.359999999</v>
      </c>
    </row>
    <row r="41" spans="2:9" s="747" customFormat="1" ht="15.6">
      <c r="B41" s="703" t="s">
        <v>1607</v>
      </c>
      <c r="C41" s="749">
        <f>+'PRESENTACIÓN 12-25'!O9</f>
        <v>1520892.9</v>
      </c>
      <c r="D41" s="750">
        <f>+'Compromisos 12-25'!F42</f>
        <v>506964.3</v>
      </c>
      <c r="E41" s="750">
        <f>+'Compromisos 12-25'!G42</f>
        <v>506964.3</v>
      </c>
      <c r="F41" s="750">
        <f>+'Compromisos 12-25'!H42</f>
        <v>506964.3</v>
      </c>
      <c r="G41" s="750">
        <f>+'Compromisos 12-25'!I42</f>
        <v>506964.3</v>
      </c>
      <c r="H41" s="750">
        <f>+'Compromisos 12-25'!J42</f>
        <v>506964.3</v>
      </c>
      <c r="I41" s="814">
        <f>SUM(C41:H41)</f>
        <v>4055714.3999999994</v>
      </c>
    </row>
    <row r="42" spans="2:9" s="747" customFormat="1" ht="15.6">
      <c r="B42" s="703" t="s">
        <v>768</v>
      </c>
      <c r="C42" s="748">
        <f>+'PRESENTACIÓN 12-25'!O13</f>
        <v>16091175.970000001</v>
      </c>
      <c r="D42" s="751">
        <f>+'Compromisos 12-25'!F46</f>
        <v>1770000</v>
      </c>
      <c r="E42" s="751">
        <f>+'Compromisos 12-25'!G46</f>
        <v>1770000</v>
      </c>
      <c r="F42" s="751">
        <f>+'Compromisos 12-25'!H46</f>
        <v>1770000</v>
      </c>
      <c r="G42" s="751">
        <f>+'Compromisos 12-25'!I46</f>
        <v>1770000</v>
      </c>
      <c r="H42" s="751">
        <f>+'Compromisos 12-25'!J46</f>
        <v>1770000</v>
      </c>
      <c r="I42" s="814">
        <f t="shared" si="4"/>
        <v>24941175.969999999</v>
      </c>
    </row>
    <row r="43" spans="2:9" s="747" customFormat="1" ht="15.6">
      <c r="B43" s="703" t="s">
        <v>1451</v>
      </c>
      <c r="C43" s="749">
        <f>+'Costos a Dic-25'!O29+'Costos a Dic-25'!O30-'CXP 12-25'!D49</f>
        <v>11482153.439999999</v>
      </c>
      <c r="D43" s="750">
        <f>+'Compromisos 12-25'!F62+'Compromisos 12-25'!F69</f>
        <v>1806207.55</v>
      </c>
      <c r="E43" s="750">
        <f>+'Compromisos 12-25'!G62+'Compromisos 12-25'!G69</f>
        <v>1425000</v>
      </c>
      <c r="F43" s="750">
        <f>+'Compromisos 12-25'!H62+'Compromisos 12-25'!H69</f>
        <v>1425000</v>
      </c>
      <c r="G43" s="750">
        <f>+'Compromisos 12-25'!I62+'Compromisos 12-25'!I69</f>
        <v>1425000</v>
      </c>
      <c r="H43" s="750">
        <f>+'Compromisos 12-25'!J62+'Compromisos 12-25'!J69</f>
        <v>1425000</v>
      </c>
      <c r="I43" s="813">
        <f t="shared" si="4"/>
        <v>18988360.990000002</v>
      </c>
    </row>
    <row r="44" spans="2:9" s="747" customFormat="1" ht="15.6">
      <c r="B44" s="752" t="s">
        <v>962</v>
      </c>
      <c r="C44" s="748">
        <f>+'Costos a Dic-25'!O28</f>
        <v>6903000</v>
      </c>
      <c r="D44" s="751">
        <f>+'Compromisos 12-25'!F58</f>
        <v>767000</v>
      </c>
      <c r="E44" s="751">
        <f>+'Compromisos 12-25'!G58</f>
        <v>767000</v>
      </c>
      <c r="F44" s="751">
        <f>+'Compromisos 12-25'!H58</f>
        <v>767000</v>
      </c>
      <c r="G44" s="751">
        <f>+'Compromisos 12-25'!I58</f>
        <v>767000</v>
      </c>
      <c r="H44" s="751">
        <f>+'Compromisos 12-25'!J58</f>
        <v>767000</v>
      </c>
      <c r="I44" s="814">
        <f t="shared" si="4"/>
        <v>10738000</v>
      </c>
    </row>
    <row r="45" spans="2:9" ht="15.6">
      <c r="B45" s="752" t="s">
        <v>770</v>
      </c>
      <c r="C45" s="743">
        <f>+'Costos a Dic-25'!O27-'CXP 12-25'!D44</f>
        <v>56690925.24000001</v>
      </c>
      <c r="D45" s="742">
        <f>+'Compromisos 12-25'!F54</f>
        <v>1789409.2799999998</v>
      </c>
      <c r="E45" s="742">
        <f>+'Compromisos 12-25'!G54</f>
        <v>12195400</v>
      </c>
      <c r="F45" s="742">
        <f>+'Compromisos 12-25'!H54</f>
        <v>12195400.000000002</v>
      </c>
      <c r="G45" s="742">
        <f>+'Compromisos 12-25'!I54</f>
        <v>12195400.000000002</v>
      </c>
      <c r="H45" s="742">
        <f>+'Compromisos 12-25'!J54</f>
        <v>12195400.000000002</v>
      </c>
      <c r="I45" s="811">
        <f t="shared" si="4"/>
        <v>107261934.52000001</v>
      </c>
    </row>
    <row r="46" spans="2:9" ht="16.2" thickBot="1">
      <c r="B46" s="756" t="s">
        <v>50</v>
      </c>
      <c r="C46" s="1600">
        <f>+'PRESENTACIÓN 12-25'!O21</f>
        <v>4414348</v>
      </c>
      <c r="D46" s="1397"/>
      <c r="E46" s="1397"/>
      <c r="F46" s="1397">
        <f>+'Intereses 12-25'!AA14+'Intereses 12-25'!AA15</f>
        <v>5339448.9207999995</v>
      </c>
      <c r="G46" s="1397"/>
      <c r="H46" s="1397">
        <f>+'Intereses 12-25'!AA18+'Intereses 12-25'!AA19</f>
        <v>4331235.3430000003</v>
      </c>
      <c r="I46" s="1599">
        <f>SUM(C46:G46)</f>
        <v>9753796.9208000004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F1D6E-B7C2-4918-8740-B3859201ED03}">
  <dimension ref="A1:M25"/>
  <sheetViews>
    <sheetView showGridLines="0" zoomScaleNormal="100" workbookViewId="0">
      <selection activeCell="K7" sqref="K7"/>
    </sheetView>
  </sheetViews>
  <sheetFormatPr baseColWidth="10" defaultColWidth="8" defaultRowHeight="11.4"/>
  <cols>
    <col min="1" max="1" width="13.88671875" style="408" customWidth="1"/>
    <col min="2" max="2" width="30.5546875" style="528" customWidth="1"/>
    <col min="3" max="3" width="12" style="408" bestFit="1" customWidth="1"/>
    <col min="4" max="4" width="11.88671875" style="408" bestFit="1" customWidth="1"/>
    <col min="5" max="5" width="13.6640625" style="408" customWidth="1"/>
    <col min="6" max="6" width="29.33203125" style="408" bestFit="1" customWidth="1"/>
    <col min="7" max="7" width="13.44140625" style="408" bestFit="1" customWidth="1"/>
    <col min="8" max="8" width="11" style="408" bestFit="1" customWidth="1"/>
    <col min="9" max="9" width="11.33203125" style="408" bestFit="1" customWidth="1"/>
    <col min="10" max="10" width="13" style="408" bestFit="1" customWidth="1"/>
    <col min="11" max="11" width="11.6640625" style="408" bestFit="1" customWidth="1"/>
    <col min="12" max="12" width="8" style="408"/>
    <col min="13" max="13" width="9.6640625" style="408" bestFit="1" customWidth="1"/>
    <col min="14" max="16384" width="8" style="408"/>
  </cols>
  <sheetData>
    <row r="1" spans="1:13" s="405" customFormat="1" ht="16.649999999999999" customHeight="1">
      <c r="A1" s="404" t="s">
        <v>1771</v>
      </c>
      <c r="B1" s="526"/>
      <c r="C1" s="404"/>
      <c r="D1" s="404"/>
      <c r="E1" s="404"/>
      <c r="F1" s="408"/>
      <c r="G1" s="408"/>
      <c r="H1" s="408"/>
      <c r="I1" s="408"/>
      <c r="J1" s="408"/>
      <c r="K1" s="408"/>
      <c r="L1" s="408"/>
      <c r="M1" s="408"/>
    </row>
    <row r="2" spans="1:13" s="407" customFormat="1" ht="14.4" customHeight="1">
      <c r="A2" s="406" t="s">
        <v>236</v>
      </c>
      <c r="B2" s="527"/>
      <c r="C2" s="406"/>
      <c r="D2" s="406"/>
      <c r="E2" s="406"/>
      <c r="F2" s="408"/>
      <c r="G2" s="408"/>
      <c r="H2" s="408"/>
      <c r="I2" s="408"/>
      <c r="J2" s="408"/>
      <c r="K2" s="408"/>
      <c r="L2" s="408"/>
      <c r="M2" s="408"/>
    </row>
    <row r="3" spans="1:13" ht="13.35" customHeight="1">
      <c r="F3" s="1256" t="s">
        <v>1772</v>
      </c>
      <c r="G3" s="1249" t="s">
        <v>1773</v>
      </c>
      <c r="H3" s="1249" t="s">
        <v>1774</v>
      </c>
      <c r="I3" s="1249" t="s">
        <v>1775</v>
      </c>
      <c r="J3" s="1249" t="s">
        <v>1776</v>
      </c>
      <c r="K3" s="1249" t="s">
        <v>1777</v>
      </c>
      <c r="L3" s="1249" t="s">
        <v>1298</v>
      </c>
      <c r="M3" s="1249" t="s">
        <v>1778</v>
      </c>
    </row>
    <row r="4" spans="1:13" ht="13.35" customHeight="1">
      <c r="F4" s="1250" t="s">
        <v>1779</v>
      </c>
      <c r="G4" s="1251">
        <v>34200000</v>
      </c>
      <c r="H4" s="1251">
        <f>+E15+E16+E17</f>
        <v>34200000</v>
      </c>
      <c r="I4" s="1251">
        <f>+G4-H4</f>
        <v>0</v>
      </c>
      <c r="J4" s="1251">
        <f>-H4</f>
        <v>-34200000</v>
      </c>
      <c r="K4" s="1251">
        <f>+H4+J4</f>
        <v>0</v>
      </c>
      <c r="L4" s="1253">
        <v>0.1595</v>
      </c>
      <c r="M4" s="1254">
        <v>45923</v>
      </c>
    </row>
    <row r="5" spans="1:13" ht="13.35" customHeight="1">
      <c r="A5" s="410" t="s">
        <v>1485</v>
      </c>
      <c r="B5" s="529" t="s">
        <v>817</v>
      </c>
      <c r="C5" s="410" t="s">
        <v>691</v>
      </c>
      <c r="D5" s="411" t="s">
        <v>665</v>
      </c>
      <c r="E5" s="411" t="s">
        <v>666</v>
      </c>
      <c r="F5" s="1250" t="s">
        <v>1779</v>
      </c>
      <c r="G5" s="1251">
        <v>15000000</v>
      </c>
      <c r="H5" s="1251">
        <f>+E19+E20+E18</f>
        <v>15000000</v>
      </c>
      <c r="I5" s="1251"/>
      <c r="J5" s="1251">
        <f>-H5</f>
        <v>-15000000</v>
      </c>
      <c r="K5" s="1251">
        <f>+H5+J5</f>
        <v>0</v>
      </c>
      <c r="L5" s="1253">
        <v>0.19</v>
      </c>
      <c r="M5" s="1254">
        <v>45939</v>
      </c>
    </row>
    <row r="6" spans="1:13" ht="13.35" customHeight="1">
      <c r="F6" s="1250" t="s">
        <v>1780</v>
      </c>
      <c r="G6" s="1251">
        <v>100000000</v>
      </c>
      <c r="H6" s="1251">
        <f>+E12</f>
        <v>100000000</v>
      </c>
      <c r="I6" s="1251">
        <f>+G6-H6</f>
        <v>0</v>
      </c>
      <c r="J6" s="1251">
        <v>0</v>
      </c>
      <c r="K6" s="1251">
        <f>+H6+J6</f>
        <v>100000000</v>
      </c>
      <c r="L6" s="1253">
        <v>0.18</v>
      </c>
      <c r="M6" s="1254">
        <v>46274</v>
      </c>
    </row>
    <row r="7" spans="1:13" ht="13.35" customHeight="1">
      <c r="A7" s="409" t="s">
        <v>1782</v>
      </c>
      <c r="B7" s="530"/>
      <c r="C7" s="409"/>
      <c r="D7" s="409"/>
      <c r="E7" s="409"/>
      <c r="F7" s="1248" t="s">
        <v>1781</v>
      </c>
      <c r="G7" s="1255">
        <f>SUM(G4:G6)</f>
        <v>149200000</v>
      </c>
      <c r="H7" s="1255">
        <f t="shared" ref="H7:K7" si="0">SUM(H4:H6)</f>
        <v>149200000</v>
      </c>
      <c r="I7" s="1255">
        <f t="shared" si="0"/>
        <v>0</v>
      </c>
      <c r="J7" s="1255">
        <f t="shared" si="0"/>
        <v>-49200000</v>
      </c>
      <c r="K7" s="1705">
        <f t="shared" si="0"/>
        <v>100000000</v>
      </c>
      <c r="L7" s="1255"/>
      <c r="M7" s="1255"/>
    </row>
    <row r="8" spans="1:13" ht="13.35" customHeight="1">
      <c r="A8" s="429">
        <v>45909</v>
      </c>
      <c r="B8" s="531" t="s">
        <v>1783</v>
      </c>
      <c r="C8" s="421" t="s">
        <v>1784</v>
      </c>
      <c r="D8" s="422">
        <v>0</v>
      </c>
      <c r="E8" s="422">
        <v>25000000</v>
      </c>
      <c r="J8" s="1623">
        <f>-D23</f>
        <v>-49200000</v>
      </c>
    </row>
    <row r="9" spans="1:13" s="412" customFormat="1" ht="12.15" customHeight="1">
      <c r="A9" s="430">
        <v>45926</v>
      </c>
      <c r="B9" s="533" t="s">
        <v>1783</v>
      </c>
      <c r="C9" s="414" t="s">
        <v>1784</v>
      </c>
      <c r="D9" s="415">
        <v>0</v>
      </c>
      <c r="E9" s="415">
        <v>30184227.399999999</v>
      </c>
      <c r="F9" s="408"/>
      <c r="G9" s="408"/>
      <c r="H9" s="408"/>
      <c r="I9" s="408"/>
      <c r="J9" s="1623">
        <f>+J7-J8</f>
        <v>0</v>
      </c>
      <c r="K9" s="408"/>
      <c r="L9" s="408"/>
      <c r="M9" s="408"/>
    </row>
    <row r="10" spans="1:13" ht="13.35" customHeight="1">
      <c r="A10" s="430">
        <v>45966</v>
      </c>
      <c r="B10" s="533" t="s">
        <v>1783</v>
      </c>
      <c r="C10" s="414" t="s">
        <v>1784</v>
      </c>
      <c r="D10" s="415">
        <v>0</v>
      </c>
      <c r="E10" s="415">
        <v>22000000</v>
      </c>
    </row>
    <row r="11" spans="1:13" s="412" customFormat="1" ht="12.15" customHeight="1">
      <c r="A11" s="430">
        <v>45989</v>
      </c>
      <c r="B11" s="533" t="s">
        <v>1783</v>
      </c>
      <c r="C11" s="414" t="s">
        <v>1784</v>
      </c>
      <c r="D11" s="415">
        <v>0</v>
      </c>
      <c r="E11" s="415">
        <v>22815772.600000001</v>
      </c>
    </row>
    <row r="12" spans="1:13" ht="12">
      <c r="A12" s="416" t="s">
        <v>1785</v>
      </c>
      <c r="B12" s="532"/>
      <c r="C12" s="416"/>
      <c r="D12" s="417">
        <f>SUM(D8:D9)</f>
        <v>0</v>
      </c>
      <c r="E12" s="417">
        <f>SUM(E8:E11)</f>
        <v>100000000</v>
      </c>
    </row>
    <row r="13" spans="1:13" ht="13.2">
      <c r="F13" s="412"/>
      <c r="G13" s="412"/>
      <c r="H13" s="412"/>
      <c r="I13" s="412"/>
      <c r="J13" s="412"/>
      <c r="K13" s="412"/>
      <c r="L13" s="412"/>
      <c r="M13" s="412"/>
    </row>
    <row r="14" spans="1:13" ht="13.2">
      <c r="A14" s="409" t="s">
        <v>1786</v>
      </c>
      <c r="B14" s="530"/>
      <c r="C14" s="409"/>
      <c r="D14" s="409"/>
      <c r="E14" s="409"/>
      <c r="F14" s="412"/>
      <c r="G14" s="412"/>
      <c r="H14" s="412"/>
      <c r="I14" s="412"/>
      <c r="J14" s="412"/>
      <c r="K14" s="412"/>
      <c r="L14" s="412"/>
      <c r="M14" s="412"/>
    </row>
    <row r="15" spans="1:13" ht="13.2">
      <c r="A15" s="429">
        <v>45761</v>
      </c>
      <c r="B15" s="531" t="s">
        <v>1787</v>
      </c>
      <c r="C15" s="414" t="s">
        <v>1788</v>
      </c>
      <c r="D15" s="422">
        <v>0</v>
      </c>
      <c r="E15" s="422">
        <v>15000000</v>
      </c>
      <c r="F15" s="412"/>
      <c r="G15" s="412"/>
      <c r="H15" s="412"/>
      <c r="I15" s="412"/>
      <c r="J15" s="412"/>
      <c r="K15" s="412"/>
      <c r="L15" s="412"/>
      <c r="M15" s="412"/>
    </row>
    <row r="16" spans="1:13" ht="10.95" customHeight="1">
      <c r="A16" s="430">
        <v>45792</v>
      </c>
      <c r="B16" s="531" t="s">
        <v>1787</v>
      </c>
      <c r="C16" s="414" t="s">
        <v>1788</v>
      </c>
      <c r="D16" s="415">
        <v>0</v>
      </c>
      <c r="E16" s="415">
        <v>7200000</v>
      </c>
    </row>
    <row r="17" spans="1:5" ht="13.35" customHeight="1">
      <c r="A17" s="430">
        <v>45820</v>
      </c>
      <c r="B17" s="531" t="s">
        <v>1787</v>
      </c>
      <c r="C17" s="414" t="s">
        <v>1788</v>
      </c>
      <c r="D17" s="415">
        <v>0</v>
      </c>
      <c r="E17" s="415">
        <v>12000000</v>
      </c>
    </row>
    <row r="18" spans="1:5" s="412" customFormat="1" ht="12.15" customHeight="1">
      <c r="A18" s="430">
        <v>45853</v>
      </c>
      <c r="B18" s="533" t="s">
        <v>1789</v>
      </c>
      <c r="C18" s="414" t="s">
        <v>1788</v>
      </c>
      <c r="D18" s="415">
        <v>0</v>
      </c>
      <c r="E18" s="415">
        <v>1185000</v>
      </c>
    </row>
    <row r="19" spans="1:5" ht="10.95" customHeight="1">
      <c r="A19" s="430">
        <v>45854</v>
      </c>
      <c r="B19" s="531" t="s">
        <v>1787</v>
      </c>
      <c r="C19" s="414" t="s">
        <v>1788</v>
      </c>
      <c r="D19" s="415">
        <v>0</v>
      </c>
      <c r="E19" s="415">
        <v>11000000</v>
      </c>
    </row>
    <row r="20" spans="1:5" ht="10.95" customHeight="1">
      <c r="A20" s="430">
        <v>45862</v>
      </c>
      <c r="B20" s="531" t="s">
        <v>1787</v>
      </c>
      <c r="C20" s="414" t="s">
        <v>1788</v>
      </c>
      <c r="D20" s="415">
        <v>0</v>
      </c>
      <c r="E20" s="415">
        <v>2815000</v>
      </c>
    </row>
    <row r="21" spans="1:5" ht="10.95" customHeight="1">
      <c r="A21" s="430">
        <v>45937</v>
      </c>
      <c r="B21" s="531" t="s">
        <v>2017</v>
      </c>
      <c r="C21" s="414" t="s">
        <v>1788</v>
      </c>
      <c r="D21" s="415">
        <v>5000000</v>
      </c>
      <c r="E21" s="415">
        <v>0</v>
      </c>
    </row>
    <row r="22" spans="1:5" ht="22.8">
      <c r="A22" s="430">
        <v>46020</v>
      </c>
      <c r="B22" s="531" t="s">
        <v>2201</v>
      </c>
      <c r="C22" s="414" t="s">
        <v>1788</v>
      </c>
      <c r="D22" s="415">
        <v>44200000</v>
      </c>
      <c r="E22" s="415">
        <v>0</v>
      </c>
    </row>
    <row r="23" spans="1:5" ht="10.95" customHeight="1">
      <c r="A23" s="416" t="s">
        <v>1790</v>
      </c>
      <c r="B23" s="532"/>
      <c r="C23" s="416"/>
      <c r="D23" s="417">
        <f>SUM(D15:D22)</f>
        <v>49200000</v>
      </c>
      <c r="E23" s="417">
        <f>SUM(E15:E21)</f>
        <v>49200000</v>
      </c>
    </row>
    <row r="24" spans="1:5" ht="10.95" customHeight="1"/>
    <row r="25" spans="1:5" ht="10.95" customHeight="1">
      <c r="A25" s="419" t="s">
        <v>164</v>
      </c>
      <c r="B25" s="534"/>
      <c r="C25" s="419"/>
      <c r="D25" s="420">
        <f>SUM(D12,D23)</f>
        <v>49200000</v>
      </c>
      <c r="E25" s="420">
        <f>SUM(E12,E23)</f>
        <v>149200000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C3482-6481-4386-9B82-B7D0FB16FF3E}">
  <dimension ref="A1:G11"/>
  <sheetViews>
    <sheetView workbookViewId="0">
      <selection activeCell="D11" sqref="D11"/>
    </sheetView>
  </sheetViews>
  <sheetFormatPr baseColWidth="10" defaultColWidth="11.44140625" defaultRowHeight="14.4"/>
  <cols>
    <col min="1" max="1" width="26" bestFit="1" customWidth="1"/>
    <col min="2" max="2" width="11" bestFit="1" customWidth="1"/>
    <col min="3" max="3" width="14" style="370" bestFit="1" customWidth="1"/>
    <col min="4" max="4" width="14.5546875" style="370" customWidth="1"/>
    <col min="5" max="5" width="32.5546875" customWidth="1"/>
    <col min="6" max="6" width="20" bestFit="1" customWidth="1"/>
    <col min="7" max="7" width="28.6640625" bestFit="1" customWidth="1"/>
  </cols>
  <sheetData>
    <row r="1" spans="1:7">
      <c r="A1" t="s">
        <v>707</v>
      </c>
      <c r="B1" t="s">
        <v>708</v>
      </c>
      <c r="C1" s="370" t="s">
        <v>164</v>
      </c>
      <c r="D1" s="370" t="s">
        <v>709</v>
      </c>
      <c r="E1" t="s">
        <v>817</v>
      </c>
      <c r="F1" t="s">
        <v>710</v>
      </c>
      <c r="G1" t="s">
        <v>852</v>
      </c>
    </row>
    <row r="2" spans="1:7">
      <c r="A2" t="s">
        <v>369</v>
      </c>
      <c r="B2" s="193">
        <v>45266</v>
      </c>
      <c r="C2" s="370">
        <v>273000</v>
      </c>
      <c r="D2" s="370">
        <v>273000</v>
      </c>
      <c r="E2" t="s">
        <v>911</v>
      </c>
      <c r="F2" t="s">
        <v>853</v>
      </c>
      <c r="G2" t="s">
        <v>853</v>
      </c>
    </row>
    <row r="3" spans="1:7">
      <c r="B3" s="193"/>
      <c r="C3" s="432">
        <f>SUM(C2)</f>
        <v>273000</v>
      </c>
      <c r="D3" s="432">
        <f>SUM(D2)</f>
        <v>273000</v>
      </c>
    </row>
    <row r="4" spans="1:7">
      <c r="A4" t="s">
        <v>2257</v>
      </c>
      <c r="B4" s="193">
        <v>46044</v>
      </c>
      <c r="C4" s="370">
        <v>131200</v>
      </c>
      <c r="D4" s="370">
        <v>131200</v>
      </c>
      <c r="E4" t="s">
        <v>2258</v>
      </c>
      <c r="F4" t="s">
        <v>1024</v>
      </c>
      <c r="G4" t="s">
        <v>1025</v>
      </c>
    </row>
    <row r="5" spans="1:7">
      <c r="B5" s="193"/>
      <c r="C5" s="432">
        <f>SUM(C4)</f>
        <v>131200</v>
      </c>
      <c r="D5" s="432">
        <f>SUM(D4)</f>
        <v>131200</v>
      </c>
    </row>
    <row r="6" spans="1:7">
      <c r="A6" t="s">
        <v>1821</v>
      </c>
      <c r="B6" s="193">
        <v>45936</v>
      </c>
      <c r="C6" s="370">
        <v>6671.88</v>
      </c>
      <c r="D6" s="370">
        <v>6671.88</v>
      </c>
      <c r="E6" t="s">
        <v>2018</v>
      </c>
      <c r="F6" t="s">
        <v>1822</v>
      </c>
      <c r="G6" t="s">
        <v>1660</v>
      </c>
    </row>
    <row r="7" spans="1:7">
      <c r="A7" s="459" t="s">
        <v>2259</v>
      </c>
      <c r="B7" s="193">
        <v>46042</v>
      </c>
      <c r="C7" s="370">
        <v>8500</v>
      </c>
      <c r="D7" s="370">
        <v>8500</v>
      </c>
      <c r="E7" t="s">
        <v>2260</v>
      </c>
      <c r="F7" t="s">
        <v>1822</v>
      </c>
      <c r="G7" t="s">
        <v>1660</v>
      </c>
    </row>
    <row r="8" spans="1:7">
      <c r="B8" s="193"/>
      <c r="C8" s="432">
        <f>SUM(C6:C7)</f>
        <v>15171.880000000001</v>
      </c>
      <c r="D8" s="432">
        <f>SUM(D6:D7)</f>
        <v>15171.880000000001</v>
      </c>
    </row>
    <row r="9" spans="1:7">
      <c r="A9" t="s">
        <v>740</v>
      </c>
      <c r="B9" s="193">
        <v>45999</v>
      </c>
      <c r="C9" s="370">
        <v>16057.44</v>
      </c>
      <c r="D9" s="370">
        <v>16057.44</v>
      </c>
      <c r="E9" t="s">
        <v>2206</v>
      </c>
      <c r="F9" t="s">
        <v>2131</v>
      </c>
      <c r="G9" t="s">
        <v>2062</v>
      </c>
    </row>
    <row r="10" spans="1:7">
      <c r="B10" s="193"/>
      <c r="C10" s="432">
        <f>SUM(C9:C9)</f>
        <v>16057.44</v>
      </c>
      <c r="D10" s="432">
        <f>SUM(D9:D9)</f>
        <v>16057.44</v>
      </c>
    </row>
    <row r="11" spans="1:7">
      <c r="C11" s="1178">
        <f>+C3+C5+C8+C10</f>
        <v>435429.32</v>
      </c>
      <c r="D11" s="1178">
        <f>+D3+D5+D8+D10</f>
        <v>435429.32</v>
      </c>
    </row>
  </sheetData>
  <autoFilter ref="A1:G1" xr:uid="{8F833D8D-E3A2-49C0-BA28-FAE8897AAB0B}">
    <sortState xmlns:xlrd2="http://schemas.microsoft.com/office/spreadsheetml/2017/richdata2" ref="A2:G11">
      <sortCondition ref="G1"/>
    </sortState>
  </autoFilter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0117-58A9-4918-8406-952B857CDB3F}">
  <dimension ref="A1:D88"/>
  <sheetViews>
    <sheetView showGridLines="0" zoomScaleNormal="100" workbookViewId="0">
      <selection activeCell="A77" sqref="A77"/>
    </sheetView>
  </sheetViews>
  <sheetFormatPr baseColWidth="10" defaultColWidth="8" defaultRowHeight="11.4"/>
  <cols>
    <col min="1" max="1" width="61.44140625" style="1440" customWidth="1"/>
    <col min="2" max="2" width="12.6640625" style="1440" customWidth="1"/>
    <col min="3" max="3" width="17.6640625" style="1440" customWidth="1"/>
    <col min="4" max="4" width="11.44140625" style="1440" customWidth="1"/>
    <col min="5" max="16384" width="8" style="1440"/>
  </cols>
  <sheetData>
    <row r="1" spans="1:4" s="1437" customFormat="1" ht="16.649999999999999" customHeight="1">
      <c r="A1" s="1436" t="s">
        <v>771</v>
      </c>
      <c r="B1" s="1436"/>
      <c r="C1" s="1436"/>
      <c r="D1" s="1436"/>
    </row>
    <row r="2" spans="1:4" s="1439" customFormat="1" ht="14.4" customHeight="1">
      <c r="A2" s="1438" t="s">
        <v>236</v>
      </c>
      <c r="B2" s="1438"/>
      <c r="C2" s="1438"/>
      <c r="D2" s="1438"/>
    </row>
    <row r="3" spans="1:4" s="1439" customFormat="1" ht="14.4" customHeight="1">
      <c r="A3" s="1438" t="s">
        <v>2261</v>
      </c>
      <c r="B3" s="1438"/>
      <c r="C3" s="1438"/>
      <c r="D3" s="1438"/>
    </row>
    <row r="4" spans="1:4" s="1439" customFormat="1" ht="14.4" customHeight="1">
      <c r="A4" s="1438" t="s">
        <v>2262</v>
      </c>
      <c r="B4" s="1438"/>
      <c r="C4" s="1438"/>
      <c r="D4" s="1438"/>
    </row>
    <row r="5" spans="1:4" ht="13.35" customHeight="1"/>
    <row r="6" spans="1:4" s="1444" customFormat="1" ht="12.15" customHeight="1">
      <c r="A6" s="1441" t="s">
        <v>690</v>
      </c>
      <c r="B6" s="1441" t="s">
        <v>689</v>
      </c>
      <c r="C6" s="1441" t="s">
        <v>773</v>
      </c>
      <c r="D6" s="1442" t="s">
        <v>164</v>
      </c>
    </row>
    <row r="7" spans="1:4" ht="13.35" customHeight="1"/>
    <row r="8" spans="1:4" s="1444" customFormat="1" ht="12.15" customHeight="1">
      <c r="A8" s="1445" t="s">
        <v>2132</v>
      </c>
      <c r="B8" s="1445"/>
      <c r="C8" s="1445"/>
      <c r="D8" s="1445"/>
    </row>
    <row r="9" spans="1:4" ht="10.95" customHeight="1">
      <c r="A9" s="1446" t="s">
        <v>301</v>
      </c>
      <c r="B9" s="1447">
        <v>45888</v>
      </c>
      <c r="C9" s="1446" t="s">
        <v>1629</v>
      </c>
      <c r="D9" s="1448">
        <v>1427678.42</v>
      </c>
    </row>
    <row r="10" spans="1:4" ht="10.95" customHeight="1">
      <c r="A10" s="1454" t="s">
        <v>2133</v>
      </c>
      <c r="B10" s="1454"/>
      <c r="C10" s="1454"/>
      <c r="D10" s="1455">
        <f>D9</f>
        <v>1427678.42</v>
      </c>
    </row>
    <row r="11" spans="1:4" ht="13.35" customHeight="1"/>
    <row r="12" spans="1:4" s="1444" customFormat="1" ht="12.15" customHeight="1">
      <c r="A12" s="1445" t="s">
        <v>1030</v>
      </c>
      <c r="B12" s="1445"/>
      <c r="C12" s="1445"/>
      <c r="D12" s="1445"/>
    </row>
    <row r="13" spans="1:4" ht="10.95" customHeight="1">
      <c r="A13" s="1446" t="s">
        <v>1116</v>
      </c>
      <c r="B13" s="1447">
        <v>46038</v>
      </c>
      <c r="C13" s="1446" t="s">
        <v>2263</v>
      </c>
      <c r="D13" s="1448">
        <v>31106</v>
      </c>
    </row>
    <row r="14" spans="1:4" ht="10.95" customHeight="1">
      <c r="A14" s="1450" t="s">
        <v>1116</v>
      </c>
      <c r="B14" s="1451">
        <v>46044</v>
      </c>
      <c r="C14" s="1450" t="s">
        <v>2264</v>
      </c>
      <c r="D14" s="1452">
        <v>137000.22</v>
      </c>
    </row>
    <row r="15" spans="1:4" ht="10.95" customHeight="1">
      <c r="A15" s="1450" t="s">
        <v>2265</v>
      </c>
      <c r="B15" s="1451">
        <v>46044</v>
      </c>
      <c r="C15" s="1450" t="s">
        <v>2266</v>
      </c>
      <c r="D15" s="1452">
        <v>32487.33</v>
      </c>
    </row>
    <row r="16" spans="1:4" ht="10.95" customHeight="1">
      <c r="A16" s="1450" t="s">
        <v>2267</v>
      </c>
      <c r="B16" s="1451">
        <v>46049</v>
      </c>
      <c r="C16" s="1450" t="s">
        <v>2268</v>
      </c>
      <c r="D16" s="1452">
        <v>9147.36</v>
      </c>
    </row>
    <row r="17" spans="1:4" ht="10.95" customHeight="1">
      <c r="A17" s="1454" t="s">
        <v>1831</v>
      </c>
      <c r="B17" s="1454"/>
      <c r="C17" s="1454"/>
      <c r="D17" s="1455">
        <f>SUM(D13:D16)</f>
        <v>209740.90999999997</v>
      </c>
    </row>
    <row r="18" spans="1:4" ht="13.35" customHeight="1"/>
    <row r="19" spans="1:4" s="1444" customFormat="1" ht="12.15" customHeight="1">
      <c r="A19" s="1445" t="s">
        <v>2056</v>
      </c>
      <c r="B19" s="1445"/>
      <c r="C19" s="1445"/>
      <c r="D19" s="1445"/>
    </row>
    <row r="20" spans="1:4" ht="10.95" customHeight="1">
      <c r="A20" s="1446" t="s">
        <v>1116</v>
      </c>
      <c r="B20" s="1447">
        <v>46031</v>
      </c>
      <c r="C20" s="1446" t="s">
        <v>2269</v>
      </c>
      <c r="D20" s="1448">
        <v>103863.8</v>
      </c>
    </row>
    <row r="21" spans="1:4" ht="10.95" customHeight="1">
      <c r="A21" s="1450" t="s">
        <v>1116</v>
      </c>
      <c r="B21" s="1451">
        <v>46035</v>
      </c>
      <c r="C21" s="1450" t="s">
        <v>2270</v>
      </c>
      <c r="D21" s="1452">
        <v>16734.400000000001</v>
      </c>
    </row>
    <row r="22" spans="1:4" ht="10.95" customHeight="1">
      <c r="A22" s="1450" t="s">
        <v>1116</v>
      </c>
      <c r="B22" s="1451">
        <v>46038</v>
      </c>
      <c r="C22" s="1450" t="s">
        <v>2271</v>
      </c>
      <c r="D22" s="1452">
        <v>217.32</v>
      </c>
    </row>
    <row r="23" spans="1:4" ht="10.95" customHeight="1">
      <c r="A23" s="1450" t="s">
        <v>1084</v>
      </c>
      <c r="B23" s="1451">
        <v>46038</v>
      </c>
      <c r="C23" s="1450" t="s">
        <v>2272</v>
      </c>
      <c r="D23" s="1452">
        <v>11759</v>
      </c>
    </row>
    <row r="24" spans="1:4" ht="10.95" customHeight="1">
      <c r="A24" s="1446" t="s">
        <v>1116</v>
      </c>
      <c r="B24" s="1447">
        <v>46038</v>
      </c>
      <c r="C24" s="1446" t="s">
        <v>2263</v>
      </c>
      <c r="D24" s="1448">
        <v>192803</v>
      </c>
    </row>
    <row r="25" spans="1:4" ht="10.95" customHeight="1">
      <c r="A25" s="1450" t="s">
        <v>1116</v>
      </c>
      <c r="B25" s="1451">
        <v>46044</v>
      </c>
      <c r="C25" s="1450" t="s">
        <v>2264</v>
      </c>
      <c r="D25" s="1452">
        <v>549001.36</v>
      </c>
    </row>
    <row r="26" spans="1:4" ht="10.95" customHeight="1">
      <c r="A26" s="1450" t="s">
        <v>2265</v>
      </c>
      <c r="B26" s="1451">
        <v>46044</v>
      </c>
      <c r="C26" s="1450" t="s">
        <v>2266</v>
      </c>
      <c r="D26" s="1452">
        <v>81218.34</v>
      </c>
    </row>
    <row r="27" spans="1:4" ht="10.95" customHeight="1">
      <c r="A27" s="1450" t="s">
        <v>2267</v>
      </c>
      <c r="B27" s="1451">
        <v>46049</v>
      </c>
      <c r="C27" s="1450" t="s">
        <v>2268</v>
      </c>
      <c r="D27" s="1452">
        <v>14124.6</v>
      </c>
    </row>
    <row r="28" spans="1:4" ht="10.95" customHeight="1">
      <c r="A28" s="1450" t="s">
        <v>1116</v>
      </c>
      <c r="B28" s="1451">
        <v>46042</v>
      </c>
      <c r="C28" s="1450" t="s">
        <v>2273</v>
      </c>
      <c r="D28" s="1452">
        <v>19398.099999999999</v>
      </c>
    </row>
    <row r="29" spans="1:4" ht="10.95" customHeight="1">
      <c r="A29" s="1450" t="s">
        <v>1116</v>
      </c>
      <c r="B29" s="1451">
        <v>46042</v>
      </c>
      <c r="C29" s="1450" t="s">
        <v>2274</v>
      </c>
      <c r="D29" s="1452">
        <v>3320</v>
      </c>
    </row>
    <row r="30" spans="1:4" ht="10.95" customHeight="1">
      <c r="A30" s="1450" t="s">
        <v>2275</v>
      </c>
      <c r="B30" s="1451">
        <v>46042</v>
      </c>
      <c r="C30" s="1450" t="s">
        <v>2276</v>
      </c>
      <c r="D30" s="1452">
        <v>455020.98</v>
      </c>
    </row>
    <row r="31" spans="1:4" ht="10.95" customHeight="1">
      <c r="A31" s="1450" t="s">
        <v>2277</v>
      </c>
      <c r="B31" s="1451">
        <v>46042</v>
      </c>
      <c r="C31" s="1450" t="s">
        <v>2278</v>
      </c>
      <c r="D31" s="1452">
        <v>80240</v>
      </c>
    </row>
    <row r="32" spans="1:4" ht="10.95" customHeight="1">
      <c r="A32" s="1450" t="s">
        <v>1116</v>
      </c>
      <c r="B32" s="1451">
        <v>46050</v>
      </c>
      <c r="C32" s="1450" t="s">
        <v>2279</v>
      </c>
      <c r="D32" s="1452">
        <v>790.59</v>
      </c>
    </row>
    <row r="33" spans="1:4" ht="10.95" customHeight="1">
      <c r="A33" s="1450" t="s">
        <v>2280</v>
      </c>
      <c r="B33" s="1451">
        <v>46051</v>
      </c>
      <c r="C33" s="1450" t="s">
        <v>2281</v>
      </c>
      <c r="D33" s="1452">
        <v>49560</v>
      </c>
    </row>
    <row r="34" spans="1:4" ht="10.95" customHeight="1">
      <c r="A34" s="1450" t="s">
        <v>2220</v>
      </c>
      <c r="B34" s="1451">
        <v>46051</v>
      </c>
      <c r="C34" s="1450" t="s">
        <v>2282</v>
      </c>
      <c r="D34" s="1452">
        <v>23425.1</v>
      </c>
    </row>
    <row r="35" spans="1:4" ht="10.95" customHeight="1">
      <c r="A35" s="1450" t="s">
        <v>1116</v>
      </c>
      <c r="B35" s="1451">
        <v>46052</v>
      </c>
      <c r="C35" s="1450" t="s">
        <v>2283</v>
      </c>
      <c r="D35" s="1452">
        <v>45592.49</v>
      </c>
    </row>
    <row r="36" spans="1:4" ht="10.95" customHeight="1">
      <c r="A36" s="1450" t="s">
        <v>1116</v>
      </c>
      <c r="B36" s="1451">
        <v>46052</v>
      </c>
      <c r="C36" s="1450" t="s">
        <v>2284</v>
      </c>
      <c r="D36" s="1452">
        <v>2240.1999999999998</v>
      </c>
    </row>
    <row r="37" spans="1:4" ht="10.95" customHeight="1">
      <c r="A37" s="1450" t="s">
        <v>1116</v>
      </c>
      <c r="B37" s="1451">
        <v>46052</v>
      </c>
      <c r="C37" s="1450" t="s">
        <v>2285</v>
      </c>
      <c r="D37" s="1452">
        <v>66195.34</v>
      </c>
    </row>
    <row r="38" spans="1:4" ht="10.95" customHeight="1">
      <c r="A38" s="1450" t="s">
        <v>1116</v>
      </c>
      <c r="B38" s="1451">
        <v>46052</v>
      </c>
      <c r="C38" s="1450" t="s">
        <v>2286</v>
      </c>
      <c r="D38" s="1452">
        <v>5800</v>
      </c>
    </row>
    <row r="39" spans="1:4" ht="10.95" customHeight="1">
      <c r="A39" s="1450" t="s">
        <v>2210</v>
      </c>
      <c r="B39" s="1451">
        <v>46053</v>
      </c>
      <c r="C39" s="1450" t="s">
        <v>2287</v>
      </c>
      <c r="D39" s="1452">
        <v>5035.13</v>
      </c>
    </row>
    <row r="40" spans="1:4" ht="10.95" customHeight="1">
      <c r="A40" s="1454" t="s">
        <v>2057</v>
      </c>
      <c r="B40" s="1454"/>
      <c r="C40" s="1454"/>
      <c r="D40" s="1455">
        <f>SUM(D20:D39)</f>
        <v>1726339.75</v>
      </c>
    </row>
    <row r="41" spans="1:4" ht="13.35" customHeight="1"/>
    <row r="42" spans="1:4" s="1444" customFormat="1" ht="12.15" customHeight="1">
      <c r="A42" s="1445" t="s">
        <v>2288</v>
      </c>
      <c r="B42" s="1445"/>
      <c r="C42" s="1445"/>
      <c r="D42" s="1445"/>
    </row>
    <row r="43" spans="1:4" ht="10.95" customHeight="1">
      <c r="A43" s="1446" t="s">
        <v>2289</v>
      </c>
      <c r="B43" s="1447">
        <v>46028</v>
      </c>
      <c r="C43" s="1446" t="s">
        <v>2290</v>
      </c>
      <c r="D43" s="1448">
        <v>8080.64</v>
      </c>
    </row>
    <row r="44" spans="1:4" ht="10.95" customHeight="1">
      <c r="A44" s="1454" t="s">
        <v>2141</v>
      </c>
      <c r="B44" s="1454"/>
      <c r="C44" s="1454"/>
      <c r="D44" s="1455">
        <f>D43</f>
        <v>8080.64</v>
      </c>
    </row>
    <row r="45" spans="1:4" ht="13.35" customHeight="1"/>
    <row r="46" spans="1:4" s="1444" customFormat="1" ht="12.15" customHeight="1">
      <c r="A46" s="1445" t="s">
        <v>1308</v>
      </c>
      <c r="B46" s="1445"/>
      <c r="C46" s="1445"/>
      <c r="D46" s="1445"/>
    </row>
    <row r="47" spans="1:4" ht="10.95" customHeight="1">
      <c r="A47" s="1446" t="s">
        <v>1045</v>
      </c>
      <c r="B47" s="1447">
        <v>46022</v>
      </c>
      <c r="C47" s="1446" t="s">
        <v>2223</v>
      </c>
      <c r="D47" s="1448">
        <v>92700.800000000003</v>
      </c>
    </row>
    <row r="48" spans="1:4" ht="10.95" customHeight="1">
      <c r="A48" s="1450" t="s">
        <v>1045</v>
      </c>
      <c r="B48" s="1451">
        <v>46053</v>
      </c>
      <c r="C48" s="1450" t="s">
        <v>2291</v>
      </c>
      <c r="D48" s="1452">
        <v>94777.600000000006</v>
      </c>
    </row>
    <row r="49" spans="1:4" ht="10.95" customHeight="1">
      <c r="A49" s="1454" t="s">
        <v>1835</v>
      </c>
      <c r="B49" s="1454"/>
      <c r="C49" s="1454"/>
      <c r="D49" s="1455">
        <f>SUM(D47:D48)</f>
        <v>187478.40000000002</v>
      </c>
    </row>
    <row r="50" spans="1:4" ht="13.35" customHeight="1"/>
    <row r="51" spans="1:4" s="1444" customFormat="1" ht="12.15" customHeight="1">
      <c r="A51" s="1445" t="s">
        <v>2022</v>
      </c>
      <c r="B51" s="1445"/>
      <c r="C51" s="1445"/>
      <c r="D51" s="1445"/>
    </row>
    <row r="52" spans="1:4" ht="10.95" customHeight="1">
      <c r="A52" s="1446" t="s">
        <v>2023</v>
      </c>
      <c r="B52" s="1447">
        <v>46051</v>
      </c>
      <c r="C52" s="1446" t="s">
        <v>2292</v>
      </c>
      <c r="D52" s="1448">
        <v>506964.3</v>
      </c>
    </row>
    <row r="53" spans="1:4" ht="10.95" customHeight="1">
      <c r="A53" s="1454" t="s">
        <v>2024</v>
      </c>
      <c r="B53" s="1454"/>
      <c r="C53" s="1454"/>
      <c r="D53" s="1455">
        <f>D52</f>
        <v>506964.3</v>
      </c>
    </row>
    <row r="54" spans="1:4" ht="13.35" customHeight="1"/>
    <row r="55" spans="1:4" s="1444" customFormat="1" ht="12.15" customHeight="1">
      <c r="A55" s="1445" t="s">
        <v>1475</v>
      </c>
      <c r="B55" s="1445"/>
      <c r="C55" s="1445"/>
      <c r="D55" s="1445"/>
    </row>
    <row r="56" spans="1:4" ht="10.95" customHeight="1">
      <c r="A56" s="1446" t="s">
        <v>914</v>
      </c>
      <c r="B56" s="1447">
        <v>46034</v>
      </c>
      <c r="C56" s="1446" t="s">
        <v>2293</v>
      </c>
      <c r="D56" s="1448">
        <v>1557830.38</v>
      </c>
    </row>
    <row r="57" spans="1:4" ht="10.95" customHeight="1">
      <c r="A57" s="1450" t="s">
        <v>1569</v>
      </c>
      <c r="B57" s="1451">
        <v>46037</v>
      </c>
      <c r="C57" s="1450" t="s">
        <v>2294</v>
      </c>
      <c r="D57" s="1452">
        <v>805585.19</v>
      </c>
    </row>
    <row r="58" spans="1:4" ht="10.95" customHeight="1">
      <c r="A58" s="1450" t="s">
        <v>1569</v>
      </c>
      <c r="B58" s="1451">
        <v>46050</v>
      </c>
      <c r="C58" s="1450" t="s">
        <v>2295</v>
      </c>
      <c r="D58" s="1452">
        <v>757477.21</v>
      </c>
    </row>
    <row r="59" spans="1:4" ht="10.95" customHeight="1">
      <c r="A59" s="1454" t="s">
        <v>1841</v>
      </c>
      <c r="B59" s="1454"/>
      <c r="C59" s="1454"/>
      <c r="D59" s="1455">
        <f>SUM(D56:D58)</f>
        <v>3120892.78</v>
      </c>
    </row>
    <row r="60" spans="1:4" ht="13.35" customHeight="1"/>
    <row r="61" spans="1:4" s="1444" customFormat="1" ht="12.15" customHeight="1">
      <c r="A61" s="1445" t="s">
        <v>1847</v>
      </c>
      <c r="B61" s="1445"/>
      <c r="C61" s="1445"/>
      <c r="D61" s="1445"/>
    </row>
    <row r="62" spans="1:4" ht="10.95" customHeight="1">
      <c r="A62" s="1446" t="s">
        <v>1045</v>
      </c>
      <c r="B62" s="1447">
        <v>46022</v>
      </c>
      <c r="C62" s="1446" t="s">
        <v>2227</v>
      </c>
      <c r="D62" s="1448">
        <v>92889.600000000006</v>
      </c>
    </row>
    <row r="63" spans="1:4" ht="10.95" customHeight="1">
      <c r="A63" s="1450" t="s">
        <v>1043</v>
      </c>
      <c r="B63" s="1451">
        <v>46041</v>
      </c>
      <c r="C63" s="1450" t="s">
        <v>2296</v>
      </c>
      <c r="D63" s="1452">
        <v>15681.49</v>
      </c>
    </row>
    <row r="64" spans="1:4" ht="10.95" customHeight="1">
      <c r="A64" s="1450" t="s">
        <v>2297</v>
      </c>
      <c r="B64" s="1451">
        <v>46053</v>
      </c>
      <c r="C64" s="1450" t="s">
        <v>2298</v>
      </c>
      <c r="D64" s="1452">
        <v>14000</v>
      </c>
    </row>
    <row r="65" spans="1:4" ht="10.95" customHeight="1">
      <c r="A65" s="1450" t="s">
        <v>1045</v>
      </c>
      <c r="B65" s="1451">
        <v>46053</v>
      </c>
      <c r="C65" s="1450" t="s">
        <v>2299</v>
      </c>
      <c r="D65" s="1452">
        <v>70233.600000000006</v>
      </c>
    </row>
    <row r="66" spans="1:4" ht="10.95" customHeight="1">
      <c r="A66" s="1454" t="s">
        <v>1850</v>
      </c>
      <c r="B66" s="1454"/>
      <c r="C66" s="1454"/>
      <c r="D66" s="1455">
        <f>SUM(D62:D65)</f>
        <v>192804.69</v>
      </c>
    </row>
    <row r="67" spans="1:4" ht="10.95" customHeight="1">
      <c r="A67" s="1458"/>
      <c r="B67" s="1458"/>
      <c r="C67" s="1458"/>
      <c r="D67" s="1459"/>
    </row>
    <row r="68" spans="1:4" s="453" customFormat="1" ht="10.95" customHeight="1">
      <c r="A68" s="454" t="s">
        <v>2156</v>
      </c>
      <c r="B68" s="454"/>
      <c r="C68" s="454"/>
      <c r="D68" s="454"/>
    </row>
    <row r="69" spans="1:4" customFormat="1" ht="10.95" customHeight="1">
      <c r="A69" s="455" t="s">
        <v>1734</v>
      </c>
      <c r="B69" s="1128">
        <v>46045</v>
      </c>
      <c r="C69" s="455" t="s">
        <v>2300</v>
      </c>
      <c r="D69" s="456">
        <v>74014.789999999994</v>
      </c>
    </row>
    <row r="70" spans="1:4" customFormat="1" ht="10.95" customHeight="1">
      <c r="A70" s="457" t="s">
        <v>2158</v>
      </c>
      <c r="B70" s="457"/>
      <c r="C70" s="457"/>
      <c r="D70" s="458">
        <f>D69</f>
        <v>74014.789999999994</v>
      </c>
    </row>
    <row r="71" spans="1:4" ht="13.35" customHeight="1"/>
    <row r="72" spans="1:4" s="1444" customFormat="1" ht="12.15" customHeight="1">
      <c r="A72" s="1445" t="s">
        <v>2160</v>
      </c>
      <c r="B72" s="1445"/>
      <c r="C72" s="1445"/>
      <c r="D72" s="1445"/>
    </row>
    <row r="73" spans="1:4" ht="10.95" customHeight="1">
      <c r="A73" s="1446" t="s">
        <v>1855</v>
      </c>
      <c r="B73" s="1447">
        <v>46028</v>
      </c>
      <c r="C73" s="1446" t="s">
        <v>2301</v>
      </c>
      <c r="D73" s="1448">
        <v>94400</v>
      </c>
    </row>
    <row r="74" spans="1:4" ht="10.95" customHeight="1">
      <c r="A74" s="1450" t="s">
        <v>1631</v>
      </c>
      <c r="B74" s="1451">
        <v>46045</v>
      </c>
      <c r="C74" s="1450" t="s">
        <v>782</v>
      </c>
      <c r="D74" s="1452">
        <v>74464.61</v>
      </c>
    </row>
    <row r="75" spans="1:4" ht="10.95" customHeight="1">
      <c r="A75" s="1454" t="s">
        <v>2164</v>
      </c>
      <c r="B75" s="1454"/>
      <c r="C75" s="1454"/>
      <c r="D75" s="1455">
        <f>SUM(D73:D74)</f>
        <v>168864.61</v>
      </c>
    </row>
    <row r="76" spans="1:4" ht="13.35" customHeight="1"/>
    <row r="77" spans="1:4" s="1444" customFormat="1" ht="12.15" customHeight="1">
      <c r="A77" s="1445" t="s">
        <v>2031</v>
      </c>
      <c r="B77" s="1445"/>
      <c r="C77" s="1445"/>
      <c r="D77" s="1445"/>
    </row>
    <row r="78" spans="1:4" ht="10.95" customHeight="1">
      <c r="A78" s="1446" t="s">
        <v>746</v>
      </c>
      <c r="B78" s="1447">
        <v>46029</v>
      </c>
      <c r="C78" s="1446" t="s">
        <v>2302</v>
      </c>
      <c r="D78" s="1448">
        <v>42480</v>
      </c>
    </row>
    <row r="79" spans="1:4" ht="10.95" customHeight="1">
      <c r="A79" s="1450" t="s">
        <v>2228</v>
      </c>
      <c r="B79" s="1451">
        <v>46037</v>
      </c>
      <c r="C79" s="1450" t="s">
        <v>2303</v>
      </c>
      <c r="D79" s="1452">
        <v>88269.5</v>
      </c>
    </row>
    <row r="80" spans="1:4" ht="10.95" customHeight="1">
      <c r="A80" s="1450" t="s">
        <v>1855</v>
      </c>
      <c r="B80" s="1451">
        <v>46051</v>
      </c>
      <c r="C80" s="1450" t="s">
        <v>2304</v>
      </c>
      <c r="D80" s="1452">
        <v>5310</v>
      </c>
    </row>
    <row r="81" spans="1:4" ht="10.95" customHeight="1">
      <c r="A81" s="1450" t="s">
        <v>781</v>
      </c>
      <c r="B81" s="1451">
        <v>46051</v>
      </c>
      <c r="C81" s="1450" t="s">
        <v>2305</v>
      </c>
      <c r="D81" s="1452">
        <v>124667</v>
      </c>
    </row>
    <row r="82" spans="1:4" ht="10.95" customHeight="1">
      <c r="A82" s="1454" t="s">
        <v>2032</v>
      </c>
      <c r="B82" s="1454"/>
      <c r="C82" s="1454"/>
      <c r="D82" s="1455">
        <f>SUM(D78:D81)</f>
        <v>260726.5</v>
      </c>
    </row>
    <row r="83" spans="1:4" ht="13.35" customHeight="1"/>
    <row r="84" spans="1:4" s="1444" customFormat="1" ht="12.15" customHeight="1">
      <c r="A84" s="1445" t="s">
        <v>919</v>
      </c>
      <c r="B84" s="1445"/>
      <c r="C84" s="1445"/>
      <c r="D84" s="1445"/>
    </row>
    <row r="85" spans="1:4" ht="10.95" customHeight="1">
      <c r="A85" s="1446" t="s">
        <v>795</v>
      </c>
      <c r="B85" s="1447">
        <v>46052</v>
      </c>
      <c r="C85" s="1446" t="s">
        <v>2306</v>
      </c>
      <c r="D85" s="1448">
        <v>371110</v>
      </c>
    </row>
    <row r="86" spans="1:4" ht="10.95" customHeight="1">
      <c r="A86" s="1454" t="s">
        <v>1864</v>
      </c>
      <c r="B86" s="1454"/>
      <c r="C86" s="1454"/>
      <c r="D86" s="1455">
        <f>D85</f>
        <v>371110</v>
      </c>
    </row>
    <row r="87" spans="1:4" ht="13.35" customHeight="1"/>
    <row r="88" spans="1:4" ht="10.95" customHeight="1">
      <c r="A88" s="1461" t="s">
        <v>164</v>
      </c>
      <c r="B88" s="1461"/>
      <c r="C88" s="1461"/>
      <c r="D88" s="1462">
        <f>SUM(D10,D17,D40,D44,D49,D53,D59,D66,D75,D82,D86,D70)</f>
        <v>8254695.79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2D5B3-A0F0-42BA-BEAA-1B2B89C6D937}">
  <dimension ref="A1:H22"/>
  <sheetViews>
    <sheetView showGridLines="0" zoomScaleNormal="100" workbookViewId="0">
      <selection activeCell="A25" sqref="A25"/>
    </sheetView>
  </sheetViews>
  <sheetFormatPr baseColWidth="10" defaultColWidth="8" defaultRowHeight="11.4"/>
  <cols>
    <col min="1" max="1" width="37.6640625" style="1440" customWidth="1"/>
    <col min="2" max="2" width="11.44140625" style="1440" customWidth="1"/>
    <col min="3" max="3" width="9.88671875" style="1440" bestFit="1" customWidth="1"/>
    <col min="4" max="4" width="9.88671875" style="1440" customWidth="1"/>
    <col min="5" max="5" width="10.33203125" style="1440" customWidth="1"/>
    <col min="6" max="7" width="11.44140625" style="1440" customWidth="1"/>
    <col min="8" max="16384" width="8" style="1440"/>
  </cols>
  <sheetData>
    <row r="1" spans="1:8" s="1437" customFormat="1" ht="16.649999999999999" customHeight="1">
      <c r="A1" s="1436" t="s">
        <v>771</v>
      </c>
      <c r="B1" s="1436"/>
      <c r="C1" s="1436"/>
      <c r="D1" s="1436"/>
      <c r="E1" s="1436"/>
      <c r="F1" s="1436"/>
      <c r="G1" s="1436"/>
    </row>
    <row r="2" spans="1:8" s="1439" customFormat="1" ht="14.4" customHeight="1">
      <c r="A2" s="2170" t="s">
        <v>236</v>
      </c>
      <c r="B2" s="2170"/>
      <c r="C2" s="2170"/>
      <c r="D2" s="2170"/>
      <c r="E2" s="2170"/>
      <c r="F2" s="2170"/>
      <c r="G2" s="2170"/>
    </row>
    <row r="3" spans="1:8" s="1439" customFormat="1" ht="14.4" customHeight="1">
      <c r="A3" s="2170" t="s">
        <v>2261</v>
      </c>
      <c r="B3" s="2170"/>
      <c r="C3" s="2170"/>
      <c r="D3" s="2170"/>
      <c r="E3" s="2170"/>
      <c r="F3" s="2170"/>
      <c r="G3" s="2170"/>
    </row>
    <row r="4" spans="1:8" s="1439" customFormat="1" ht="14.4" customHeight="1">
      <c r="A4" s="1438"/>
      <c r="B4" s="1438"/>
      <c r="C4" s="1438"/>
      <c r="D4" s="1438"/>
      <c r="E4" s="1438"/>
      <c r="F4" s="1438"/>
      <c r="G4" s="1438"/>
    </row>
    <row r="5" spans="1:8" ht="13.35" customHeight="1" thickBot="1"/>
    <row r="6" spans="1:8" s="1444" customFormat="1" ht="12.15" customHeight="1">
      <c r="A6" s="1609" t="s">
        <v>862</v>
      </c>
      <c r="B6" s="1610" t="s">
        <v>824</v>
      </c>
      <c r="C6" s="1610" t="s">
        <v>825</v>
      </c>
      <c r="D6" s="1610" t="s">
        <v>826</v>
      </c>
      <c r="E6" s="1610" t="s">
        <v>827</v>
      </c>
      <c r="F6" s="1610" t="s">
        <v>828</v>
      </c>
      <c r="G6" s="1500" t="s">
        <v>164</v>
      </c>
    </row>
    <row r="7" spans="1:8" ht="10.95" customHeight="1">
      <c r="A7" s="1726" t="s">
        <v>2234</v>
      </c>
      <c r="B7" s="1625">
        <v>0</v>
      </c>
      <c r="C7" s="1625">
        <v>0</v>
      </c>
      <c r="D7" s="1625">
        <v>0</v>
      </c>
      <c r="E7" s="1625">
        <v>0</v>
      </c>
      <c r="F7" s="1625">
        <v>1427678.42</v>
      </c>
      <c r="G7" s="1727">
        <v>1427678.42</v>
      </c>
      <c r="H7" s="1656">
        <f t="shared" ref="H7:H18" si="0">+G7/G$20</f>
        <v>0.17295348687828505</v>
      </c>
    </row>
    <row r="8" spans="1:8" ht="10.95" customHeight="1">
      <c r="A8" s="1611" t="s">
        <v>1025</v>
      </c>
      <c r="B8" s="1571">
        <v>209740.90999999997</v>
      </c>
      <c r="C8" s="1571">
        <v>0</v>
      </c>
      <c r="D8" s="1571">
        <v>0</v>
      </c>
      <c r="E8" s="1571">
        <v>0</v>
      </c>
      <c r="F8" s="1571">
        <v>0</v>
      </c>
      <c r="G8" s="1612">
        <v>209740.90999999997</v>
      </c>
      <c r="H8" s="1656">
        <f t="shared" si="0"/>
        <v>2.5408678325140311E-2</v>
      </c>
    </row>
    <row r="9" spans="1:8" ht="10.95" customHeight="1">
      <c r="A9" s="1611" t="s">
        <v>1795</v>
      </c>
      <c r="B9" s="1571">
        <v>1726339.75</v>
      </c>
      <c r="C9" s="1571">
        <v>0</v>
      </c>
      <c r="D9" s="1571">
        <v>0</v>
      </c>
      <c r="E9" s="1571">
        <v>0</v>
      </c>
      <c r="F9" s="1571">
        <v>0</v>
      </c>
      <c r="G9" s="1612">
        <v>1726339.75</v>
      </c>
      <c r="H9" s="1656">
        <f t="shared" si="0"/>
        <v>0.2091342665942145</v>
      </c>
    </row>
    <row r="10" spans="1:8" ht="10.95" customHeight="1">
      <c r="A10" s="1611" t="s">
        <v>1799</v>
      </c>
      <c r="B10" s="1571">
        <v>8080.64</v>
      </c>
      <c r="C10" s="1571">
        <v>0</v>
      </c>
      <c r="D10" s="1571">
        <v>0</v>
      </c>
      <c r="E10" s="1571">
        <v>0</v>
      </c>
      <c r="F10" s="1571">
        <v>0</v>
      </c>
      <c r="G10" s="1612">
        <v>8080.64</v>
      </c>
      <c r="H10" s="1656">
        <f t="shared" si="0"/>
        <v>9.7891433016697514E-4</v>
      </c>
    </row>
    <row r="11" spans="1:8" ht="10.95" customHeight="1">
      <c r="A11" s="1611" t="s">
        <v>1390</v>
      </c>
      <c r="B11" s="1571">
        <v>94777.600000000006</v>
      </c>
      <c r="C11" s="1571">
        <v>92700.800000000003</v>
      </c>
      <c r="D11" s="1571">
        <v>0</v>
      </c>
      <c r="E11" s="1571">
        <v>0</v>
      </c>
      <c r="F11" s="1571">
        <v>0</v>
      </c>
      <c r="G11" s="1612">
        <v>187478.39999999999</v>
      </c>
      <c r="H11" s="1656">
        <f t="shared" si="0"/>
        <v>2.2711727333079586E-2</v>
      </c>
    </row>
    <row r="12" spans="1:8" ht="10.95" customHeight="1">
      <c r="A12" s="1611" t="s">
        <v>2235</v>
      </c>
      <c r="B12" s="1571">
        <v>506964.3</v>
      </c>
      <c r="C12" s="1571">
        <v>0</v>
      </c>
      <c r="D12" s="1571">
        <v>0</v>
      </c>
      <c r="E12" s="1571">
        <v>0</v>
      </c>
      <c r="F12" s="1571">
        <v>0</v>
      </c>
      <c r="G12" s="1612">
        <v>506964.3</v>
      </c>
      <c r="H12" s="1656">
        <f t="shared" si="0"/>
        <v>6.1415261433880167E-2</v>
      </c>
    </row>
    <row r="13" spans="1:8" ht="10.95" customHeight="1">
      <c r="A13" s="1611" t="s">
        <v>1610</v>
      </c>
      <c r="B13" s="1571">
        <v>3120892.78</v>
      </c>
      <c r="C13" s="1571">
        <v>0</v>
      </c>
      <c r="D13" s="1571">
        <v>0</v>
      </c>
      <c r="E13" s="1571">
        <v>0</v>
      </c>
      <c r="F13" s="1571">
        <v>0</v>
      </c>
      <c r="G13" s="1612">
        <v>3120892.78</v>
      </c>
      <c r="H13" s="1656">
        <f t="shared" si="0"/>
        <v>0.37807483878215697</v>
      </c>
    </row>
    <row r="14" spans="1:8" ht="10.95" customHeight="1">
      <c r="A14" s="1611" t="s">
        <v>1757</v>
      </c>
      <c r="B14" s="1571">
        <v>99915.09</v>
      </c>
      <c r="C14" s="1571">
        <v>92889.600000000006</v>
      </c>
      <c r="D14" s="1571">
        <v>0</v>
      </c>
      <c r="E14" s="1571">
        <v>0</v>
      </c>
      <c r="F14" s="1571">
        <v>0</v>
      </c>
      <c r="G14" s="1612">
        <v>192804.69</v>
      </c>
      <c r="H14" s="1656">
        <f t="shared" si="0"/>
        <v>2.3356970978091005E-2</v>
      </c>
    </row>
    <row r="15" spans="1:8" ht="10.95" customHeight="1">
      <c r="A15" s="1611" t="s">
        <v>2307</v>
      </c>
      <c r="B15" s="1571">
        <v>74014.789999999994</v>
      </c>
      <c r="C15" s="1571">
        <v>0</v>
      </c>
      <c r="D15" s="1571">
        <v>0</v>
      </c>
      <c r="E15" s="1571">
        <v>0</v>
      </c>
      <c r="F15" s="1571">
        <v>0</v>
      </c>
      <c r="G15" s="1612">
        <v>74014.789999999994</v>
      </c>
      <c r="H15" s="1656">
        <f t="shared" si="0"/>
        <v>8.966386149525201E-3</v>
      </c>
    </row>
    <row r="16" spans="1:8" ht="10.95" customHeight="1">
      <c r="A16" s="1611" t="s">
        <v>2191</v>
      </c>
      <c r="B16" s="1571">
        <v>168864.61</v>
      </c>
      <c r="C16" s="1571">
        <v>0</v>
      </c>
      <c r="D16" s="1571">
        <v>0</v>
      </c>
      <c r="E16" s="1571">
        <v>0</v>
      </c>
      <c r="F16" s="1571">
        <v>0</v>
      </c>
      <c r="G16" s="1612">
        <v>168864.61</v>
      </c>
      <c r="H16" s="1656">
        <f t="shared" si="0"/>
        <v>2.0456793841460267E-2</v>
      </c>
    </row>
    <row r="17" spans="1:8" ht="10.95" customHeight="1">
      <c r="A17" s="1611" t="s">
        <v>2073</v>
      </c>
      <c r="B17" s="1571">
        <v>260726.5</v>
      </c>
      <c r="C17" s="1571">
        <v>0</v>
      </c>
      <c r="D17" s="1571">
        <v>0</v>
      </c>
      <c r="E17" s="1571">
        <v>0</v>
      </c>
      <c r="F17" s="1571">
        <v>0</v>
      </c>
      <c r="G17" s="1612">
        <v>260726.5</v>
      </c>
      <c r="H17" s="1656">
        <f t="shared" si="0"/>
        <v>3.1585234227026554E-2</v>
      </c>
    </row>
    <row r="18" spans="1:8" ht="10.95" customHeight="1">
      <c r="A18" s="1611" t="s">
        <v>860</v>
      </c>
      <c r="B18" s="1571">
        <v>371110</v>
      </c>
      <c r="C18" s="1571">
        <v>0</v>
      </c>
      <c r="D18" s="1571">
        <v>0</v>
      </c>
      <c r="E18" s="1571">
        <v>0</v>
      </c>
      <c r="F18" s="1571">
        <v>0</v>
      </c>
      <c r="G18" s="1612">
        <v>371110</v>
      </c>
      <c r="H18" s="1656">
        <f t="shared" si="0"/>
        <v>4.4957441126973377E-2</v>
      </c>
    </row>
    <row r="19" spans="1:8" ht="13.35" customHeight="1">
      <c r="A19" s="1491"/>
      <c r="B19" s="1644"/>
      <c r="C19" s="1644"/>
      <c r="D19" s="1644"/>
      <c r="E19" s="1644"/>
      <c r="F19" s="1644"/>
      <c r="G19" s="1603"/>
    </row>
    <row r="20" spans="1:8" ht="18" customHeight="1">
      <c r="A20" s="1607" t="s">
        <v>164</v>
      </c>
      <c r="B20" s="1575">
        <f t="shared" ref="B20:G20" si="1">SUM(B7:B18)</f>
        <v>6641426.9699999997</v>
      </c>
      <c r="C20" s="1575">
        <f t="shared" si="1"/>
        <v>185590.40000000002</v>
      </c>
      <c r="D20" s="1575">
        <f t="shared" si="1"/>
        <v>0</v>
      </c>
      <c r="E20" s="1575">
        <f t="shared" si="1"/>
        <v>0</v>
      </c>
      <c r="F20" s="1575">
        <f t="shared" si="1"/>
        <v>1427678.42</v>
      </c>
      <c r="G20" s="1613">
        <f t="shared" si="1"/>
        <v>8254695.79</v>
      </c>
    </row>
    <row r="21" spans="1:8" ht="13.35" customHeight="1">
      <c r="A21" s="1491"/>
      <c r="B21" s="1644"/>
      <c r="C21" s="1644"/>
      <c r="D21" s="1644"/>
      <c r="E21" s="1644"/>
      <c r="F21" s="1644"/>
      <c r="G21" s="1603"/>
    </row>
    <row r="22" spans="1:8" ht="16.95" customHeight="1" thickBot="1">
      <c r="A22" s="1608" t="s">
        <v>732</v>
      </c>
      <c r="B22" s="1728">
        <f>(SUM(B7:B18) / SUM(B7:F7,B8:F8,B9:F9,B10:F10,B11:F11,B12:F12,B13:F13,B14:F14,B15:F15,B16:F16,B17:F17,B18:F18))</f>
        <v>0.80456350409007626</v>
      </c>
      <c r="C22" s="1728">
        <f>(SUM(C7:C18) / SUM(B7:F7,B8:F8,B9:F9,B10:F10,B11:F11,B12:F12,B13:F13,B14:F14,B15:F15,B16:F16,B17:F17,B18:F18))</f>
        <v>2.2483009031638711E-2</v>
      </c>
      <c r="D22" s="1728">
        <f>(SUM(D7:D18) / SUM(B7:F7,B8:F8,B9:F9,B10:F10,B11:F11,B12:F12,B13:F13,B14:F14,B15:F15,B16:F16,B17:F17,B18:F18))</f>
        <v>0</v>
      </c>
      <c r="E22" s="1728">
        <f>(SUM(E7:E18) / SUM(B7:F7,B8:F8,B9:F9,B10:F10,B11:F11,B12:F12,B13:F13,B14:F14,B15:F15,B16:F16,B17:F17,B18:F18))</f>
        <v>0</v>
      </c>
      <c r="F22" s="1728">
        <f>(SUM(F7:F18) / SUM(B7:F7,B8:F8,B9:F9,B10:F10,B11:F11,B12:F12,B13:F13,B14:F14,B15:F15,B16:F16,B17:F17,B18:F18))</f>
        <v>0.17295348687828507</v>
      </c>
      <c r="G22" s="1729">
        <f>(SUM(G7:G18) / SUM(G7:G18))</f>
        <v>1</v>
      </c>
    </row>
  </sheetData>
  <mergeCells count="2">
    <mergeCell ref="A2:G2"/>
    <mergeCell ref="A3:G3"/>
  </mergeCells>
  <pageMargins left="0.7" right="0.7" top="0.75" bottom="0.75" header="0.3" footer="0.3"/>
  <pageSetup paperSize="9" fitToWidth="0" fitToHeight="0" orientation="portrait" horizontalDpi="0" verticalDpi="0"/>
  <ignoredErrors>
    <ignoredError sqref="B22:G22" formulaRange="1"/>
  </ignoredErrors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ED95D-4E7D-42DC-A14D-BDC6E089F664}">
  <sheetPr>
    <pageSetUpPr fitToPage="1"/>
  </sheetPr>
  <dimension ref="A1:G22"/>
  <sheetViews>
    <sheetView showGridLines="0" zoomScaleNormal="100" workbookViewId="0">
      <selection activeCell="H7" sqref="H7"/>
    </sheetView>
  </sheetViews>
  <sheetFormatPr baseColWidth="10" defaultColWidth="8" defaultRowHeight="11.4"/>
  <cols>
    <col min="1" max="1" width="20.6640625" style="408" customWidth="1"/>
    <col min="2" max="2" width="14.109375" style="408" bestFit="1" customWidth="1"/>
    <col min="3" max="3" width="52.33203125" style="528" bestFit="1" customWidth="1"/>
    <col min="4" max="4" width="32.33203125" style="408" customWidth="1"/>
    <col min="5" max="5" width="10" style="408" bestFit="1" customWidth="1"/>
    <col min="6" max="7" width="9.33203125" style="408" bestFit="1" customWidth="1"/>
    <col min="8" max="16384" width="8" style="408"/>
  </cols>
  <sheetData>
    <row r="1" spans="1:7" s="405" customFormat="1" ht="17.399999999999999">
      <c r="A1" s="2173" t="s">
        <v>1865</v>
      </c>
      <c r="B1" s="2173"/>
      <c r="C1" s="2173"/>
      <c r="D1" s="2173"/>
      <c r="E1" s="2173"/>
    </row>
    <row r="2" spans="1:7" s="407" customFormat="1" ht="15">
      <c r="A2" s="2151" t="s">
        <v>236</v>
      </c>
      <c r="B2" s="2151"/>
      <c r="C2" s="2151"/>
      <c r="D2" s="2152"/>
      <c r="E2" s="2151"/>
    </row>
    <row r="4" spans="1:7" s="412" customFormat="1" ht="13.2">
      <c r="A4" s="410" t="s">
        <v>1485</v>
      </c>
      <c r="B4" s="410" t="s">
        <v>1867</v>
      </c>
      <c r="C4" s="529" t="s">
        <v>817</v>
      </c>
      <c r="D4" s="410" t="s">
        <v>691</v>
      </c>
      <c r="E4" s="411" t="s">
        <v>1869</v>
      </c>
    </row>
    <row r="6" spans="1:7" ht="13.2">
      <c r="A6" s="1988" t="s">
        <v>2043</v>
      </c>
      <c r="B6" s="409"/>
      <c r="C6" s="530"/>
      <c r="D6" s="409"/>
      <c r="E6" s="409"/>
    </row>
    <row r="7" spans="1:7">
      <c r="A7" s="430">
        <v>45731</v>
      </c>
      <c r="B7" s="414" t="s">
        <v>1870</v>
      </c>
      <c r="C7" s="414" t="s">
        <v>2044</v>
      </c>
      <c r="D7" s="414" t="s">
        <v>1318</v>
      </c>
      <c r="E7" s="415">
        <v>826</v>
      </c>
    </row>
    <row r="8" spans="1:7" ht="12">
      <c r="A8" s="416" t="s">
        <v>2049</v>
      </c>
      <c r="B8" s="416"/>
      <c r="C8" s="532"/>
      <c r="D8" s="416"/>
      <c r="E8" s="417">
        <f>SUM(E7:E7)</f>
        <v>826</v>
      </c>
    </row>
    <row r="10" spans="1:7" s="412" customFormat="1" ht="13.2">
      <c r="A10" s="409" t="s">
        <v>2050</v>
      </c>
      <c r="B10" s="409"/>
      <c r="C10" s="530"/>
      <c r="D10" s="409"/>
      <c r="E10" s="409"/>
    </row>
    <row r="11" spans="1:7">
      <c r="A11" s="430">
        <v>46051</v>
      </c>
      <c r="B11" s="414" t="s">
        <v>1870</v>
      </c>
      <c r="C11" s="414" t="s">
        <v>1507</v>
      </c>
      <c r="D11" s="414" t="s">
        <v>2308</v>
      </c>
      <c r="E11" s="415">
        <v>246655.47</v>
      </c>
      <c r="G11" s="425"/>
    </row>
    <row r="12" spans="1:7" ht="12">
      <c r="A12" s="416" t="s">
        <v>1880</v>
      </c>
      <c r="B12" s="416"/>
      <c r="C12" s="532"/>
      <c r="D12" s="416"/>
      <c r="E12" s="417">
        <f>SUM(E11:E11)</f>
        <v>246655.47</v>
      </c>
      <c r="G12" s="425">
        <f>+E12+E16</f>
        <v>267895.46999999997</v>
      </c>
    </row>
    <row r="13" spans="1:7">
      <c r="G13" s="425"/>
    </row>
    <row r="14" spans="1:7" ht="13.2">
      <c r="A14" s="1988" t="s">
        <v>2073</v>
      </c>
      <c r="B14" s="409"/>
      <c r="C14" s="530"/>
      <c r="D14" s="409"/>
      <c r="E14" s="409"/>
      <c r="G14" s="425"/>
    </row>
    <row r="15" spans="1:7">
      <c r="A15" s="430">
        <v>45987</v>
      </c>
      <c r="B15" s="414" t="s">
        <v>1870</v>
      </c>
      <c r="C15" s="414" t="s">
        <v>2309</v>
      </c>
      <c r="D15" s="414" t="s">
        <v>2310</v>
      </c>
      <c r="E15" s="415">
        <v>21240</v>
      </c>
      <c r="G15" s="425"/>
    </row>
    <row r="16" spans="1:7" ht="12">
      <c r="A16" s="416" t="s">
        <v>2311</v>
      </c>
      <c r="B16" s="416"/>
      <c r="C16" s="532"/>
      <c r="D16" s="416"/>
      <c r="E16" s="417">
        <f>SUM(E15:E15)</f>
        <v>21240</v>
      </c>
      <c r="G16" s="425"/>
    </row>
    <row r="17" spans="1:5" ht="12">
      <c r="A17" s="413"/>
      <c r="B17" s="413"/>
      <c r="C17" s="1567"/>
      <c r="D17" s="413"/>
      <c r="E17" s="428"/>
    </row>
    <row r="18" spans="1:5" ht="13.2">
      <c r="A18" s="1988" t="s">
        <v>860</v>
      </c>
      <c r="B18" s="409"/>
      <c r="C18" s="530"/>
      <c r="D18" s="409"/>
      <c r="E18" s="409"/>
    </row>
    <row r="19" spans="1:5">
      <c r="A19" s="430">
        <v>46042</v>
      </c>
      <c r="B19" s="414" t="s">
        <v>1870</v>
      </c>
      <c r="C19" s="414" t="s">
        <v>2312</v>
      </c>
      <c r="D19" s="414" t="s">
        <v>2260</v>
      </c>
      <c r="E19" s="415">
        <v>8500</v>
      </c>
    </row>
    <row r="20" spans="1:5" ht="12">
      <c r="A20" s="416" t="s">
        <v>1890</v>
      </c>
      <c r="B20" s="416"/>
      <c r="C20" s="532"/>
      <c r="D20" s="416"/>
      <c r="E20" s="417">
        <f>SUM(E19:E19)</f>
        <v>8500</v>
      </c>
    </row>
    <row r="21" spans="1:5" ht="12">
      <c r="A21" s="413"/>
      <c r="B21" s="413"/>
      <c r="C21" s="1567"/>
      <c r="D21" s="413"/>
      <c r="E21" s="428"/>
    </row>
    <row r="22" spans="1:5" ht="12">
      <c r="A22" s="419" t="s">
        <v>164</v>
      </c>
      <c r="B22" s="419"/>
      <c r="C22" s="534"/>
      <c r="D22" s="419"/>
      <c r="E22" s="420">
        <f>+E8+E12+E16+E20</f>
        <v>277221.46999999997</v>
      </c>
    </row>
  </sheetData>
  <mergeCells count="2">
    <mergeCell ref="A2:E2"/>
    <mergeCell ref="A1:E1"/>
  </mergeCells>
  <pageMargins left="0.7" right="0.7" top="0.75" bottom="0.75" header="0.3" footer="0.3"/>
  <pageSetup scale="75" orientation="portrait"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BA917-51A4-4854-8F47-61A28EDA32EF}">
  <dimension ref="A1:E21"/>
  <sheetViews>
    <sheetView workbookViewId="0">
      <selection activeCell="A12" sqref="A12"/>
    </sheetView>
  </sheetViews>
  <sheetFormatPr baseColWidth="10" defaultColWidth="11.44140625" defaultRowHeight="14.4"/>
  <cols>
    <col min="1" max="1" width="38.6640625" bestFit="1" customWidth="1"/>
    <col min="2" max="2" width="19.109375" style="730" bestFit="1" customWidth="1"/>
    <col min="3" max="3" width="17.44140625" style="730" bestFit="1" customWidth="1"/>
    <col min="4" max="4" width="18.109375" style="730" customWidth="1"/>
    <col min="6" max="6" width="13.5546875" bestFit="1" customWidth="1"/>
    <col min="7" max="7" width="13.109375" bestFit="1" customWidth="1"/>
  </cols>
  <sheetData>
    <row r="1" spans="1:5" s="546" customFormat="1" ht="29.4" customHeight="1">
      <c r="A1" s="1652" t="s">
        <v>2313</v>
      </c>
      <c r="B1" s="1653" t="s">
        <v>849</v>
      </c>
      <c r="C1" s="1653" t="s">
        <v>850</v>
      </c>
      <c r="D1" s="1653" t="s">
        <v>851</v>
      </c>
    </row>
    <row r="2" spans="1:5" ht="15">
      <c r="A2" s="1651" t="s">
        <v>2314</v>
      </c>
      <c r="B2" s="731">
        <v>106933000</v>
      </c>
      <c r="C2" s="731">
        <v>264445081.16</v>
      </c>
      <c r="D2" s="731">
        <v>264445081.16</v>
      </c>
    </row>
    <row r="3" spans="1:5" ht="15">
      <c r="A3" s="1650" t="s">
        <v>2315</v>
      </c>
      <c r="B3" s="730">
        <v>25000000</v>
      </c>
      <c r="C3" s="730">
        <v>24418753.809999999</v>
      </c>
      <c r="D3" s="730">
        <v>23983270.809999999</v>
      </c>
    </row>
    <row r="4" spans="1:5" ht="15">
      <c r="A4" s="1699" t="s">
        <v>2316</v>
      </c>
      <c r="B4" s="1700">
        <v>469787395.50999999</v>
      </c>
      <c r="C4" s="1700">
        <v>36456870.020000003</v>
      </c>
      <c r="D4" s="1700">
        <v>34234614.609999999</v>
      </c>
      <c r="E4" s="2174">
        <f>+D4+D5</f>
        <v>37358508.240000002</v>
      </c>
    </row>
    <row r="5" spans="1:5" ht="15">
      <c r="A5" s="1699" t="s">
        <v>2317</v>
      </c>
      <c r="B5" s="1700">
        <v>1517615075.75</v>
      </c>
      <c r="C5" s="1700">
        <v>79214265.310000002</v>
      </c>
      <c r="D5" s="1700">
        <v>3123893.63</v>
      </c>
      <c r="E5" s="2150"/>
    </row>
    <row r="6" spans="1:5" ht="15">
      <c r="A6" s="1650" t="s">
        <v>2318</v>
      </c>
      <c r="B6" s="730">
        <v>198740247.96000001</v>
      </c>
      <c r="C6" s="730">
        <v>35537148.909999996</v>
      </c>
      <c r="D6" s="730">
        <v>28191306.359999999</v>
      </c>
    </row>
    <row r="7" spans="1:5" ht="15">
      <c r="A7" s="1650" t="s">
        <v>2319</v>
      </c>
      <c r="B7" s="730">
        <v>47896399.740000002</v>
      </c>
      <c r="C7" s="730">
        <v>2085881.09</v>
      </c>
      <c r="D7" s="730">
        <v>1047858.69</v>
      </c>
    </row>
    <row r="8" spans="1:5" ht="15">
      <c r="A8" s="1650" t="s">
        <v>2320</v>
      </c>
      <c r="B8" s="730">
        <v>39748049.590000004</v>
      </c>
      <c r="C8" s="730">
        <v>0</v>
      </c>
      <c r="D8" s="730">
        <v>0</v>
      </c>
    </row>
    <row r="9" spans="1:5" ht="15">
      <c r="A9" s="1650" t="s">
        <v>2321</v>
      </c>
      <c r="B9" s="730">
        <v>17866748.260000002</v>
      </c>
      <c r="C9" s="730">
        <v>8618393.0999999996</v>
      </c>
      <c r="D9" s="730">
        <v>2534821.5</v>
      </c>
    </row>
    <row r="10" spans="1:5" ht="15">
      <c r="A10" s="1651" t="s">
        <v>2322</v>
      </c>
      <c r="B10" s="731">
        <f>SUM(B3:B9)</f>
        <v>2316653916.8099999</v>
      </c>
      <c r="C10" s="731">
        <f t="shared" ref="C10:D10" si="0">SUM(C3:C9)</f>
        <v>186331312.23999998</v>
      </c>
      <c r="D10" s="731">
        <f t="shared" si="0"/>
        <v>93115765.599999994</v>
      </c>
    </row>
    <row r="11" spans="1:5" ht="15">
      <c r="A11" s="1650" t="s">
        <v>2323</v>
      </c>
      <c r="B11" s="730">
        <v>158992198.37</v>
      </c>
      <c r="C11" s="730">
        <v>17861175.969999999</v>
      </c>
      <c r="D11" s="730">
        <v>17861175.969999999</v>
      </c>
    </row>
    <row r="12" spans="1:5" ht="15">
      <c r="A12" s="1650" t="s">
        <v>2324</v>
      </c>
      <c r="B12" s="730">
        <v>329908811.24000001</v>
      </c>
      <c r="C12" s="730">
        <v>82096028.680000007</v>
      </c>
      <c r="D12" s="730">
        <v>81268343.769999996</v>
      </c>
    </row>
    <row r="13" spans="1:5" ht="15">
      <c r="A13" s="1650" t="s">
        <v>2325</v>
      </c>
      <c r="B13" s="730">
        <v>80207886.760000005</v>
      </c>
      <c r="C13" s="730">
        <v>2673212.11</v>
      </c>
      <c r="D13" s="730">
        <v>2747226.9</v>
      </c>
      <c r="E13" s="368">
        <v>74014.789999999994</v>
      </c>
    </row>
    <row r="14" spans="1:5" ht="15">
      <c r="A14" s="1650" t="s">
        <v>2326</v>
      </c>
      <c r="B14" s="730">
        <v>69559086.769999996</v>
      </c>
      <c r="C14" s="730">
        <v>27807157.140000001</v>
      </c>
      <c r="D14" s="730">
        <v>26326125.859999999</v>
      </c>
      <c r="E14" s="368">
        <f>+C13+E13</f>
        <v>2747226.9</v>
      </c>
    </row>
    <row r="15" spans="1:5" ht="15">
      <c r="A15" s="1650" t="s">
        <v>2327</v>
      </c>
      <c r="B15" s="730">
        <v>19874021.48</v>
      </c>
      <c r="C15" s="730">
        <v>0</v>
      </c>
      <c r="D15" s="730">
        <v>0</v>
      </c>
    </row>
    <row r="16" spans="1:5" ht="15">
      <c r="A16" s="1651" t="s">
        <v>2328</v>
      </c>
      <c r="B16" s="731">
        <f>SUM(B11:B15)</f>
        <v>658542004.62</v>
      </c>
      <c r="C16" s="731">
        <f t="shared" ref="C16:D16" si="1">SUM(C11:C15)</f>
        <v>130437573.90000001</v>
      </c>
      <c r="D16" s="731">
        <f t="shared" si="1"/>
        <v>128202872.5</v>
      </c>
    </row>
    <row r="17" spans="1:4" ht="15">
      <c r="A17" s="1650" t="s">
        <v>2329</v>
      </c>
      <c r="B17" s="730">
        <v>30500000</v>
      </c>
      <c r="C17" s="730">
        <v>23749760.079999998</v>
      </c>
      <c r="D17" s="730">
        <v>21129357.760000002</v>
      </c>
    </row>
    <row r="18" spans="1:4" ht="15">
      <c r="A18" s="1650" t="s">
        <v>2330</v>
      </c>
      <c r="B18" s="730">
        <v>229165392.31</v>
      </c>
      <c r="C18" s="730">
        <v>4414348</v>
      </c>
      <c r="D18" s="730">
        <v>4414348</v>
      </c>
    </row>
    <row r="19" spans="1:4" ht="15">
      <c r="A19" s="1650" t="s">
        <v>2331</v>
      </c>
      <c r="B19" s="730">
        <v>19874021.48</v>
      </c>
      <c r="C19" s="730">
        <v>0</v>
      </c>
      <c r="D19" s="730">
        <v>0</v>
      </c>
    </row>
    <row r="20" spans="1:4" ht="15">
      <c r="A20" s="1651" t="s">
        <v>2332</v>
      </c>
      <c r="B20" s="731">
        <f>SUM(B17:B19)</f>
        <v>279539413.79000002</v>
      </c>
      <c r="C20" s="731">
        <f t="shared" ref="C20:D20" si="2">SUM(C17:C19)</f>
        <v>28164108.079999998</v>
      </c>
      <c r="D20" s="731">
        <f t="shared" si="2"/>
        <v>25543705.760000002</v>
      </c>
    </row>
    <row r="21" spans="1:4" ht="16.8">
      <c r="A21" s="1654" t="s">
        <v>2333</v>
      </c>
      <c r="B21" s="1655">
        <f>+B10+B16+B20+B2</f>
        <v>3361668335.2199998</v>
      </c>
      <c r="C21" s="1655">
        <f>+C10+C16+C20+C2</f>
        <v>609378075.38</v>
      </c>
      <c r="D21" s="1655">
        <f>+D10+D16+D20+D2</f>
        <v>511307425.01999998</v>
      </c>
    </row>
  </sheetData>
  <mergeCells count="1">
    <mergeCell ref="E4:E5"/>
  </mergeCells>
  <pageMargins left="0.7" right="0.7" top="0.75" bottom="0.75" header="0.3" footer="0.3"/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936ED-2956-4941-8668-D8E2864A9D69}">
  <dimension ref="A1:R54"/>
  <sheetViews>
    <sheetView showGridLines="0" zoomScale="110" zoomScaleNormal="110" workbookViewId="0">
      <pane xSplit="1" ySplit="1" topLeftCell="G2" activePane="bottomRight" state="frozen"/>
      <selection pane="topRight" activeCell="C1" sqref="C1"/>
      <selection pane="bottomLeft" activeCell="A2" sqref="A2"/>
      <selection pane="bottomRight" activeCell="S11" sqref="S11"/>
    </sheetView>
  </sheetViews>
  <sheetFormatPr baseColWidth="10" defaultColWidth="11.5546875" defaultRowHeight="14.4"/>
  <cols>
    <col min="1" max="1" width="49.33203125" style="412" bestFit="1" customWidth="1"/>
    <col min="2" max="2" width="16.6640625" style="1241" hidden="1" customWidth="1"/>
    <col min="3" max="4" width="14.44140625" style="1241" hidden="1" customWidth="1"/>
    <col min="5" max="5" width="14.44140625" style="1236" hidden="1" customWidth="1"/>
    <col min="6" max="6" width="14.44140625" style="1241" hidden="1" customWidth="1"/>
    <col min="7" max="7" width="14.44140625" style="1236" hidden="1" customWidth="1"/>
    <col min="8" max="9" width="15.5546875" style="1236" hidden="1" customWidth="1"/>
    <col min="10" max="10" width="16.6640625" style="1236" hidden="1" customWidth="1"/>
    <col min="11" max="11" width="15.5546875" style="1236" hidden="1" customWidth="1"/>
    <col min="12" max="15" width="15.5546875" style="1236" customWidth="1"/>
    <col min="16" max="16" width="16.44140625" style="1236" bestFit="1" customWidth="1"/>
    <col min="17" max="17" width="11" style="400" bestFit="1" customWidth="1"/>
    <col min="18" max="18" width="7.33203125" style="400" bestFit="1" customWidth="1"/>
    <col min="19" max="35" width="7.6640625" style="408" customWidth="1"/>
    <col min="36" max="16384" width="11.5546875" style="408"/>
  </cols>
  <sheetData>
    <row r="1" spans="1:16" s="1228" customFormat="1" ht="13.8">
      <c r="A1" s="1228" t="s">
        <v>1791</v>
      </c>
      <c r="B1" s="1237">
        <v>45627</v>
      </c>
      <c r="C1" s="1237">
        <v>45658</v>
      </c>
      <c r="D1" s="1237">
        <v>45689</v>
      </c>
      <c r="E1" s="1232">
        <v>45717</v>
      </c>
      <c r="F1" s="1237">
        <v>45748</v>
      </c>
      <c r="G1" s="1232">
        <v>45778</v>
      </c>
      <c r="H1" s="1232">
        <v>45809</v>
      </c>
      <c r="I1" s="1232">
        <v>45839</v>
      </c>
      <c r="J1" s="1232">
        <v>45870</v>
      </c>
      <c r="K1" s="1232">
        <v>45901</v>
      </c>
      <c r="L1" s="1232">
        <v>45931</v>
      </c>
      <c r="M1" s="1232">
        <v>45962</v>
      </c>
      <c r="N1" s="1232">
        <v>45992</v>
      </c>
      <c r="O1" s="1232">
        <v>46023</v>
      </c>
      <c r="P1" s="1232" t="s">
        <v>168</v>
      </c>
    </row>
    <row r="2" spans="1:16" s="1229" customFormat="1" ht="10.199999999999999">
      <c r="A2" s="1229" t="s">
        <v>1487</v>
      </c>
      <c r="B2" s="1238">
        <f>SUM(B3)</f>
        <v>94172341.829999998</v>
      </c>
      <c r="C2" s="1238">
        <f t="shared" ref="C2:O2" si="0">SUM(C3)</f>
        <v>0</v>
      </c>
      <c r="D2" s="1238">
        <f t="shared" si="0"/>
        <v>0</v>
      </c>
      <c r="E2" s="1233">
        <f t="shared" si="0"/>
        <v>0</v>
      </c>
      <c r="F2" s="1238">
        <f t="shared" si="0"/>
        <v>0</v>
      </c>
      <c r="G2" s="1233">
        <f t="shared" si="0"/>
        <v>18880</v>
      </c>
      <c r="H2" s="1233">
        <f t="shared" si="0"/>
        <v>0</v>
      </c>
      <c r="I2" s="1233">
        <f t="shared" si="0"/>
        <v>0</v>
      </c>
      <c r="J2" s="1233">
        <f t="shared" si="0"/>
        <v>170252678.32999998</v>
      </c>
      <c r="K2" s="1233">
        <f t="shared" si="0"/>
        <v>1180</v>
      </c>
      <c r="L2" s="1233">
        <f t="shared" si="0"/>
        <v>0</v>
      </c>
      <c r="M2" s="1233">
        <f t="shared" si="0"/>
        <v>0</v>
      </c>
      <c r="N2" s="1233">
        <f t="shared" si="0"/>
        <v>0</v>
      </c>
      <c r="O2" s="1233">
        <f t="shared" si="0"/>
        <v>0</v>
      </c>
      <c r="P2" s="1233">
        <f>SUBTOTAL(9,B2:O2)</f>
        <v>264445080.15999997</v>
      </c>
    </row>
    <row r="3" spans="1:16" s="1231" customFormat="1" ht="10.199999999999999">
      <c r="A3" s="1231" t="s">
        <v>1388</v>
      </c>
      <c r="B3" s="1239">
        <v>94172341.829999998</v>
      </c>
      <c r="C3" s="1239"/>
      <c r="D3" s="1239"/>
      <c r="E3" s="1234"/>
      <c r="F3" s="1239"/>
      <c r="G3" s="1234">
        <v>18880</v>
      </c>
      <c r="H3" s="1234"/>
      <c r="I3" s="1234"/>
      <c r="J3" s="1234">
        <v>170252678.32999998</v>
      </c>
      <c r="K3" s="1234">
        <v>1180</v>
      </c>
      <c r="L3" s="1234"/>
      <c r="M3" s="1234"/>
      <c r="N3" s="1234"/>
      <c r="O3" s="1234"/>
      <c r="P3" s="1234">
        <f t="shared" ref="P3:P52" si="1">SUBTOTAL(9,B3:O3)</f>
        <v>264445080.15999997</v>
      </c>
    </row>
    <row r="4" spans="1:16" s="1229" customFormat="1" ht="10.199999999999999">
      <c r="A4" s="1229" t="s">
        <v>1490</v>
      </c>
      <c r="B4" s="1238">
        <f>SUM(B5)</f>
        <v>21168315.640000001</v>
      </c>
      <c r="C4" s="1238">
        <f t="shared" ref="C4:O4" si="2">SUM(C5)</f>
        <v>239349.75</v>
      </c>
      <c r="D4" s="1238">
        <f t="shared" si="2"/>
        <v>0</v>
      </c>
      <c r="E4" s="1233">
        <f t="shared" si="2"/>
        <v>146320</v>
      </c>
      <c r="F4" s="1238">
        <f t="shared" si="2"/>
        <v>108350.26</v>
      </c>
      <c r="G4" s="1233">
        <f t="shared" si="2"/>
        <v>53100</v>
      </c>
      <c r="H4" s="1233">
        <f t="shared" si="2"/>
        <v>0</v>
      </c>
      <c r="I4" s="1233">
        <f t="shared" si="2"/>
        <v>0</v>
      </c>
      <c r="J4" s="1233">
        <f t="shared" si="2"/>
        <v>1595686.82</v>
      </c>
      <c r="K4" s="1233">
        <f t="shared" si="2"/>
        <v>87792</v>
      </c>
      <c r="L4" s="1233">
        <f t="shared" si="2"/>
        <v>312774.26</v>
      </c>
      <c r="M4" s="1233">
        <f t="shared" si="2"/>
        <v>0</v>
      </c>
      <c r="N4" s="1233">
        <f t="shared" si="2"/>
        <v>0</v>
      </c>
      <c r="O4" s="1233">
        <f t="shared" si="2"/>
        <v>0</v>
      </c>
      <c r="P4" s="1233">
        <f t="shared" si="1"/>
        <v>23711688.730000004</v>
      </c>
    </row>
    <row r="5" spans="1:16" s="1231" customFormat="1" ht="10.199999999999999">
      <c r="A5" s="1231" t="s">
        <v>1389</v>
      </c>
      <c r="B5" s="1239">
        <v>21168315.640000001</v>
      </c>
      <c r="C5" s="1242">
        <v>239349.75</v>
      </c>
      <c r="D5" s="1239"/>
      <c r="E5" s="1234">
        <v>146320</v>
      </c>
      <c r="F5" s="1239">
        <v>108350.26</v>
      </c>
      <c r="G5" s="1234">
        <v>53100</v>
      </c>
      <c r="H5" s="1234"/>
      <c r="I5" s="1234"/>
      <c r="J5" s="1234">
        <v>1595686.82</v>
      </c>
      <c r="K5" s="1234">
        <v>87792</v>
      </c>
      <c r="L5" s="1234">
        <v>312774.26</v>
      </c>
      <c r="M5" s="1234">
        <v>0</v>
      </c>
      <c r="N5" s="1234"/>
      <c r="O5" s="1234"/>
      <c r="P5" s="1234">
        <f t="shared" si="1"/>
        <v>23711688.730000004</v>
      </c>
    </row>
    <row r="6" spans="1:16" s="1229" customFormat="1" ht="10.199999999999999">
      <c r="A6" s="1229" t="s">
        <v>1792</v>
      </c>
      <c r="B6" s="1238">
        <f>SUM(B7)</f>
        <v>9219083.5899999999</v>
      </c>
      <c r="C6" s="1238">
        <f t="shared" ref="C6:N6" si="3">SUM(C7)</f>
        <v>0</v>
      </c>
      <c r="D6" s="1238">
        <f t="shared" si="3"/>
        <v>0</v>
      </c>
      <c r="E6" s="1233">
        <f t="shared" si="3"/>
        <v>0</v>
      </c>
      <c r="F6" s="1238">
        <f t="shared" si="3"/>
        <v>353433.2</v>
      </c>
      <c r="G6" s="1233">
        <f t="shared" si="3"/>
        <v>93563.38</v>
      </c>
      <c r="H6" s="1233">
        <f t="shared" si="3"/>
        <v>806839.56</v>
      </c>
      <c r="I6" s="1233">
        <f t="shared" si="3"/>
        <v>3069742.21</v>
      </c>
      <c r="J6" s="1233">
        <f t="shared" si="3"/>
        <v>2900560.48</v>
      </c>
      <c r="K6" s="1233">
        <f t="shared" si="3"/>
        <v>342033.18</v>
      </c>
      <c r="L6" s="1233">
        <f t="shared" si="3"/>
        <v>201871.48</v>
      </c>
      <c r="M6" s="1233">
        <f t="shared" si="3"/>
        <v>1617336.11</v>
      </c>
      <c r="N6" s="1233">
        <f t="shared" si="3"/>
        <v>15407306.5</v>
      </c>
      <c r="O6" s="1233">
        <f>SUM(O7)</f>
        <v>222844.91</v>
      </c>
      <c r="P6" s="1233">
        <f t="shared" si="1"/>
        <v>34234614.599999994</v>
      </c>
    </row>
    <row r="7" spans="1:16" s="1231" customFormat="1" ht="10.199999999999999">
      <c r="A7" s="1231" t="s">
        <v>1793</v>
      </c>
      <c r="B7" s="1239">
        <v>9219083.5899999999</v>
      </c>
      <c r="C7" s="1239"/>
      <c r="D7" s="1239"/>
      <c r="E7" s="1234"/>
      <c r="F7" s="1239">
        <v>353433.2</v>
      </c>
      <c r="G7" s="1234">
        <v>93563.38</v>
      </c>
      <c r="H7" s="1234">
        <v>806839.56</v>
      </c>
      <c r="I7" s="1234">
        <v>3069742.21</v>
      </c>
      <c r="J7" s="1234">
        <v>2900560.48</v>
      </c>
      <c r="K7" s="1234">
        <v>342033.18</v>
      </c>
      <c r="L7" s="1234">
        <v>201871.48</v>
      </c>
      <c r="M7" s="1234">
        <v>1617336.11</v>
      </c>
      <c r="N7" s="1234">
        <v>15407306.5</v>
      </c>
      <c r="O7" s="1234">
        <v>222844.91</v>
      </c>
      <c r="P7" s="1234">
        <f t="shared" si="1"/>
        <v>34234614.599999994</v>
      </c>
    </row>
    <row r="8" spans="1:16" s="1229" customFormat="1" ht="10.199999999999999">
      <c r="A8" s="1229" t="s">
        <v>1794</v>
      </c>
      <c r="B8" s="1238">
        <f>SUM(B9)</f>
        <v>0</v>
      </c>
      <c r="C8" s="1238">
        <f t="shared" ref="C8:N8" si="4">SUM(C9)</f>
        <v>0</v>
      </c>
      <c r="D8" s="1238">
        <f t="shared" si="4"/>
        <v>0</v>
      </c>
      <c r="E8" s="1233">
        <f t="shared" si="4"/>
        <v>0</v>
      </c>
      <c r="F8" s="1238">
        <f t="shared" si="4"/>
        <v>0</v>
      </c>
      <c r="G8" s="1233">
        <f t="shared" si="4"/>
        <v>0</v>
      </c>
      <c r="H8" s="1233">
        <f t="shared" si="4"/>
        <v>0</v>
      </c>
      <c r="I8" s="1233">
        <f t="shared" si="4"/>
        <v>0</v>
      </c>
      <c r="J8" s="1233">
        <f t="shared" si="4"/>
        <v>0</v>
      </c>
      <c r="K8" s="1233">
        <f t="shared" si="4"/>
        <v>0</v>
      </c>
      <c r="L8" s="1233">
        <f t="shared" si="4"/>
        <v>0</v>
      </c>
      <c r="M8" s="1233">
        <f t="shared" si="4"/>
        <v>0</v>
      </c>
      <c r="N8" s="1233">
        <f t="shared" si="4"/>
        <v>991237.18</v>
      </c>
      <c r="O8" s="1233">
        <f>SUM(O9)</f>
        <v>2132656.4500000002</v>
      </c>
      <c r="P8" s="1233">
        <f t="shared" si="1"/>
        <v>3123893.6300000004</v>
      </c>
    </row>
    <row r="9" spans="1:16" s="1231" customFormat="1" ht="10.199999999999999">
      <c r="A9" s="1231" t="s">
        <v>1795</v>
      </c>
      <c r="B9" s="1239"/>
      <c r="C9" s="1239"/>
      <c r="D9" s="1239"/>
      <c r="E9" s="1234"/>
      <c r="F9" s="1239"/>
      <c r="G9" s="1234"/>
      <c r="H9" s="1234"/>
      <c r="I9" s="1234"/>
      <c r="J9" s="1234"/>
      <c r="K9" s="1234"/>
      <c r="L9" s="1234"/>
      <c r="M9" s="1234"/>
      <c r="N9" s="1234">
        <v>991237.18</v>
      </c>
      <c r="O9" s="1234">
        <v>2132656.4500000002</v>
      </c>
      <c r="P9" s="1234">
        <f t="shared" si="1"/>
        <v>3123893.6300000004</v>
      </c>
    </row>
    <row r="10" spans="1:16" s="1229" customFormat="1" ht="10.199999999999999">
      <c r="A10" s="1229" t="s">
        <v>952</v>
      </c>
      <c r="B10" s="1238">
        <f>SUM(B11)</f>
        <v>1644662.03</v>
      </c>
      <c r="C10" s="1238">
        <f t="shared" ref="C10:N10" si="5">SUM(C11)</f>
        <v>1770000</v>
      </c>
      <c r="D10" s="1238">
        <f t="shared" si="5"/>
        <v>0</v>
      </c>
      <c r="E10" s="1233">
        <f t="shared" si="5"/>
        <v>885000</v>
      </c>
      <c r="F10" s="1238">
        <f t="shared" si="5"/>
        <v>2455806.54</v>
      </c>
      <c r="G10" s="1233">
        <f t="shared" si="5"/>
        <v>2360000</v>
      </c>
      <c r="H10" s="1233">
        <f t="shared" si="5"/>
        <v>2417857.34</v>
      </c>
      <c r="I10" s="1233">
        <f t="shared" si="5"/>
        <v>2664755.19</v>
      </c>
      <c r="J10" s="1233">
        <f t="shared" si="5"/>
        <v>2360000</v>
      </c>
      <c r="K10" s="1233">
        <f t="shared" si="5"/>
        <v>2360000</v>
      </c>
      <c r="L10" s="1233">
        <f t="shared" si="5"/>
        <v>2360000</v>
      </c>
      <c r="M10" s="1233">
        <f t="shared" si="5"/>
        <v>2783225.26</v>
      </c>
      <c r="N10" s="1233">
        <f t="shared" si="5"/>
        <v>1770000</v>
      </c>
      <c r="O10" s="1233">
        <f>SUM(O11)</f>
        <v>2360000</v>
      </c>
      <c r="P10" s="1233">
        <f t="shared" si="1"/>
        <v>28191306.359999999</v>
      </c>
    </row>
    <row r="11" spans="1:16" s="1231" customFormat="1" ht="10.199999999999999">
      <c r="A11" s="1231" t="s">
        <v>1796</v>
      </c>
      <c r="B11" s="1239">
        <v>1644662.03</v>
      </c>
      <c r="C11" s="1243">
        <v>1770000</v>
      </c>
      <c r="D11" s="1239"/>
      <c r="E11" s="1234">
        <v>885000</v>
      </c>
      <c r="F11" s="1239">
        <v>2455806.54</v>
      </c>
      <c r="G11" s="1234">
        <v>2360000</v>
      </c>
      <c r="H11" s="1234">
        <v>2417857.34</v>
      </c>
      <c r="I11" s="1234">
        <v>2664755.19</v>
      </c>
      <c r="J11" s="1234">
        <v>2360000</v>
      </c>
      <c r="K11" s="1234">
        <v>2360000</v>
      </c>
      <c r="L11" s="1234">
        <v>2360000</v>
      </c>
      <c r="M11" s="1234">
        <v>2783225.26</v>
      </c>
      <c r="N11" s="1234">
        <v>1770000</v>
      </c>
      <c r="O11" s="1234">
        <v>2360000</v>
      </c>
      <c r="P11" s="1234">
        <f t="shared" si="1"/>
        <v>28191306.359999999</v>
      </c>
    </row>
    <row r="12" spans="1:16" s="1229" customFormat="1" ht="10.199999999999999">
      <c r="A12" s="1229" t="s">
        <v>1797</v>
      </c>
      <c r="B12" s="1238">
        <f>SUM(B13:B19)</f>
        <v>0</v>
      </c>
      <c r="C12" s="1238">
        <f t="shared" ref="C12:N12" si="6">SUM(C13:C19)</f>
        <v>0</v>
      </c>
      <c r="D12" s="1238">
        <f t="shared" si="6"/>
        <v>0</v>
      </c>
      <c r="E12" s="1233">
        <f t="shared" si="6"/>
        <v>0</v>
      </c>
      <c r="F12" s="1238">
        <f t="shared" si="6"/>
        <v>0</v>
      </c>
      <c r="G12" s="1233">
        <f t="shared" si="6"/>
        <v>0</v>
      </c>
      <c r="H12" s="1233">
        <f t="shared" si="6"/>
        <v>147108.53999999998</v>
      </c>
      <c r="I12" s="1233">
        <f t="shared" si="6"/>
        <v>92700.800000000003</v>
      </c>
      <c r="J12" s="1233">
        <f t="shared" si="6"/>
        <v>96854.399999999994</v>
      </c>
      <c r="K12" s="1233">
        <f t="shared" si="6"/>
        <v>90246.399999999994</v>
      </c>
      <c r="L12" s="1233">
        <f t="shared" si="6"/>
        <v>92700.800000000003</v>
      </c>
      <c r="M12" s="1233">
        <f t="shared" si="6"/>
        <v>332688.71000000002</v>
      </c>
      <c r="N12" s="1233">
        <f t="shared" si="6"/>
        <v>92700.800000000003</v>
      </c>
      <c r="O12" s="1233">
        <f t="shared" ref="O12" si="7">SUM(O13:O19)</f>
        <v>102858.24000000001</v>
      </c>
      <c r="P12" s="1233">
        <f t="shared" si="1"/>
        <v>1047858.6900000001</v>
      </c>
    </row>
    <row r="13" spans="1:16" s="1231" customFormat="1" ht="10.199999999999999">
      <c r="A13" s="1231" t="s">
        <v>1798</v>
      </c>
      <c r="B13" s="1240"/>
      <c r="C13" s="1240"/>
      <c r="D13" s="1240"/>
      <c r="E13" s="1235"/>
      <c r="F13" s="1240"/>
      <c r="G13" s="1235"/>
      <c r="H13" s="1235"/>
      <c r="I13" s="1235"/>
      <c r="J13" s="1235"/>
      <c r="K13" s="1235"/>
      <c r="L13" s="1235"/>
      <c r="M13" s="1235"/>
      <c r="N13" s="1235"/>
      <c r="O13" s="1235"/>
      <c r="P13" s="1235">
        <f t="shared" si="1"/>
        <v>0</v>
      </c>
    </row>
    <row r="14" spans="1:16" s="1231" customFormat="1" ht="10.199999999999999">
      <c r="A14" s="1231" t="s">
        <v>1799</v>
      </c>
      <c r="B14" s="1240"/>
      <c r="C14" s="1240"/>
      <c r="D14" s="1240"/>
      <c r="E14" s="1235"/>
      <c r="F14" s="1240"/>
      <c r="G14" s="1235"/>
      <c r="H14" s="1235"/>
      <c r="I14" s="1235"/>
      <c r="J14" s="1235"/>
      <c r="K14" s="1235"/>
      <c r="L14" s="1235"/>
      <c r="M14" s="1235">
        <v>191502.06</v>
      </c>
      <c r="N14" s="1235"/>
      <c r="O14" s="1235">
        <v>8080.64</v>
      </c>
      <c r="P14" s="1235">
        <f t="shared" si="1"/>
        <v>199582.7</v>
      </c>
    </row>
    <row r="15" spans="1:16" s="1231" customFormat="1" ht="10.199999999999999">
      <c r="A15" s="1231" t="s">
        <v>1800</v>
      </c>
      <c r="B15" s="1240"/>
      <c r="C15" s="1240"/>
      <c r="D15" s="1240"/>
      <c r="E15" s="1235"/>
      <c r="F15" s="1240"/>
      <c r="G15" s="1235"/>
      <c r="H15" s="1235"/>
      <c r="I15" s="1235"/>
      <c r="J15" s="1235"/>
      <c r="K15" s="1235"/>
      <c r="L15" s="1235"/>
      <c r="M15" s="1235">
        <v>52569</v>
      </c>
      <c r="N15" s="1235"/>
      <c r="O15" s="1235"/>
      <c r="P15" s="1235">
        <f t="shared" si="1"/>
        <v>52569</v>
      </c>
    </row>
    <row r="16" spans="1:16" s="1231" customFormat="1" ht="10.199999999999999">
      <c r="A16" s="1231" t="s">
        <v>1390</v>
      </c>
      <c r="B16" s="1240"/>
      <c r="C16" s="1240"/>
      <c r="D16" s="1240"/>
      <c r="E16" s="1235"/>
      <c r="F16" s="1240"/>
      <c r="G16" s="1235"/>
      <c r="H16" s="1235">
        <v>92323.199999999997</v>
      </c>
      <c r="I16" s="1235">
        <v>92700.800000000003</v>
      </c>
      <c r="J16" s="1235">
        <v>96854.399999999994</v>
      </c>
      <c r="K16" s="1235">
        <v>90246.399999999994</v>
      </c>
      <c r="L16" s="1235">
        <v>92700.800000000003</v>
      </c>
      <c r="M16" s="1235">
        <v>94400</v>
      </c>
      <c r="N16" s="1235">
        <v>92700.800000000003</v>
      </c>
      <c r="O16" s="1235">
        <v>94777.600000000006</v>
      </c>
      <c r="P16" s="1235">
        <f t="shared" si="1"/>
        <v>746704.00000000012</v>
      </c>
    </row>
    <row r="17" spans="1:16" s="1231" customFormat="1" ht="10.199999999999999">
      <c r="A17" s="1231" t="s">
        <v>2190</v>
      </c>
      <c r="B17" s="1240"/>
      <c r="C17" s="1240"/>
      <c r="D17" s="1240"/>
      <c r="E17" s="1235"/>
      <c r="F17" s="1240"/>
      <c r="G17" s="1235"/>
      <c r="H17" s="1235"/>
      <c r="I17" s="1235"/>
      <c r="J17" s="1235"/>
      <c r="K17" s="1235"/>
      <c r="L17" s="1235"/>
      <c r="M17" s="1235"/>
      <c r="N17" s="1235"/>
      <c r="O17" s="1235"/>
      <c r="P17" s="1235">
        <f t="shared" si="1"/>
        <v>0</v>
      </c>
    </row>
    <row r="18" spans="1:16" s="1231" customFormat="1" ht="10.199999999999999">
      <c r="A18" s="1231" t="s">
        <v>1391</v>
      </c>
      <c r="B18" s="1240"/>
      <c r="C18" s="1240"/>
      <c r="D18" s="1240"/>
      <c r="E18" s="1235"/>
      <c r="F18" s="1240"/>
      <c r="G18" s="1235"/>
      <c r="H18" s="1235">
        <v>54785.34</v>
      </c>
      <c r="I18" s="1235"/>
      <c r="J18" s="1235"/>
      <c r="K18" s="1235"/>
      <c r="L18" s="1235"/>
      <c r="M18" s="1235">
        <v>-5782.35</v>
      </c>
      <c r="N18" s="1235"/>
      <c r="O18" s="1235"/>
      <c r="P18" s="1235">
        <f t="shared" si="1"/>
        <v>49002.99</v>
      </c>
    </row>
    <row r="19" spans="1:16" s="1231" customFormat="1" ht="10.199999999999999">
      <c r="A19" s="1231" t="s">
        <v>1802</v>
      </c>
      <c r="B19" s="1240"/>
      <c r="C19" s="1240"/>
      <c r="D19" s="1240"/>
      <c r="E19" s="1235"/>
      <c r="F19" s="1240"/>
      <c r="G19" s="1235"/>
      <c r="H19" s="1235"/>
      <c r="I19" s="1235"/>
      <c r="J19" s="1235"/>
      <c r="K19" s="1235"/>
      <c r="L19" s="1235"/>
      <c r="M19" s="1235"/>
      <c r="N19" s="1235"/>
      <c r="O19" s="1235"/>
      <c r="P19" s="1235">
        <f t="shared" si="1"/>
        <v>0</v>
      </c>
    </row>
    <row r="20" spans="1:16" s="1229" customFormat="1" ht="10.199999999999999">
      <c r="A20" s="1229" t="s">
        <v>1803</v>
      </c>
      <c r="B20" s="1238">
        <f>SUM(B21)</f>
        <v>0</v>
      </c>
      <c r="C20" s="1238">
        <f t="shared" ref="C20:M20" si="8">SUM(C21)</f>
        <v>0</v>
      </c>
      <c r="D20" s="1238">
        <f t="shared" si="8"/>
        <v>0</v>
      </c>
      <c r="E20" s="1233">
        <f t="shared" si="8"/>
        <v>0</v>
      </c>
      <c r="F20" s="1238">
        <f t="shared" si="8"/>
        <v>0</v>
      </c>
      <c r="G20" s="1233">
        <f t="shared" si="8"/>
        <v>0</v>
      </c>
      <c r="H20" s="1233">
        <f t="shared" si="8"/>
        <v>0</v>
      </c>
      <c r="I20" s="1233">
        <f t="shared" si="8"/>
        <v>0</v>
      </c>
      <c r="J20" s="1233">
        <f t="shared" si="8"/>
        <v>0</v>
      </c>
      <c r="K20" s="1233">
        <f t="shared" si="8"/>
        <v>0</v>
      </c>
      <c r="L20" s="1233">
        <f t="shared" si="8"/>
        <v>0</v>
      </c>
      <c r="M20" s="1233">
        <f t="shared" si="8"/>
        <v>0</v>
      </c>
      <c r="N20" s="1233">
        <f>SUM(N21)</f>
        <v>0</v>
      </c>
      <c r="O20" s="1233">
        <f>SUM(O21)</f>
        <v>0</v>
      </c>
      <c r="P20" s="1233">
        <f t="shared" si="1"/>
        <v>0</v>
      </c>
    </row>
    <row r="21" spans="1:16" s="1231" customFormat="1" ht="10.199999999999999">
      <c r="A21" s="1231" t="s">
        <v>1804</v>
      </c>
      <c r="B21" s="1239"/>
      <c r="C21" s="1239"/>
      <c r="D21" s="1239"/>
      <c r="E21" s="1234"/>
      <c r="F21" s="1239"/>
      <c r="G21" s="1234"/>
      <c r="H21" s="1234"/>
      <c r="I21" s="1234"/>
      <c r="J21" s="1234"/>
      <c r="K21" s="1234"/>
      <c r="L21" s="1234"/>
      <c r="M21" s="1234"/>
      <c r="N21" s="1234"/>
      <c r="O21" s="1234"/>
      <c r="P21" s="1234">
        <f t="shared" si="1"/>
        <v>0</v>
      </c>
    </row>
    <row r="22" spans="1:16" s="1229" customFormat="1" ht="10.199999999999999">
      <c r="A22" s="1229" t="s">
        <v>1805</v>
      </c>
      <c r="B22" s="1238">
        <f>SUM(B23)</f>
        <v>0</v>
      </c>
      <c r="C22" s="1238">
        <f t="shared" ref="C22:O22" si="9">SUM(C23)</f>
        <v>0</v>
      </c>
      <c r="D22" s="1238">
        <f t="shared" si="9"/>
        <v>0</v>
      </c>
      <c r="E22" s="1233">
        <f t="shared" si="9"/>
        <v>0</v>
      </c>
      <c r="F22" s="1238">
        <f t="shared" si="9"/>
        <v>0</v>
      </c>
      <c r="G22" s="1233">
        <f t="shared" si="9"/>
        <v>0</v>
      </c>
      <c r="H22" s="1233">
        <f t="shared" si="9"/>
        <v>0</v>
      </c>
      <c r="I22" s="1233">
        <f t="shared" si="9"/>
        <v>0</v>
      </c>
      <c r="J22" s="1233">
        <f t="shared" si="9"/>
        <v>0</v>
      </c>
      <c r="K22" s="1233">
        <f t="shared" si="9"/>
        <v>0</v>
      </c>
      <c r="L22" s="1233">
        <f t="shared" si="9"/>
        <v>1013928.6</v>
      </c>
      <c r="M22" s="1233">
        <f t="shared" si="9"/>
        <v>506964.3</v>
      </c>
      <c r="N22" s="1233">
        <f t="shared" si="9"/>
        <v>506964.3</v>
      </c>
      <c r="O22" s="1233">
        <f t="shared" si="9"/>
        <v>506964.3</v>
      </c>
      <c r="P22" s="1233">
        <f t="shared" si="1"/>
        <v>2534821.5</v>
      </c>
    </row>
    <row r="23" spans="1:16" s="1231" customFormat="1" ht="10.199999999999999">
      <c r="A23" s="1231" t="s">
        <v>1806</v>
      </c>
      <c r="B23" s="1239"/>
      <c r="C23" s="1239"/>
      <c r="D23" s="1239"/>
      <c r="E23" s="1234"/>
      <c r="F23" s="1239"/>
      <c r="G23" s="1234"/>
      <c r="H23" s="1234"/>
      <c r="I23" s="1234"/>
      <c r="J23" s="1234"/>
      <c r="K23" s="1234"/>
      <c r="L23" s="1234">
        <v>1013928.6</v>
      </c>
      <c r="M23" s="1234">
        <v>506964.3</v>
      </c>
      <c r="N23" s="1234">
        <v>506964.3</v>
      </c>
      <c r="O23" s="1234">
        <v>506964.3</v>
      </c>
      <c r="P23" s="1234">
        <f t="shared" si="1"/>
        <v>2534821.5</v>
      </c>
    </row>
    <row r="24" spans="1:16" s="1229" customFormat="1" ht="10.199999999999999">
      <c r="A24" s="1229" t="s">
        <v>1807</v>
      </c>
      <c r="B24" s="1238">
        <f>SUM(B25)</f>
        <v>161175.97</v>
      </c>
      <c r="C24" s="1238">
        <f t="shared" ref="C24:O24" si="10">SUM(C25)</f>
        <v>0</v>
      </c>
      <c r="D24" s="1238">
        <f t="shared" si="10"/>
        <v>0</v>
      </c>
      <c r="E24" s="1233">
        <f t="shared" si="10"/>
        <v>0</v>
      </c>
      <c r="F24" s="1238">
        <f t="shared" si="10"/>
        <v>1770000</v>
      </c>
      <c r="G24" s="1233">
        <f t="shared" si="10"/>
        <v>1770000</v>
      </c>
      <c r="H24" s="1233">
        <f t="shared" si="10"/>
        <v>1770000</v>
      </c>
      <c r="I24" s="1233">
        <f t="shared" si="10"/>
        <v>1770000</v>
      </c>
      <c r="J24" s="1233">
        <f t="shared" si="10"/>
        <v>1770000</v>
      </c>
      <c r="K24" s="1233">
        <f t="shared" si="10"/>
        <v>1770000</v>
      </c>
      <c r="L24" s="1233">
        <f t="shared" si="10"/>
        <v>1770000</v>
      </c>
      <c r="M24" s="1233">
        <f t="shared" si="10"/>
        <v>1770000</v>
      </c>
      <c r="N24" s="1233">
        <f t="shared" si="10"/>
        <v>1770000</v>
      </c>
      <c r="O24" s="1233">
        <f t="shared" si="10"/>
        <v>1770000</v>
      </c>
      <c r="P24" s="1233">
        <f t="shared" si="1"/>
        <v>17861175.969999999</v>
      </c>
    </row>
    <row r="25" spans="1:16" s="1231" customFormat="1" ht="10.199999999999999">
      <c r="A25" s="1231" t="s">
        <v>954</v>
      </c>
      <c r="B25" s="1239">
        <v>161175.97</v>
      </c>
      <c r="C25" s="1239"/>
      <c r="D25" s="1239"/>
      <c r="E25" s="1234"/>
      <c r="F25" s="1239">
        <v>1770000</v>
      </c>
      <c r="G25" s="1234">
        <v>1770000</v>
      </c>
      <c r="H25" s="1234">
        <v>1770000</v>
      </c>
      <c r="I25" s="1234">
        <v>1770000</v>
      </c>
      <c r="J25" s="1234">
        <v>1770000</v>
      </c>
      <c r="K25" s="1234">
        <v>1770000</v>
      </c>
      <c r="L25" s="1234">
        <v>1770000</v>
      </c>
      <c r="M25" s="1234">
        <v>1770000</v>
      </c>
      <c r="N25" s="1234">
        <v>1770000</v>
      </c>
      <c r="O25" s="1234">
        <v>1770000</v>
      </c>
      <c r="P25" s="1234">
        <f t="shared" si="1"/>
        <v>17861175.969999999</v>
      </c>
    </row>
    <row r="26" spans="1:16" s="1229" customFormat="1" ht="10.199999999999999">
      <c r="A26" s="1229" t="s">
        <v>1808</v>
      </c>
      <c r="B26" s="1238">
        <f>SUM(B27:B30)</f>
        <v>559355.54</v>
      </c>
      <c r="C26" s="1238">
        <f t="shared" ref="C26:N26" si="11">SUM(C27:C30)</f>
        <v>0</v>
      </c>
      <c r="D26" s="1238">
        <f t="shared" si="11"/>
        <v>645765.21</v>
      </c>
      <c r="E26" s="1233">
        <f t="shared" si="11"/>
        <v>595001.35</v>
      </c>
      <c r="F26" s="1238">
        <f t="shared" si="11"/>
        <v>1549872.47</v>
      </c>
      <c r="G26" s="1233">
        <f t="shared" si="11"/>
        <v>1423527.61</v>
      </c>
      <c r="H26" s="1233">
        <f t="shared" si="11"/>
        <v>1733909.84</v>
      </c>
      <c r="I26" s="1233">
        <f t="shared" si="11"/>
        <v>7890097.2200000007</v>
      </c>
      <c r="J26" s="1233">
        <f t="shared" si="11"/>
        <v>16166710.020000001</v>
      </c>
      <c r="K26" s="1233">
        <f t="shared" si="11"/>
        <v>11886550.289999999</v>
      </c>
      <c r="L26" s="1233">
        <f t="shared" si="11"/>
        <v>12659941.220000001</v>
      </c>
      <c r="M26" s="1233">
        <f t="shared" si="11"/>
        <v>15204797.51</v>
      </c>
      <c r="N26" s="1233">
        <f t="shared" si="11"/>
        <v>5620798.7199999997</v>
      </c>
      <c r="O26" s="1233">
        <f t="shared" ref="O26" si="12">SUM(O27:O30)</f>
        <v>5330355.3599999994</v>
      </c>
      <c r="P26" s="1233">
        <f t="shared" si="1"/>
        <v>81266682.359999999</v>
      </c>
    </row>
    <row r="27" spans="1:16" s="1231" customFormat="1" ht="10.199999999999999">
      <c r="A27" s="1231" t="s">
        <v>1610</v>
      </c>
      <c r="B27" s="1645"/>
      <c r="C27" s="1645"/>
      <c r="D27" s="1645"/>
      <c r="E27" s="1626"/>
      <c r="F27" s="1645"/>
      <c r="G27" s="1626"/>
      <c r="H27" s="1626"/>
      <c r="I27" s="1626">
        <v>6290641.6900000004</v>
      </c>
      <c r="J27" s="1626">
        <v>14391880.130000001</v>
      </c>
      <c r="K27" s="1626">
        <v>9799035.4900000002</v>
      </c>
      <c r="L27" s="1626">
        <v>10674167.390000001</v>
      </c>
      <c r="M27" s="1626">
        <v>12853059.84</v>
      </c>
      <c r="N27" s="1626">
        <v>3433866.78</v>
      </c>
      <c r="O27" s="1626">
        <f>3349220.38-6120.38</f>
        <v>3343100</v>
      </c>
      <c r="P27" s="1626">
        <f t="shared" si="1"/>
        <v>60785751.320000008</v>
      </c>
    </row>
    <row r="28" spans="1:16" s="1231" customFormat="1" ht="10.199999999999999">
      <c r="A28" s="1231" t="s">
        <v>1279</v>
      </c>
      <c r="B28" s="1240"/>
      <c r="C28" s="1240"/>
      <c r="D28" s="1240"/>
      <c r="E28" s="1235"/>
      <c r="F28" s="1240">
        <v>767000</v>
      </c>
      <c r="G28" s="1235">
        <v>767000</v>
      </c>
      <c r="H28" s="1235">
        <v>767000</v>
      </c>
      <c r="I28" s="1235">
        <v>767000</v>
      </c>
      <c r="J28" s="1235">
        <v>767000</v>
      </c>
      <c r="K28" s="1235">
        <v>767000</v>
      </c>
      <c r="L28" s="1235">
        <v>767000</v>
      </c>
      <c r="M28" s="1235">
        <v>767000</v>
      </c>
      <c r="N28" s="1235">
        <v>767000</v>
      </c>
      <c r="O28" s="1235">
        <v>767000</v>
      </c>
      <c r="P28" s="1235">
        <f t="shared" si="1"/>
        <v>7670000</v>
      </c>
    </row>
    <row r="29" spans="1:16" s="1231" customFormat="1" ht="10.199999999999999">
      <c r="A29" s="1231" t="s">
        <v>1280</v>
      </c>
      <c r="B29" s="1240">
        <v>559355.54</v>
      </c>
      <c r="C29" s="1240"/>
      <c r="D29" s="1240">
        <v>645765.21</v>
      </c>
      <c r="E29" s="1235">
        <v>595001.35</v>
      </c>
      <c r="F29" s="1240">
        <v>677173.63</v>
      </c>
      <c r="G29" s="1235">
        <v>620535.91</v>
      </c>
      <c r="H29" s="1235">
        <v>825710.8</v>
      </c>
      <c r="I29" s="1235">
        <v>832455.53</v>
      </c>
      <c r="J29" s="1235">
        <v>941719.5</v>
      </c>
      <c r="K29" s="1235">
        <v>1237302.53</v>
      </c>
      <c r="L29" s="1235">
        <v>1132936.8999999999</v>
      </c>
      <c r="M29" s="1235">
        <v>1276808.69</v>
      </c>
      <c r="N29" s="1235">
        <v>1311409.7</v>
      </c>
      <c r="O29" s="1235">
        <v>1120340.27</v>
      </c>
      <c r="P29" s="1235">
        <f t="shared" si="1"/>
        <v>11776515.559999999</v>
      </c>
    </row>
    <row r="30" spans="1:16" s="1231" customFormat="1" ht="10.199999999999999">
      <c r="A30" s="1231" t="s">
        <v>1757</v>
      </c>
      <c r="B30" s="1240"/>
      <c r="C30" s="1240"/>
      <c r="D30" s="1240"/>
      <c r="E30" s="1235"/>
      <c r="F30" s="1240">
        <v>105698.84</v>
      </c>
      <c r="G30" s="1235">
        <v>35991.699999999997</v>
      </c>
      <c r="H30" s="1235">
        <v>141199.04000000001</v>
      </c>
      <c r="I30" s="1235"/>
      <c r="J30" s="1235">
        <v>66110.39</v>
      </c>
      <c r="K30" s="1235">
        <v>83212.27</v>
      </c>
      <c r="L30" s="1235">
        <v>85836.93</v>
      </c>
      <c r="M30" s="1235">
        <v>307928.98</v>
      </c>
      <c r="N30" s="1235">
        <v>108522.24000000001</v>
      </c>
      <c r="O30" s="1235">
        <v>99915.09</v>
      </c>
      <c r="P30" s="1235">
        <f t="shared" si="1"/>
        <v>1034415.4799999999</v>
      </c>
    </row>
    <row r="31" spans="1:16" s="1229" customFormat="1" ht="10.199999999999999">
      <c r="A31" s="1229" t="s">
        <v>1809</v>
      </c>
      <c r="B31" s="1238">
        <f>SUM(B32:B33)</f>
        <v>373034.61</v>
      </c>
      <c r="C31" s="1238">
        <f t="shared" ref="C31:N31" si="13">SUM(C32:C33)</f>
        <v>43563.47</v>
      </c>
      <c r="D31" s="1238">
        <f t="shared" si="13"/>
        <v>36723.129999999997</v>
      </c>
      <c r="E31" s="1233">
        <f t="shared" si="13"/>
        <v>37034.89</v>
      </c>
      <c r="F31" s="1238">
        <f t="shared" si="13"/>
        <v>51335.37</v>
      </c>
      <c r="G31" s="1233">
        <f t="shared" si="13"/>
        <v>125971.53</v>
      </c>
      <c r="H31" s="1233">
        <f t="shared" si="13"/>
        <v>205035.01</v>
      </c>
      <c r="I31" s="1233">
        <f t="shared" si="13"/>
        <v>193826.15000000002</v>
      </c>
      <c r="J31" s="1233">
        <f t="shared" si="13"/>
        <v>228402.97999999998</v>
      </c>
      <c r="K31" s="1233">
        <f t="shared" si="13"/>
        <v>824240.61999999988</v>
      </c>
      <c r="L31" s="1233">
        <f t="shared" si="13"/>
        <v>143558.04999999999</v>
      </c>
      <c r="M31" s="1233">
        <f t="shared" si="13"/>
        <v>111569.53</v>
      </c>
      <c r="N31" s="1233">
        <f t="shared" si="13"/>
        <v>187644.31</v>
      </c>
      <c r="O31" s="1233">
        <f t="shared" ref="O31" si="14">SUM(O32:O33)</f>
        <v>111272.45999999999</v>
      </c>
      <c r="P31" s="1233">
        <f t="shared" si="1"/>
        <v>2673212.1099999994</v>
      </c>
    </row>
    <row r="32" spans="1:16" s="1231" customFormat="1" ht="10.199999999999999">
      <c r="A32" s="1231" t="s">
        <v>1281</v>
      </c>
      <c r="B32" s="1240">
        <v>344499.26</v>
      </c>
      <c r="C32" s="1243">
        <v>36279.57</v>
      </c>
      <c r="D32" s="1240">
        <v>36723.129999999997</v>
      </c>
      <c r="E32" s="1235">
        <v>37034.89</v>
      </c>
      <c r="F32" s="1240">
        <v>37423.760000000002</v>
      </c>
      <c r="G32" s="1235">
        <v>34807.29</v>
      </c>
      <c r="H32" s="1235">
        <v>35695</v>
      </c>
      <c r="I32" s="1235">
        <v>35546.730000000003</v>
      </c>
      <c r="J32" s="1235">
        <v>36234.199999999997</v>
      </c>
      <c r="K32" s="1235">
        <v>627694.68999999994</v>
      </c>
      <c r="L32" s="1235">
        <v>37152.89</v>
      </c>
      <c r="M32" s="1235">
        <v>37296.32</v>
      </c>
      <c r="N32" s="1235">
        <v>113391.16</v>
      </c>
      <c r="O32" s="1235">
        <v>37257.67</v>
      </c>
      <c r="P32" s="1235">
        <f t="shared" si="1"/>
        <v>1487036.5599999998</v>
      </c>
    </row>
    <row r="33" spans="1:16" s="1231" customFormat="1" ht="10.199999999999999">
      <c r="A33" s="1231" t="s">
        <v>1282</v>
      </c>
      <c r="B33" s="1240">
        <v>28535.35</v>
      </c>
      <c r="C33" s="1243">
        <v>7283.9</v>
      </c>
      <c r="D33" s="1240"/>
      <c r="E33" s="1235"/>
      <c r="F33" s="1240">
        <v>13911.61</v>
      </c>
      <c r="G33" s="1235">
        <v>91164.24</v>
      </c>
      <c r="H33" s="1235">
        <v>169340.01</v>
      </c>
      <c r="I33" s="1235">
        <v>158279.42000000001</v>
      </c>
      <c r="J33" s="1235">
        <v>192168.78</v>
      </c>
      <c r="K33" s="1235">
        <v>196545.93</v>
      </c>
      <c r="L33" s="1235">
        <v>106405.16</v>
      </c>
      <c r="M33" s="1235">
        <v>74273.210000000006</v>
      </c>
      <c r="N33" s="1235">
        <v>74253.149999999994</v>
      </c>
      <c r="O33" s="1235">
        <v>74014.789999999994</v>
      </c>
      <c r="P33" s="1235">
        <f t="shared" si="1"/>
        <v>1186175.55</v>
      </c>
    </row>
    <row r="34" spans="1:16" s="1229" customFormat="1" ht="10.199999999999999">
      <c r="A34" s="1229" t="s">
        <v>854</v>
      </c>
      <c r="B34" s="1238">
        <f t="shared" ref="B34:N34" si="15">SUM(B35:B42)</f>
        <v>9529685.3000000007</v>
      </c>
      <c r="C34" s="1238">
        <f t="shared" si="15"/>
        <v>915790.08000000007</v>
      </c>
      <c r="D34" s="1238">
        <f t="shared" si="15"/>
        <v>1931201.9</v>
      </c>
      <c r="E34" s="1238">
        <f t="shared" si="15"/>
        <v>1084802.17</v>
      </c>
      <c r="F34" s="1238">
        <f t="shared" si="15"/>
        <v>826552.34</v>
      </c>
      <c r="G34" s="1238">
        <f t="shared" si="15"/>
        <v>740040.2</v>
      </c>
      <c r="H34" s="1238">
        <f t="shared" si="15"/>
        <v>1412884.71</v>
      </c>
      <c r="I34" s="1238">
        <f t="shared" si="15"/>
        <v>3494146.35</v>
      </c>
      <c r="J34" s="1238">
        <f t="shared" si="15"/>
        <v>1721745.17</v>
      </c>
      <c r="K34" s="1238">
        <f t="shared" si="15"/>
        <v>551935.67999999993</v>
      </c>
      <c r="L34" s="1238">
        <f t="shared" si="15"/>
        <v>1245788.3799999999</v>
      </c>
      <c r="M34" s="1238">
        <f t="shared" si="15"/>
        <v>949800.34</v>
      </c>
      <c r="N34" s="1238">
        <f t="shared" si="15"/>
        <v>996281.21</v>
      </c>
      <c r="O34" s="1238">
        <f t="shared" ref="O34" si="16">SUM(O35:O42)</f>
        <v>927133.48</v>
      </c>
      <c r="P34" s="1238">
        <f t="shared" si="1"/>
        <v>26327787.309999999</v>
      </c>
    </row>
    <row r="35" spans="1:16" s="1231" customFormat="1" ht="10.199999999999999">
      <c r="A35" s="1231" t="s">
        <v>1283</v>
      </c>
      <c r="B35" s="1240">
        <v>4456434.6400000006</v>
      </c>
      <c r="C35" s="1243">
        <v>292040.78000000003</v>
      </c>
      <c r="D35" s="1240"/>
      <c r="E35" s="1235">
        <v>149662.62</v>
      </c>
      <c r="F35" s="1240">
        <v>167745.43</v>
      </c>
      <c r="G35" s="1235"/>
      <c r="H35" s="1235">
        <v>258175.66</v>
      </c>
      <c r="I35" s="1235"/>
      <c r="J35" s="1235"/>
      <c r="K35" s="1235"/>
      <c r="L35" s="1235"/>
      <c r="M35" s="1235">
        <v>-180453.94</v>
      </c>
      <c r="N35" s="1235"/>
      <c r="O35" s="1235"/>
      <c r="P35" s="1235">
        <f t="shared" si="1"/>
        <v>5143605.1900000004</v>
      </c>
    </row>
    <row r="36" spans="1:16" s="1231" customFormat="1" ht="10.199999999999999">
      <c r="A36" s="1231" t="s">
        <v>2071</v>
      </c>
      <c r="B36" s="1240">
        <v>4481135.66</v>
      </c>
      <c r="C36" s="1240">
        <v>57400.509999999995</v>
      </c>
      <c r="D36" s="1240">
        <v>1795826.4</v>
      </c>
      <c r="E36" s="1235">
        <v>187959.76</v>
      </c>
      <c r="F36" s="1240">
        <v>188099.53</v>
      </c>
      <c r="G36" s="1235">
        <v>192037.45</v>
      </c>
      <c r="H36" s="1235">
        <v>179220.88999999998</v>
      </c>
      <c r="I36" s="1235">
        <v>2902845.21</v>
      </c>
      <c r="J36" s="1235">
        <v>1207725.21</v>
      </c>
      <c r="K36" s="1235">
        <v>52946.6</v>
      </c>
      <c r="L36" s="1235"/>
      <c r="M36" s="1235"/>
      <c r="N36" s="1235"/>
      <c r="O36" s="1235"/>
      <c r="P36" s="1235">
        <f t="shared" si="1"/>
        <v>11245197.220000001</v>
      </c>
    </row>
    <row r="37" spans="1:16" s="1231" customFormat="1" ht="10.199999999999999">
      <c r="A37" s="1231" t="s">
        <v>2062</v>
      </c>
      <c r="B37" s="1240"/>
      <c r="C37" s="1243"/>
      <c r="D37" s="1240"/>
      <c r="E37" s="1235">
        <v>74992.789999999994</v>
      </c>
      <c r="F37" s="1240">
        <v>52091.040000000001</v>
      </c>
      <c r="G37" s="1235">
        <v>129162.79</v>
      </c>
      <c r="H37" s="1235">
        <v>186272.04</v>
      </c>
      <c r="I37" s="1235">
        <v>234473.14</v>
      </c>
      <c r="J37" s="1235">
        <v>259817.28</v>
      </c>
      <c r="K37" s="1235">
        <v>122677.4</v>
      </c>
      <c r="L37" s="1235">
        <v>196734.06</v>
      </c>
      <c r="M37" s="1235">
        <v>257568.44</v>
      </c>
      <c r="N37" s="1235">
        <v>176353.58</v>
      </c>
      <c r="O37" s="1235">
        <v>337884.2</v>
      </c>
      <c r="P37" s="1235">
        <f t="shared" si="1"/>
        <v>2028026.76</v>
      </c>
    </row>
    <row r="38" spans="1:16" s="1231" customFormat="1" ht="10.199999999999999">
      <c r="A38" s="1231" t="s">
        <v>2191</v>
      </c>
      <c r="B38" s="1240">
        <v>0</v>
      </c>
      <c r="C38" s="1243">
        <v>435604.79000000004</v>
      </c>
      <c r="D38" s="1240">
        <v>0</v>
      </c>
      <c r="E38" s="1235">
        <v>147972</v>
      </c>
      <c r="F38" s="1240">
        <v>149742</v>
      </c>
      <c r="G38" s="1235">
        <v>142190</v>
      </c>
      <c r="H38" s="1235">
        <v>142190</v>
      </c>
      <c r="I38" s="1235">
        <v>144432</v>
      </c>
      <c r="J38" s="1235">
        <v>144698.68</v>
      </c>
      <c r="K38" s="1235">
        <v>245567.68</v>
      </c>
      <c r="L38" s="1235">
        <v>316570.40000000002</v>
      </c>
      <c r="M38" s="1626">
        <v>325416.5</v>
      </c>
      <c r="N38" s="1235">
        <v>322352.40000000002</v>
      </c>
      <c r="O38" s="1235">
        <f>318842.61-2601.29</f>
        <v>316241.32</v>
      </c>
      <c r="P38" s="1235">
        <f t="shared" si="1"/>
        <v>2832977.7699999996</v>
      </c>
    </row>
    <row r="39" spans="1:16" s="1231" customFormat="1" ht="10.199999999999999">
      <c r="A39" s="1231" t="s">
        <v>2073</v>
      </c>
      <c r="B39" s="1240">
        <v>559615</v>
      </c>
      <c r="C39" s="1240">
        <v>130744</v>
      </c>
      <c r="D39" s="1240">
        <v>130744</v>
      </c>
      <c r="E39" s="1235">
        <v>130744</v>
      </c>
      <c r="F39" s="1240">
        <v>130744</v>
      </c>
      <c r="G39" s="1235">
        <v>109504</v>
      </c>
      <c r="H39" s="1235">
        <v>109504</v>
      </c>
      <c r="I39" s="1235">
        <v>88264</v>
      </c>
      <c r="J39" s="1235">
        <v>109504</v>
      </c>
      <c r="K39" s="1235">
        <v>130744</v>
      </c>
      <c r="L39" s="1235">
        <v>70800</v>
      </c>
      <c r="M39" s="1626">
        <v>21240</v>
      </c>
      <c r="N39" s="1235">
        <v>278729.5</v>
      </c>
      <c r="O39" s="1235">
        <v>281966.5</v>
      </c>
      <c r="P39" s="1235">
        <f t="shared" si="1"/>
        <v>2282847</v>
      </c>
    </row>
    <row r="40" spans="1:16" s="1231" customFormat="1" ht="10.199999999999999">
      <c r="A40" s="1231" t="s">
        <v>2043</v>
      </c>
      <c r="B40" s="1240">
        <v>32500</v>
      </c>
      <c r="C40" s="1240"/>
      <c r="D40" s="1240">
        <v>4631.5</v>
      </c>
      <c r="E40" s="1235">
        <v>826</v>
      </c>
      <c r="F40" s="1240">
        <v>138130.34</v>
      </c>
      <c r="G40" s="1235">
        <v>167145.96000000002</v>
      </c>
      <c r="H40" s="1235">
        <v>537522.12</v>
      </c>
      <c r="I40" s="1235">
        <v>124132</v>
      </c>
      <c r="J40" s="1235"/>
      <c r="K40" s="1235"/>
      <c r="L40" s="1235">
        <v>216162.42</v>
      </c>
      <c r="M40" s="1626">
        <v>12555.41</v>
      </c>
      <c r="N40" s="1235">
        <v>208600</v>
      </c>
      <c r="O40" s="1235"/>
      <c r="P40" s="1235">
        <f t="shared" si="1"/>
        <v>1442205.75</v>
      </c>
    </row>
    <row r="41" spans="1:16" s="1231" customFormat="1" ht="10.199999999999999">
      <c r="A41" s="1231" t="s">
        <v>2074</v>
      </c>
      <c r="B41" s="1240"/>
      <c r="C41" s="1240"/>
      <c r="D41" s="1240"/>
      <c r="E41" s="1235">
        <v>392645</v>
      </c>
      <c r="F41" s="1240"/>
      <c r="G41" s="1235"/>
      <c r="H41" s="1235"/>
      <c r="I41" s="1235"/>
      <c r="J41" s="1235"/>
      <c r="K41" s="1235"/>
      <c r="L41" s="1235">
        <v>445521.5</v>
      </c>
      <c r="M41" s="1235">
        <v>513473.93</v>
      </c>
      <c r="N41" s="1235">
        <v>10245.73</v>
      </c>
      <c r="O41" s="1235">
        <v>-8958.5400000000009</v>
      </c>
      <c r="P41" s="1235">
        <f t="shared" si="1"/>
        <v>1352927.6199999999</v>
      </c>
    </row>
    <row r="42" spans="1:16" s="1231" customFormat="1" ht="10.199999999999999">
      <c r="A42" s="1231" t="s">
        <v>2075</v>
      </c>
      <c r="B42" s="1240"/>
      <c r="C42" s="1240"/>
      <c r="D42" s="1240"/>
      <c r="E42" s="1235"/>
      <c r="F42" s="1240"/>
      <c r="G42" s="1235"/>
      <c r="H42" s="1235"/>
      <c r="I42" s="1235"/>
      <c r="J42" s="1235"/>
      <c r="K42" s="1235"/>
      <c r="L42" s="1235"/>
      <c r="M42" s="1235"/>
      <c r="N42" s="1235"/>
      <c r="O42" s="1235"/>
      <c r="P42" s="1235">
        <f t="shared" si="1"/>
        <v>0</v>
      </c>
    </row>
    <row r="43" spans="1:16" s="1229" customFormat="1" ht="10.199999999999999">
      <c r="A43" s="1229" t="s">
        <v>1811</v>
      </c>
      <c r="B43" s="1238">
        <f>SUM(B44:B45)</f>
        <v>0</v>
      </c>
      <c r="C43" s="1238">
        <f t="shared" ref="C43:N43" si="17">SUM(C44:C45)</f>
        <v>0</v>
      </c>
      <c r="D43" s="1238">
        <f t="shared" si="17"/>
        <v>0</v>
      </c>
      <c r="E43" s="1233">
        <f t="shared" si="17"/>
        <v>0</v>
      </c>
      <c r="F43" s="1238">
        <f t="shared" si="17"/>
        <v>0</v>
      </c>
      <c r="G43" s="1233">
        <f t="shared" si="17"/>
        <v>0</v>
      </c>
      <c r="H43" s="1233">
        <f t="shared" si="17"/>
        <v>0</v>
      </c>
      <c r="I43" s="1233">
        <f t="shared" si="17"/>
        <v>0</v>
      </c>
      <c r="J43" s="1233">
        <f t="shared" si="17"/>
        <v>0</v>
      </c>
      <c r="K43" s="1233">
        <f t="shared" si="17"/>
        <v>0</v>
      </c>
      <c r="L43" s="1233">
        <f t="shared" si="17"/>
        <v>0</v>
      </c>
      <c r="M43" s="1233">
        <f t="shared" si="17"/>
        <v>0</v>
      </c>
      <c r="N43" s="1233">
        <f t="shared" si="17"/>
        <v>0</v>
      </c>
      <c r="O43" s="1233">
        <f t="shared" ref="O43" si="18">SUM(O44:O45)</f>
        <v>0</v>
      </c>
      <c r="P43" s="1233">
        <f t="shared" si="1"/>
        <v>0</v>
      </c>
    </row>
    <row r="44" spans="1:16" s="1231" customFormat="1" ht="10.199999999999999">
      <c r="A44" s="1231" t="s">
        <v>1812</v>
      </c>
      <c r="B44" s="1240"/>
      <c r="C44" s="1240"/>
      <c r="D44" s="1240"/>
      <c r="E44" s="1235"/>
      <c r="F44" s="1240"/>
      <c r="G44" s="1235"/>
      <c r="H44" s="1235"/>
      <c r="I44" s="1235"/>
      <c r="J44" s="1235"/>
      <c r="K44" s="1235"/>
      <c r="L44" s="1235"/>
      <c r="M44" s="1235"/>
      <c r="N44" s="1235"/>
      <c r="O44" s="1235"/>
      <c r="P44" s="1235">
        <f t="shared" si="1"/>
        <v>0</v>
      </c>
    </row>
    <row r="45" spans="1:16" s="1231" customFormat="1" ht="10.199999999999999">
      <c r="A45" s="1231" t="s">
        <v>1813</v>
      </c>
      <c r="B45" s="1240"/>
      <c r="C45" s="1240"/>
      <c r="D45" s="1240"/>
      <c r="E45" s="1235"/>
      <c r="F45" s="1240"/>
      <c r="G45" s="1235"/>
      <c r="H45" s="1235"/>
      <c r="I45" s="1235"/>
      <c r="J45" s="1235"/>
      <c r="K45" s="1235"/>
      <c r="L45" s="1235"/>
      <c r="M45" s="1235"/>
      <c r="N45" s="1235"/>
      <c r="O45" s="1235"/>
      <c r="P45" s="1235">
        <f t="shared" si="1"/>
        <v>0</v>
      </c>
    </row>
    <row r="46" spans="1:16" s="1229" customFormat="1" ht="10.199999999999999">
      <c r="A46" s="1229" t="s">
        <v>859</v>
      </c>
      <c r="B46" s="1238">
        <f>SUM(B47)</f>
        <v>12715384.379999999</v>
      </c>
      <c r="C46" s="1238">
        <f t="shared" ref="C46:O46" si="19">SUM(C47)</f>
        <v>0</v>
      </c>
      <c r="D46" s="1238">
        <f t="shared" si="19"/>
        <v>0</v>
      </c>
      <c r="E46" s="1233">
        <f t="shared" si="19"/>
        <v>128745.38</v>
      </c>
      <c r="F46" s="1238">
        <f t="shared" si="19"/>
        <v>552632.57999999996</v>
      </c>
      <c r="G46" s="1233">
        <f t="shared" si="19"/>
        <v>120006</v>
      </c>
      <c r="H46" s="1233">
        <f t="shared" si="19"/>
        <v>1543136</v>
      </c>
      <c r="I46" s="1233">
        <f t="shared" si="19"/>
        <v>300</v>
      </c>
      <c r="J46" s="1233">
        <f t="shared" si="19"/>
        <v>223322.53</v>
      </c>
      <c r="K46" s="1233">
        <f t="shared" si="19"/>
        <v>1594150.23</v>
      </c>
      <c r="L46" s="1233">
        <f t="shared" si="19"/>
        <v>842419.7</v>
      </c>
      <c r="M46" s="1233">
        <f t="shared" si="19"/>
        <v>339222.22</v>
      </c>
      <c r="N46" s="1233">
        <f t="shared" si="19"/>
        <v>2546180</v>
      </c>
      <c r="O46" s="1233">
        <f t="shared" si="19"/>
        <v>517341.31</v>
      </c>
      <c r="P46" s="1233">
        <f t="shared" si="1"/>
        <v>21122840.329999994</v>
      </c>
    </row>
    <row r="47" spans="1:16" s="1231" customFormat="1" ht="10.199999999999999">
      <c r="A47" s="1231" t="s">
        <v>860</v>
      </c>
      <c r="B47" s="1239">
        <v>12715384.379999999</v>
      </c>
      <c r="C47" s="1239"/>
      <c r="D47" s="1239"/>
      <c r="E47" s="1234">
        <v>128745.38</v>
      </c>
      <c r="F47" s="1239">
        <v>552632.57999999996</v>
      </c>
      <c r="G47" s="1234">
        <v>120006</v>
      </c>
      <c r="H47" s="1234">
        <v>1543136</v>
      </c>
      <c r="I47" s="1234">
        <v>300</v>
      </c>
      <c r="J47" s="1234">
        <v>223322.53</v>
      </c>
      <c r="K47" s="1234">
        <f>1099066.83+495083.4</f>
        <v>1594150.23</v>
      </c>
      <c r="L47" s="1234">
        <v>842419.7</v>
      </c>
      <c r="M47" s="1234">
        <v>339222.22</v>
      </c>
      <c r="N47" s="1234">
        <v>2546180</v>
      </c>
      <c r="O47" s="1234">
        <v>517341.31</v>
      </c>
      <c r="P47" s="1234">
        <f t="shared" si="1"/>
        <v>21122840.329999994</v>
      </c>
    </row>
    <row r="48" spans="1:16" s="1229" customFormat="1" ht="10.199999999999999">
      <c r="A48" s="1229" t="s">
        <v>1814</v>
      </c>
      <c r="B48" s="1238">
        <f>SUM(B49)</f>
        <v>0</v>
      </c>
      <c r="C48" s="1238">
        <f t="shared" ref="C48:O48" si="20">SUM(C49)</f>
        <v>0</v>
      </c>
      <c r="D48" s="1238">
        <f t="shared" si="20"/>
        <v>0</v>
      </c>
      <c r="E48" s="1233">
        <f t="shared" si="20"/>
        <v>0</v>
      </c>
      <c r="F48" s="1238">
        <f t="shared" si="20"/>
        <v>0</v>
      </c>
      <c r="G48" s="1233">
        <f t="shared" si="20"/>
        <v>0</v>
      </c>
      <c r="H48" s="1233">
        <f t="shared" si="20"/>
        <v>0</v>
      </c>
      <c r="I48" s="1233">
        <f t="shared" si="20"/>
        <v>0</v>
      </c>
      <c r="J48" s="1233">
        <f t="shared" si="20"/>
        <v>0</v>
      </c>
      <c r="K48" s="1233">
        <f t="shared" si="20"/>
        <v>0</v>
      </c>
      <c r="L48" s="1233">
        <f t="shared" si="20"/>
        <v>0</v>
      </c>
      <c r="M48" s="1233">
        <f t="shared" si="20"/>
        <v>0</v>
      </c>
      <c r="N48" s="1233">
        <f t="shared" si="20"/>
        <v>0</v>
      </c>
      <c r="O48" s="1233">
        <f t="shared" si="20"/>
        <v>0</v>
      </c>
      <c r="P48" s="1233">
        <f t="shared" si="1"/>
        <v>0</v>
      </c>
    </row>
    <row r="49" spans="1:16" s="1231" customFormat="1" ht="10.199999999999999">
      <c r="A49" s="1231" t="s">
        <v>1815</v>
      </c>
      <c r="B49" s="1239"/>
      <c r="C49" s="1239"/>
      <c r="D49" s="1239"/>
      <c r="E49" s="1234"/>
      <c r="F49" s="1239"/>
      <c r="G49" s="1234"/>
      <c r="H49" s="1234"/>
      <c r="I49" s="1234"/>
      <c r="J49" s="1234"/>
      <c r="K49" s="1234"/>
      <c r="L49" s="1234"/>
      <c r="M49" s="1234"/>
      <c r="N49" s="1234"/>
      <c r="O49" s="1234"/>
      <c r="P49" s="1234">
        <f t="shared" si="1"/>
        <v>0</v>
      </c>
    </row>
    <row r="50" spans="1:16" s="1229" customFormat="1" ht="10.199999999999999">
      <c r="A50" s="1229" t="s">
        <v>1816</v>
      </c>
      <c r="B50" s="1238">
        <f>SUM(B51)</f>
        <v>0</v>
      </c>
      <c r="C50" s="1238">
        <f t="shared" ref="C50:O50" si="21">SUM(C51)</f>
        <v>0</v>
      </c>
      <c r="D50" s="1238">
        <f t="shared" si="21"/>
        <v>0</v>
      </c>
      <c r="E50" s="1233">
        <f t="shared" si="21"/>
        <v>0</v>
      </c>
      <c r="F50" s="1238">
        <f t="shared" si="21"/>
        <v>0</v>
      </c>
      <c r="G50" s="1233">
        <f t="shared" si="21"/>
        <v>0</v>
      </c>
      <c r="H50" s="1233">
        <f t="shared" si="21"/>
        <v>0</v>
      </c>
      <c r="I50" s="1233">
        <f t="shared" si="21"/>
        <v>0</v>
      </c>
      <c r="J50" s="1233">
        <f t="shared" si="21"/>
        <v>0</v>
      </c>
      <c r="K50" s="1233">
        <f t="shared" si="21"/>
        <v>0</v>
      </c>
      <c r="L50" s="1233">
        <f t="shared" si="21"/>
        <v>5900</v>
      </c>
      <c r="M50" s="1233">
        <f t="shared" si="21"/>
        <v>0</v>
      </c>
      <c r="N50" s="1233">
        <f t="shared" si="21"/>
        <v>4408448</v>
      </c>
      <c r="O50" s="1233">
        <f t="shared" si="21"/>
        <v>0</v>
      </c>
      <c r="P50" s="1233">
        <f t="shared" si="1"/>
        <v>4414348</v>
      </c>
    </row>
    <row r="51" spans="1:16" s="1231" customFormat="1" ht="10.199999999999999">
      <c r="A51" s="1231" t="s">
        <v>1817</v>
      </c>
      <c r="B51" s="1239"/>
      <c r="C51" s="1239"/>
      <c r="D51" s="1239"/>
      <c r="E51" s="1234"/>
      <c r="F51" s="1239"/>
      <c r="G51" s="1234"/>
      <c r="H51" s="1234"/>
      <c r="I51" s="1234"/>
      <c r="J51" s="1234"/>
      <c r="K51" s="1234"/>
      <c r="L51" s="1234">
        <v>5900</v>
      </c>
      <c r="M51" s="1234"/>
      <c r="N51" s="1234">
        <v>4408448</v>
      </c>
      <c r="O51" s="1234"/>
      <c r="P51" s="1234">
        <f t="shared" si="1"/>
        <v>4414348</v>
      </c>
    </row>
    <row r="52" spans="1:16" s="1245" customFormat="1" ht="13.8">
      <c r="A52" s="1245" t="s">
        <v>1818</v>
      </c>
      <c r="B52" s="1246">
        <f t="shared" ref="B52:M52" si="22">+B2+B4+B6+B8+B10+B12+B20+B22+B24+B26+B31+B34+B43+B46+B48+B50</f>
        <v>149543038.89000002</v>
      </c>
      <c r="C52" s="1246">
        <f t="shared" si="22"/>
        <v>2968703.3</v>
      </c>
      <c r="D52" s="1246">
        <f t="shared" si="22"/>
        <v>2613690.2399999998</v>
      </c>
      <c r="E52" s="1247">
        <f t="shared" si="22"/>
        <v>2876903.79</v>
      </c>
      <c r="F52" s="1246">
        <f t="shared" si="22"/>
        <v>7667982.7599999998</v>
      </c>
      <c r="G52" s="1247">
        <f t="shared" si="22"/>
        <v>6705088.7200000007</v>
      </c>
      <c r="H52" s="1247">
        <f t="shared" si="22"/>
        <v>10036771</v>
      </c>
      <c r="I52" s="1247">
        <f t="shared" si="22"/>
        <v>19175567.920000002</v>
      </c>
      <c r="J52" s="1247">
        <f t="shared" si="22"/>
        <v>197315960.72999996</v>
      </c>
      <c r="K52" s="1247">
        <f t="shared" si="22"/>
        <v>19508128.399999999</v>
      </c>
      <c r="L52" s="1247">
        <f t="shared" si="22"/>
        <v>20648882.489999998</v>
      </c>
      <c r="M52" s="1247">
        <f t="shared" si="22"/>
        <v>23615603.98</v>
      </c>
      <c r="N52" s="1247">
        <f>+N2+N4+N6+N8+N10+N12+N20+N22+N24+N26+N31+N34+N43+N46+N48+N50</f>
        <v>34297561.019999996</v>
      </c>
      <c r="O52" s="1247">
        <f>+O2+O4+O6+O8+O10+O12+O20+O22+O24+O26+O31+O34+O43+O46+O48+O50</f>
        <v>13981426.510000002</v>
      </c>
      <c r="P52" s="1247">
        <f t="shared" si="1"/>
        <v>510955309.74999994</v>
      </c>
    </row>
    <row r="53" spans="1:16">
      <c r="O53" s="1236">
        <v>13999106.720000001</v>
      </c>
      <c r="P53" s="1236">
        <v>510881294.95999998</v>
      </c>
    </row>
    <row r="54" spans="1:16">
      <c r="P54" s="1236">
        <f>+P52-P53</f>
        <v>74014.789999961853</v>
      </c>
    </row>
  </sheetData>
  <autoFilter ref="A1:P51" xr:uid="{E2A45053-F1C6-4266-8F20-3FD38BF97DEF}"/>
  <pageMargins left="0.7" right="0.7" top="0.75" bottom="0.75" header="0.3" footer="0.3"/>
  <pageSetup paperSize="9" orientation="portrait" r:id="rId1"/>
  <legacyDrawing r:id="rId2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B57EC-5235-47C1-AD5E-D2B5BDFB64F8}">
  <sheetPr>
    <pageSetUpPr autoPageBreaks="0" fitToPage="1"/>
  </sheetPr>
  <dimension ref="B1:Y36"/>
  <sheetViews>
    <sheetView showGridLines="0" topLeftCell="D10" zoomScale="120" zoomScaleNormal="120" zoomScalePageLayoutView="125" workbookViewId="0">
      <selection activeCell="Y10" sqref="Y1:Y1048576"/>
    </sheetView>
  </sheetViews>
  <sheetFormatPr baseColWidth="10" defaultColWidth="2.6640625" defaultRowHeight="13.8"/>
  <cols>
    <col min="1" max="1" width="1.33203125" style="1173" customWidth="1"/>
    <col min="2" max="2" width="22.6640625" style="1173" customWidth="1"/>
    <col min="3" max="3" width="15" style="1177" bestFit="1" customWidth="1"/>
    <col min="4" max="4" width="15.5546875" style="1173" customWidth="1"/>
    <col min="5" max="5" width="15.33203125" style="1173" customWidth="1"/>
    <col min="6" max="7" width="13.6640625" style="1173" customWidth="1"/>
    <col min="8" max="8" width="13.6640625" style="1173" hidden="1" customWidth="1"/>
    <col min="9" max="9" width="12.6640625" style="1173" customWidth="1"/>
    <col min="10" max="10" width="12.5546875" style="1173" customWidth="1"/>
    <col min="11" max="11" width="10.5546875" style="1173" hidden="1" customWidth="1"/>
    <col min="12" max="12" width="11.33203125" style="1173" hidden="1" customWidth="1"/>
    <col min="13" max="13" width="10.5546875" style="1173" hidden="1" customWidth="1"/>
    <col min="14" max="15" width="11.44140625" style="1173" hidden="1" customWidth="1"/>
    <col min="16" max="17" width="12.44140625" style="1173" hidden="1" customWidth="1"/>
    <col min="18" max="18" width="12.5546875" style="1173" hidden="1" customWidth="1"/>
    <col min="19" max="21" width="12.44140625" style="1173" hidden="1" customWidth="1"/>
    <col min="22" max="24" width="12.44140625" style="1173" customWidth="1"/>
    <col min="25" max="25" width="13.88671875" style="1173" bestFit="1" customWidth="1"/>
    <col min="26" max="16384" width="2.6640625" style="1173"/>
  </cols>
  <sheetData>
    <row r="1" spans="2:25" ht="23.4">
      <c r="B1" s="1175" t="s">
        <v>1891</v>
      </c>
      <c r="C1" s="1176"/>
      <c r="F1" s="1257" t="s">
        <v>1892</v>
      </c>
    </row>
    <row r="2" spans="2:25" ht="9.6" customHeight="1">
      <c r="B2" s="1179"/>
      <c r="C2" s="1180"/>
      <c r="F2" s="1181"/>
      <c r="G2" s="1181"/>
      <c r="H2" s="1181"/>
    </row>
    <row r="3" spans="2:25" ht="28.8">
      <c r="B3" s="2153" t="s">
        <v>1893</v>
      </c>
      <c r="C3" s="2153"/>
      <c r="D3" s="1970" t="s">
        <v>2334</v>
      </c>
      <c r="E3" s="1971"/>
    </row>
    <row r="4" spans="2:25" s="1183" customFormat="1" ht="12">
      <c r="B4" s="1184" t="s">
        <v>29</v>
      </c>
      <c r="C4" s="1184" t="s">
        <v>1895</v>
      </c>
      <c r="D4" s="1184" t="s">
        <v>1896</v>
      </c>
      <c r="E4" s="1401"/>
      <c r="F4" s="1401"/>
      <c r="G4" s="1184"/>
      <c r="H4" s="1184"/>
      <c r="I4" s="1185"/>
      <c r="J4" s="1185"/>
      <c r="K4" s="1185" t="s">
        <v>1897</v>
      </c>
      <c r="L4" s="1185">
        <v>45658</v>
      </c>
      <c r="M4" s="1185">
        <v>45689</v>
      </c>
      <c r="N4" s="1185">
        <v>45717</v>
      </c>
      <c r="O4" s="1185">
        <v>45748</v>
      </c>
      <c r="P4" s="1185">
        <v>45778</v>
      </c>
      <c r="Q4" s="1185">
        <v>45809</v>
      </c>
      <c r="R4" s="1185">
        <v>45839</v>
      </c>
      <c r="S4" s="1185">
        <v>45870</v>
      </c>
      <c r="T4" s="1185">
        <v>45901</v>
      </c>
      <c r="U4" s="1185">
        <v>45931</v>
      </c>
      <c r="V4" s="1185">
        <v>45962</v>
      </c>
      <c r="W4" s="1185">
        <v>45992</v>
      </c>
      <c r="X4" s="1185">
        <v>46023</v>
      </c>
      <c r="Y4" s="1184" t="s">
        <v>1898</v>
      </c>
    </row>
    <row r="5" spans="2:25" s="1183" customFormat="1" ht="12.6" thickBot="1">
      <c r="B5" s="1261" t="s">
        <v>1899</v>
      </c>
      <c r="C5" s="1258">
        <v>462</v>
      </c>
      <c r="D5" s="1402">
        <f>SUM(K5:T5)</f>
        <v>76</v>
      </c>
      <c r="E5" s="1264"/>
      <c r="F5" s="1259"/>
      <c r="G5" s="1259"/>
      <c r="H5" s="1259"/>
      <c r="Q5" s="1183">
        <v>3</v>
      </c>
      <c r="R5" s="1183">
        <v>29</v>
      </c>
      <c r="S5" s="1183">
        <v>20</v>
      </c>
      <c r="T5" s="1260">
        <v>24</v>
      </c>
      <c r="U5" s="1260"/>
      <c r="V5" s="1260"/>
      <c r="W5" s="1260"/>
      <c r="X5" s="1260"/>
      <c r="Y5" s="1384">
        <f>+C5-D5</f>
        <v>386</v>
      </c>
    </row>
    <row r="6" spans="2:25" s="1183" customFormat="1" ht="12.6" thickBot="1">
      <c r="B6" s="1266" t="s">
        <v>1900</v>
      </c>
      <c r="C6" s="1373">
        <f>+'ADI 09-25'!D50</f>
        <v>68068862.399999991</v>
      </c>
      <c r="D6" s="1403">
        <f>SUM(K6:T6)</f>
        <v>13885050</v>
      </c>
      <c r="E6" s="1373"/>
      <c r="F6" s="1186"/>
      <c r="G6" s="1186"/>
      <c r="H6" s="1186"/>
      <c r="I6" s="1187"/>
      <c r="J6" s="1362"/>
      <c r="K6" s="1405"/>
      <c r="L6" s="1405">
        <v>138050</v>
      </c>
      <c r="M6" s="1405"/>
      <c r="N6" s="1405"/>
      <c r="O6" s="1405">
        <v>403450</v>
      </c>
      <c r="P6" s="1405">
        <v>3464300</v>
      </c>
      <c r="Q6" s="1405">
        <v>1453610</v>
      </c>
      <c r="R6" s="1405">
        <v>3115440</v>
      </c>
      <c r="S6" s="1405">
        <v>2848600</v>
      </c>
      <c r="T6" s="1406">
        <v>2461600</v>
      </c>
      <c r="U6" s="1364"/>
      <c r="V6" s="1364"/>
      <c r="W6" s="1364"/>
      <c r="X6" s="1364"/>
      <c r="Y6" s="1364">
        <f>+C6-D6</f>
        <v>54183812.399999991</v>
      </c>
    </row>
    <row r="7" spans="2:25" s="1183" customFormat="1" ht="12.6" thickBot="1">
      <c r="B7" s="1407" t="s">
        <v>1901</v>
      </c>
      <c r="C7" s="1373"/>
      <c r="D7" s="1403"/>
      <c r="E7" s="1373"/>
      <c r="F7" s="1186"/>
      <c r="G7" s="1186"/>
      <c r="H7" s="1186"/>
      <c r="I7" s="1187"/>
      <c r="J7" s="1362"/>
      <c r="K7" s="1405"/>
      <c r="L7" s="1405"/>
      <c r="M7" s="1405"/>
      <c r="N7" s="1405"/>
      <c r="O7" s="1405"/>
      <c r="P7" s="1405"/>
      <c r="Q7" s="1405"/>
      <c r="R7" s="1405"/>
      <c r="S7" s="1405"/>
      <c r="T7" s="1406"/>
      <c r="U7" s="1364"/>
      <c r="V7" s="1364"/>
      <c r="W7" s="1364"/>
      <c r="X7" s="1364"/>
      <c r="Y7" s="1364"/>
    </row>
    <row r="8" spans="2:25" s="1183" customFormat="1" ht="12.6" thickBot="1">
      <c r="B8" s="1262" t="s">
        <v>1902</v>
      </c>
      <c r="C8" s="1365">
        <f>+'ADI 09-25'!C50</f>
        <v>4152200606.3999996</v>
      </c>
      <c r="D8" s="1404">
        <f>SUM(K8:T8)</f>
        <v>76880590.930000007</v>
      </c>
      <c r="E8" s="1365"/>
      <c r="F8" s="1263">
        <f>+D8</f>
        <v>76880590.930000007</v>
      </c>
      <c r="G8" s="1263"/>
      <c r="H8" s="1263"/>
      <c r="I8" s="1265"/>
      <c r="J8" s="1363"/>
      <c r="K8" s="1374">
        <v>597566.75</v>
      </c>
      <c r="L8" s="1374">
        <v>123420.98</v>
      </c>
      <c r="M8" s="1374">
        <v>-123572.38</v>
      </c>
      <c r="N8" s="1374">
        <v>61261.19</v>
      </c>
      <c r="O8" s="1374">
        <v>3006924.23</v>
      </c>
      <c r="P8" s="1374">
        <v>6287923.8600000003</v>
      </c>
      <c r="Q8" s="1374">
        <v>12848147.640000001</v>
      </c>
      <c r="R8" s="1374">
        <v>18376055.530000001</v>
      </c>
      <c r="S8" s="1374">
        <v>16465115.92</v>
      </c>
      <c r="T8" s="1375">
        <v>19237747.210000001</v>
      </c>
      <c r="U8" s="1366"/>
      <c r="V8" s="1366"/>
      <c r="W8" s="1366"/>
      <c r="X8" s="1366"/>
      <c r="Y8" s="1366">
        <f>+C8-D8</f>
        <v>4075320015.4699998</v>
      </c>
    </row>
    <row r="9" spans="2:25" s="1183" customFormat="1" ht="15" customHeight="1" thickBot="1">
      <c r="B9" s="1262" t="s">
        <v>1903</v>
      </c>
      <c r="C9" s="1225"/>
      <c r="D9" s="1226"/>
      <c r="E9" s="1226"/>
      <c r="F9" s="1226"/>
      <c r="G9" s="1226"/>
      <c r="H9" s="1226"/>
      <c r="K9" s="1189"/>
      <c r="L9" s="1189"/>
      <c r="M9" s="1189"/>
      <c r="N9" s="1189"/>
      <c r="O9" s="1189"/>
      <c r="P9" s="1189"/>
      <c r="Q9" s="1189"/>
      <c r="R9" s="1189"/>
      <c r="S9" s="1189"/>
      <c r="T9" s="1189"/>
      <c r="U9" s="1189"/>
      <c r="V9" s="1189"/>
      <c r="W9" s="1189"/>
      <c r="X9" s="1189"/>
      <c r="Y9" s="1189"/>
    </row>
    <row r="10" spans="2:25" s="1183" customFormat="1" ht="12" customHeight="1">
      <c r="C10" s="1188"/>
      <c r="D10" s="2155" t="s">
        <v>2193</v>
      </c>
      <c r="E10" s="2156"/>
      <c r="F10" s="2156"/>
      <c r="G10" s="2156"/>
      <c r="H10" s="2156"/>
      <c r="I10" s="2156"/>
      <c r="J10" s="2157"/>
      <c r="K10" s="1189"/>
      <c r="L10" s="1189"/>
      <c r="M10" s="1189"/>
      <c r="N10" s="1189"/>
      <c r="O10" s="1189"/>
      <c r="P10" s="1189"/>
      <c r="Q10" s="1189"/>
      <c r="R10" s="1189"/>
      <c r="S10" s="1189"/>
      <c r="T10" s="1189"/>
      <c r="U10" s="1189"/>
      <c r="V10" s="1189"/>
      <c r="W10" s="1189"/>
      <c r="X10" s="1189"/>
      <c r="Y10" s="1189"/>
    </row>
    <row r="11" spans="2:25" s="1183" customFormat="1" ht="24">
      <c r="B11" s="2154" t="s">
        <v>1905</v>
      </c>
      <c r="C11" s="2154"/>
      <c r="D11" s="1222" t="s">
        <v>2335</v>
      </c>
      <c r="E11" s="1222" t="s">
        <v>1907</v>
      </c>
      <c r="F11" s="1222" t="s">
        <v>1908</v>
      </c>
      <c r="G11" s="1223" t="s">
        <v>1909</v>
      </c>
      <c r="H11" s="1223" t="s">
        <v>2336</v>
      </c>
      <c r="I11" s="1223" t="s">
        <v>1910</v>
      </c>
      <c r="J11" s="1223" t="s">
        <v>1911</v>
      </c>
      <c r="K11" s="1190"/>
      <c r="P11" s="1191"/>
    </row>
    <row r="12" spans="2:25" s="1183" customFormat="1" ht="15.6">
      <c r="B12" s="1182"/>
      <c r="C12" s="1182"/>
      <c r="D12" s="1224" t="s">
        <v>1912</v>
      </c>
      <c r="E12" s="1224" t="s">
        <v>1913</v>
      </c>
      <c r="F12" s="1224" t="s">
        <v>1914</v>
      </c>
      <c r="G12" s="1224" t="s">
        <v>1915</v>
      </c>
      <c r="H12" s="1224" t="s">
        <v>2337</v>
      </c>
      <c r="I12" s="1224" t="s">
        <v>1916</v>
      </c>
      <c r="J12" s="1224" t="s">
        <v>1917</v>
      </c>
      <c r="K12" s="1190" t="s">
        <v>1918</v>
      </c>
      <c r="P12" s="1191"/>
      <c r="U12" s="1183" t="s">
        <v>1919</v>
      </c>
    </row>
    <row r="13" spans="2:25" s="1192" customFormat="1" ht="12">
      <c r="B13" s="1193" t="s">
        <v>29</v>
      </c>
      <c r="C13" s="1193" t="s">
        <v>1895</v>
      </c>
      <c r="D13" s="1193"/>
      <c r="E13" s="1193"/>
      <c r="F13" s="1193"/>
      <c r="G13" s="1193"/>
      <c r="H13" s="1193"/>
      <c r="I13" s="1193"/>
      <c r="J13" s="1194"/>
      <c r="K13" s="1194" t="s">
        <v>1897</v>
      </c>
      <c r="L13" s="1194">
        <v>45658</v>
      </c>
      <c r="M13" s="1194">
        <v>45689</v>
      </c>
      <c r="N13" s="1194">
        <v>45717</v>
      </c>
      <c r="O13" s="1194">
        <v>45748</v>
      </c>
      <c r="P13" s="1194">
        <v>45778</v>
      </c>
      <c r="Q13" s="1194">
        <v>45809</v>
      </c>
      <c r="R13" s="1194">
        <v>45839</v>
      </c>
      <c r="S13" s="1194">
        <v>45870</v>
      </c>
      <c r="T13" s="1194">
        <v>45901</v>
      </c>
      <c r="U13" s="1194">
        <v>45931</v>
      </c>
      <c r="V13" s="1194">
        <v>45962</v>
      </c>
      <c r="W13" s="1194">
        <v>45992</v>
      </c>
      <c r="X13" s="1194">
        <v>46023</v>
      </c>
      <c r="Y13" s="1193" t="s">
        <v>1898</v>
      </c>
    </row>
    <row r="14" spans="2:25" s="1183" customFormat="1" ht="12">
      <c r="B14" s="1195" t="s">
        <v>1428</v>
      </c>
      <c r="C14" s="1196">
        <f>+'ADI 09-25'!C18</f>
        <v>106933000</v>
      </c>
      <c r="D14" s="1196">
        <f t="shared" ref="D14:D20" si="0">SUM(G14:I14)</f>
        <v>264445080.15999997</v>
      </c>
      <c r="E14" s="1196">
        <f t="shared" ref="E14:E20" si="1">+C14-D14</f>
        <v>-157512080.15999997</v>
      </c>
      <c r="F14" s="1196">
        <f t="shared" ref="F14:F20" si="2">SUM(G14:J14)</f>
        <v>264445080.15999997</v>
      </c>
      <c r="G14" s="1196">
        <f>SUM(K14:X14)</f>
        <v>264445080.15999997</v>
      </c>
      <c r="H14" s="1196"/>
      <c r="I14" s="1196"/>
      <c r="J14" s="1196"/>
      <c r="K14" s="1376">
        <f>+'Costos a Sept-25'!B2</f>
        <v>94172341.829999998</v>
      </c>
      <c r="L14" s="1376">
        <f>+'Costos a Sept-25'!C2</f>
        <v>0</v>
      </c>
      <c r="M14" s="1376">
        <f>+'Costos a Sept-25'!D2</f>
        <v>0</v>
      </c>
      <c r="N14" s="1376">
        <f>+'Costos a Sept-25'!E2</f>
        <v>0</v>
      </c>
      <c r="O14" s="1376">
        <f>+'Costos a Sept-25'!F2</f>
        <v>0</v>
      </c>
      <c r="P14" s="1376">
        <f>+'Costos a Sept-25'!G2</f>
        <v>18880</v>
      </c>
      <c r="Q14" s="1376">
        <f>+'Costos a Sept-25'!H2</f>
        <v>0</v>
      </c>
      <c r="R14" s="1376">
        <f>+'Costos a Sept-25'!I2</f>
        <v>0</v>
      </c>
      <c r="S14" s="1376">
        <f>+'Costos a Sept-25'!J2</f>
        <v>170252678.32999998</v>
      </c>
      <c r="T14" s="1377">
        <f>+'Costos a Sept-25'!K2</f>
        <v>1180</v>
      </c>
      <c r="U14" s="1377">
        <f>+'Costos a Oct-25'!L2</f>
        <v>0</v>
      </c>
      <c r="V14" s="1376">
        <f>+'Costos a Sept-25'!M2</f>
        <v>0</v>
      </c>
      <c r="W14" s="1376">
        <f>+'Costos a Ene-26'!N2</f>
        <v>0</v>
      </c>
      <c r="X14" s="1376">
        <f>+'Costos a Ene-26'!O2</f>
        <v>0</v>
      </c>
      <c r="Y14" s="1208">
        <f t="shared" ref="Y14:Y20" si="3">SUM(U14:X14)</f>
        <v>0</v>
      </c>
    </row>
    <row r="15" spans="2:25" s="1183" customFormat="1" ht="12">
      <c r="B15" s="1197" t="s">
        <v>35</v>
      </c>
      <c r="C15" s="1198">
        <f>+'ADI 09-25'!C19</f>
        <v>469173666.60000002</v>
      </c>
      <c r="D15" s="1198">
        <f t="shared" si="0"/>
        <v>34643914.119999997</v>
      </c>
      <c r="E15" s="1198">
        <f t="shared" si="1"/>
        <v>434529752.48000002</v>
      </c>
      <c r="F15" s="1198">
        <f t="shared" si="2"/>
        <v>34434173.210000001</v>
      </c>
      <c r="G15" s="1198">
        <f>SUM(K15:X15)</f>
        <v>34234614.599999994</v>
      </c>
      <c r="H15" s="1198">
        <v>278099.52</v>
      </c>
      <c r="I15" s="1198">
        <f>+'Anticipos 01-26'!D5</f>
        <v>131200</v>
      </c>
      <c r="J15" s="1198">
        <f>-'CXP 01-26 RES'!G8</f>
        <v>-209740.90999999997</v>
      </c>
      <c r="K15" s="1378">
        <f>+'Costos a Sept-25'!B6</f>
        <v>9219083.5899999999</v>
      </c>
      <c r="L15" s="1378">
        <f>+'Costos a Sept-25'!C6</f>
        <v>0</v>
      </c>
      <c r="M15" s="1378">
        <f>+'Costos a Sept-25'!D6</f>
        <v>0</v>
      </c>
      <c r="N15" s="1378">
        <f>+'Costos a Sept-25'!E6</f>
        <v>0</v>
      </c>
      <c r="O15" s="1378">
        <f>+'Costos a Sept-25'!F6</f>
        <v>353433.2</v>
      </c>
      <c r="P15" s="1378">
        <f>+'Costos a Sept-25'!G6</f>
        <v>93563.38</v>
      </c>
      <c r="Q15" s="1378">
        <f>+'Costos a Sept-25'!H6</f>
        <v>806839.56</v>
      </c>
      <c r="R15" s="1378">
        <f>+'Costos a Sept-25'!I6</f>
        <v>3069742.21</v>
      </c>
      <c r="S15" s="1378">
        <f>+'Costos a Sept-25'!J6</f>
        <v>2900560.48</v>
      </c>
      <c r="T15" s="1379">
        <f>+'Costos a Sept-25'!K6</f>
        <v>342033.18</v>
      </c>
      <c r="U15" s="1379">
        <f>+'Costos a Oct-25'!L6</f>
        <v>201871.48</v>
      </c>
      <c r="V15" s="1379">
        <f>+'Costos a Nov-25'!M6</f>
        <v>1617336.11</v>
      </c>
      <c r="W15" s="1379">
        <f>+'Costos a Ene-26'!N6</f>
        <v>15407306.5</v>
      </c>
      <c r="X15" s="1379">
        <f>+'Costos a Ene-26'!O6</f>
        <v>222844.91</v>
      </c>
      <c r="Y15" s="1209">
        <f t="shared" si="3"/>
        <v>17449359</v>
      </c>
    </row>
    <row r="16" spans="2:25" s="1183" customFormat="1" ht="12">
      <c r="B16" s="1197" t="s">
        <v>38</v>
      </c>
      <c r="C16" s="1198">
        <f>+'ADI 09-25'!C20</f>
        <v>1517166651</v>
      </c>
      <c r="D16" s="1198">
        <f t="shared" si="0"/>
        <v>3123893.6300000004</v>
      </c>
      <c r="E16" s="1198">
        <f t="shared" si="1"/>
        <v>1514042757.3699999</v>
      </c>
      <c r="F16" s="1198">
        <f t="shared" si="2"/>
        <v>1397553.8800000004</v>
      </c>
      <c r="G16" s="1198">
        <f t="shared" ref="G16:G20" si="4">SUM(K16:X16)</f>
        <v>3123893.6300000004</v>
      </c>
      <c r="H16" s="1198"/>
      <c r="I16" s="1198"/>
      <c r="J16" s="1198">
        <f>-'CXP 01-26 RES'!G9</f>
        <v>-1726339.75</v>
      </c>
      <c r="K16" s="1378">
        <f>+'Costos a Sept-25'!B8</f>
        <v>0</v>
      </c>
      <c r="L16" s="1378">
        <f>+'Costos a Sept-25'!C8</f>
        <v>0</v>
      </c>
      <c r="M16" s="1378">
        <f>+'Costos a Sept-25'!D8</f>
        <v>0</v>
      </c>
      <c r="N16" s="1378">
        <f>+'Costos a Sept-25'!E8</f>
        <v>0</v>
      </c>
      <c r="O16" s="1378">
        <f>+'Costos a Sept-25'!F8</f>
        <v>0</v>
      </c>
      <c r="P16" s="1378">
        <f>+'Costos a Sept-25'!G8</f>
        <v>0</v>
      </c>
      <c r="Q16" s="1378">
        <f>+'Costos a Sept-25'!H8</f>
        <v>0</v>
      </c>
      <c r="R16" s="1378">
        <f>+'Costos a Sept-25'!I8</f>
        <v>0</v>
      </c>
      <c r="S16" s="1378">
        <f>+'Costos a Sept-25'!J8</f>
        <v>0</v>
      </c>
      <c r="T16" s="1379">
        <f>+'Costos a Sept-25'!K8</f>
        <v>0</v>
      </c>
      <c r="U16" s="1379">
        <f>+'Costos a Oct-25'!L8</f>
        <v>0</v>
      </c>
      <c r="V16" s="1379">
        <f>+'Costos a Nov-25'!M8</f>
        <v>0</v>
      </c>
      <c r="W16" s="1379">
        <f>+'Costos a Ene-26'!N8</f>
        <v>991237.18</v>
      </c>
      <c r="X16" s="1379">
        <f>+'Costos a Ene-26'!O8</f>
        <v>2132656.4500000002</v>
      </c>
      <c r="Y16" s="1209">
        <f t="shared" si="3"/>
        <v>3123893.6300000004</v>
      </c>
    </row>
    <row r="17" spans="2:25" s="1183" customFormat="1" ht="12">
      <c r="B17" s="1197" t="s">
        <v>1920</v>
      </c>
      <c r="C17" s="1198">
        <f>+'ADI 09-25'!C21</f>
        <v>234388157.47679996</v>
      </c>
      <c r="D17" s="1198">
        <f t="shared" si="0"/>
        <v>28191306.359999999</v>
      </c>
      <c r="E17" s="1198">
        <f t="shared" si="1"/>
        <v>206196851.11679995</v>
      </c>
      <c r="F17" s="1198">
        <f t="shared" si="2"/>
        <v>28191306.359999999</v>
      </c>
      <c r="G17" s="1198">
        <f t="shared" si="4"/>
        <v>28191306.359999999</v>
      </c>
      <c r="H17" s="1198"/>
      <c r="I17" s="1198"/>
      <c r="J17" s="1198"/>
      <c r="K17" s="1378">
        <f>+'Costos a Sept-25'!B10</f>
        <v>1644662.03</v>
      </c>
      <c r="L17" s="1378">
        <f>+'Costos a Sept-25'!C10</f>
        <v>1770000</v>
      </c>
      <c r="M17" s="1378">
        <f>+'Costos a Sept-25'!D10</f>
        <v>0</v>
      </c>
      <c r="N17" s="1378">
        <f>+'Costos a Sept-25'!E10</f>
        <v>885000</v>
      </c>
      <c r="O17" s="1378">
        <f>+'Costos a Sept-25'!F10</f>
        <v>2455806.54</v>
      </c>
      <c r="P17" s="1378">
        <f>+'Costos a Sept-25'!G10</f>
        <v>2360000</v>
      </c>
      <c r="Q17" s="1378">
        <f>+'Costos a Sept-25'!H10</f>
        <v>2417857.34</v>
      </c>
      <c r="R17" s="1378">
        <f>+'Costos a Sept-25'!I10</f>
        <v>2664755.19</v>
      </c>
      <c r="S17" s="1378">
        <f>+'Costos a Sept-25'!J10</f>
        <v>2360000</v>
      </c>
      <c r="T17" s="1379">
        <f>+'Costos a Sept-25'!K10</f>
        <v>2360000</v>
      </c>
      <c r="U17" s="1379">
        <f>+'Costos a Oct-25'!L10</f>
        <v>2360000</v>
      </c>
      <c r="V17" s="1379">
        <f>+'Costos a Nov-25'!M10</f>
        <v>2783225.26</v>
      </c>
      <c r="W17" s="1379">
        <f>+'Costos a Ene-26'!N10</f>
        <v>1770000</v>
      </c>
      <c r="X17" s="1379">
        <f>+'Costos a Ene-26'!O10</f>
        <v>2360000</v>
      </c>
      <c r="Y17" s="1209">
        <f t="shared" si="3"/>
        <v>9273225.2599999998</v>
      </c>
    </row>
    <row r="18" spans="2:25" s="1183" customFormat="1" ht="12">
      <c r="B18" s="1197" t="s">
        <v>1921</v>
      </c>
      <c r="C18" s="1198">
        <f>+'ADI 09-25'!C22</f>
        <v>19264643</v>
      </c>
      <c r="D18" s="1198">
        <f t="shared" si="0"/>
        <v>2534821.5</v>
      </c>
      <c r="E18" s="1198">
        <f t="shared" si="1"/>
        <v>16729821.5</v>
      </c>
      <c r="F18" s="1198">
        <f t="shared" si="2"/>
        <v>2027857.2</v>
      </c>
      <c r="G18" s="1198">
        <f t="shared" si="4"/>
        <v>2534821.5</v>
      </c>
      <c r="H18" s="1198"/>
      <c r="I18" s="1198"/>
      <c r="J18" s="1198">
        <f>-'CXP 01-26 RES'!G12</f>
        <v>-506964.3</v>
      </c>
      <c r="K18" s="1378">
        <f>+'Costos a Sept-25'!B22</f>
        <v>0</v>
      </c>
      <c r="L18" s="1378">
        <f>+'Costos a Sept-25'!C22</f>
        <v>0</v>
      </c>
      <c r="M18" s="1378">
        <f>+'Costos a Sept-25'!D22</f>
        <v>0</v>
      </c>
      <c r="N18" s="1378">
        <f>+'Costos a Sept-25'!E22</f>
        <v>0</v>
      </c>
      <c r="O18" s="1378">
        <f>+'Costos a Sept-25'!F22</f>
        <v>0</v>
      </c>
      <c r="P18" s="1378">
        <f>+'Costos a Sept-25'!G22</f>
        <v>0</v>
      </c>
      <c r="Q18" s="1378">
        <f>+'Costos a Sept-25'!H22</f>
        <v>0</v>
      </c>
      <c r="R18" s="1378">
        <f>+'Costos a Sept-25'!I22</f>
        <v>0</v>
      </c>
      <c r="S18" s="1378">
        <f>+'Costos a Sept-25'!J22</f>
        <v>0</v>
      </c>
      <c r="T18" s="1379">
        <f>+'Costos a Sept-25'!K22</f>
        <v>0</v>
      </c>
      <c r="U18" s="1379">
        <f>+'Costos a Oct-25'!L22</f>
        <v>1013928.6</v>
      </c>
      <c r="V18" s="1379">
        <f>+'Costos a Nov-25'!M22</f>
        <v>506964.3</v>
      </c>
      <c r="W18" s="1379">
        <f>+'Costos a Ene-26'!N22</f>
        <v>506964.3</v>
      </c>
      <c r="X18" s="1379">
        <f>+'Costos a Ene-26'!O22</f>
        <v>506964.3</v>
      </c>
      <c r="Y18" s="1372">
        <f t="shared" si="3"/>
        <v>2534821.5</v>
      </c>
    </row>
    <row r="19" spans="2:25" s="1183" customFormat="1" ht="12">
      <c r="B19" s="1197" t="s">
        <v>40</v>
      </c>
      <c r="C19" s="1198">
        <f>+'ADI 09-25'!C23</f>
        <v>47672167.622400001</v>
      </c>
      <c r="D19" s="1198">
        <f t="shared" si="0"/>
        <v>1047858.6900000001</v>
      </c>
      <c r="E19" s="1198">
        <f t="shared" si="1"/>
        <v>46624308.932400003</v>
      </c>
      <c r="F19" s="1198">
        <f t="shared" si="2"/>
        <v>852299.65</v>
      </c>
      <c r="G19" s="1198">
        <f t="shared" si="4"/>
        <v>1047858.6900000001</v>
      </c>
      <c r="H19" s="1198"/>
      <c r="I19" s="1198"/>
      <c r="J19" s="1198">
        <f>-'CXP 01-26 RES'!G10-'CXP 01-26 RES'!G11</f>
        <v>-195559.04000000001</v>
      </c>
      <c r="K19" s="1378">
        <f>+'Costos a Sept-25'!B12</f>
        <v>0</v>
      </c>
      <c r="L19" s="1378">
        <f>+'Costos a Sept-25'!C12</f>
        <v>0</v>
      </c>
      <c r="M19" s="1378">
        <f>+'Costos a Sept-25'!D12</f>
        <v>0</v>
      </c>
      <c r="N19" s="1378">
        <f>+'Costos a Sept-25'!E12</f>
        <v>0</v>
      </c>
      <c r="O19" s="1378">
        <f>+'Costos a Sept-25'!F12</f>
        <v>0</v>
      </c>
      <c r="P19" s="1378">
        <f>+'Costos a Sept-25'!G12</f>
        <v>0</v>
      </c>
      <c r="Q19" s="1378">
        <f>+'Costos a Sept-25'!H12</f>
        <v>147108.53999999998</v>
      </c>
      <c r="R19" s="1378">
        <f>+'Costos a Sept-25'!I12</f>
        <v>92700.800000000003</v>
      </c>
      <c r="S19" s="1378">
        <f>+'Costos a Sept-25'!J12</f>
        <v>96854.399999999994</v>
      </c>
      <c r="T19" s="1379">
        <f>+'Costos a Sept-25'!K12</f>
        <v>90246.399999999994</v>
      </c>
      <c r="U19" s="1379">
        <f>+'Costos a Oct-25'!L12</f>
        <v>92700.800000000003</v>
      </c>
      <c r="V19" s="1379">
        <f>+'Costos a Nov-25'!M12</f>
        <v>332688.71000000002</v>
      </c>
      <c r="W19" s="1379">
        <f>+'Costos a Ene-26'!N12</f>
        <v>92700.800000000003</v>
      </c>
      <c r="X19" s="1379">
        <f>+'Costos a Ene-26'!O12</f>
        <v>102858.24000000001</v>
      </c>
      <c r="Y19" s="1209">
        <f t="shared" si="3"/>
        <v>620948.55000000005</v>
      </c>
    </row>
    <row r="20" spans="2:25" s="1183" customFormat="1" ht="12">
      <c r="B20" s="1197" t="s">
        <v>764</v>
      </c>
      <c r="C20" s="1198">
        <f>+'ADI 09-25'!C24</f>
        <v>39726806.351999998</v>
      </c>
      <c r="D20" s="1198">
        <f t="shared" si="0"/>
        <v>0</v>
      </c>
      <c r="E20" s="1198">
        <f t="shared" si="1"/>
        <v>39726806.351999998</v>
      </c>
      <c r="F20" s="1198">
        <f t="shared" si="2"/>
        <v>0</v>
      </c>
      <c r="G20" s="1198">
        <f t="shared" si="4"/>
        <v>0</v>
      </c>
      <c r="H20" s="1198"/>
      <c r="I20" s="1198"/>
      <c r="J20" s="1198"/>
      <c r="K20" s="1378">
        <f>+'Costos a Sept-25'!B20</f>
        <v>0</v>
      </c>
      <c r="L20" s="1378">
        <f>+'Costos a Sept-25'!C20</f>
        <v>0</v>
      </c>
      <c r="M20" s="1378">
        <f>+'Costos a Sept-25'!D20</f>
        <v>0</v>
      </c>
      <c r="N20" s="1378">
        <f>+'Costos a Sept-25'!E20</f>
        <v>0</v>
      </c>
      <c r="O20" s="1378">
        <f>+'Costos a Sept-25'!F20</f>
        <v>0</v>
      </c>
      <c r="P20" s="1378">
        <f>+'Costos a Sept-25'!G20</f>
        <v>0</v>
      </c>
      <c r="Q20" s="1378">
        <f>+'Costos a Sept-25'!H20</f>
        <v>0</v>
      </c>
      <c r="R20" s="1378">
        <f>+'Costos a Sept-25'!I20</f>
        <v>0</v>
      </c>
      <c r="S20" s="1378">
        <f>+'Costos a Sept-25'!J20</f>
        <v>0</v>
      </c>
      <c r="T20" s="1379">
        <f>+'Costos a Sept-25'!K20</f>
        <v>0</v>
      </c>
      <c r="U20" s="1379">
        <f>+'Costos a Oct-25'!L20</f>
        <v>0</v>
      </c>
      <c r="V20" s="1379">
        <f>+'Costos a Nov-25'!M20</f>
        <v>0</v>
      </c>
      <c r="W20" s="1379">
        <f>+'Costos a Ene-26'!N20</f>
        <v>0</v>
      </c>
      <c r="X20" s="1379">
        <f>+'Costos a Ene-26'!O20</f>
        <v>0</v>
      </c>
      <c r="Y20" s="1209">
        <f t="shared" si="3"/>
        <v>0</v>
      </c>
    </row>
    <row r="21" spans="2:25" s="1183" customFormat="1" ht="12">
      <c r="B21" s="1199" t="s">
        <v>41</v>
      </c>
      <c r="C21" s="1200">
        <f t="shared" ref="C21:Y21" si="5">SUM(C15:C20)</f>
        <v>2327392092.0511999</v>
      </c>
      <c r="D21" s="1200">
        <f t="shared" si="5"/>
        <v>69541794.299999997</v>
      </c>
      <c r="E21" s="1200">
        <f t="shared" si="5"/>
        <v>2257850297.7511997</v>
      </c>
      <c r="F21" s="1200">
        <f t="shared" si="5"/>
        <v>66903190.300000004</v>
      </c>
      <c r="G21" s="1200">
        <f t="shared" si="5"/>
        <v>69132494.780000001</v>
      </c>
      <c r="H21" s="1200">
        <f t="shared" si="5"/>
        <v>278099.52</v>
      </c>
      <c r="I21" s="1200">
        <f t="shared" si="5"/>
        <v>131200</v>
      </c>
      <c r="J21" s="1200">
        <f t="shared" si="5"/>
        <v>-2638604</v>
      </c>
      <c r="K21" s="1380">
        <f t="shared" si="5"/>
        <v>10863745.619999999</v>
      </c>
      <c r="L21" s="1380">
        <f t="shared" si="5"/>
        <v>1770000</v>
      </c>
      <c r="M21" s="1380">
        <f t="shared" si="5"/>
        <v>0</v>
      </c>
      <c r="N21" s="1380">
        <f t="shared" si="5"/>
        <v>885000</v>
      </c>
      <c r="O21" s="1380">
        <f t="shared" si="5"/>
        <v>2809239.74</v>
      </c>
      <c r="P21" s="1380">
        <f t="shared" si="5"/>
        <v>2453563.38</v>
      </c>
      <c r="Q21" s="1380">
        <f t="shared" si="5"/>
        <v>3371805.44</v>
      </c>
      <c r="R21" s="1380">
        <f t="shared" si="5"/>
        <v>5827198.2000000002</v>
      </c>
      <c r="S21" s="1380">
        <f t="shared" si="5"/>
        <v>5357414.8800000008</v>
      </c>
      <c r="T21" s="1381">
        <f t="shared" si="5"/>
        <v>2792279.58</v>
      </c>
      <c r="U21" s="1381">
        <f t="shared" si="5"/>
        <v>3668500.88</v>
      </c>
      <c r="V21" s="1381">
        <f t="shared" si="5"/>
        <v>5240214.38</v>
      </c>
      <c r="W21" s="1381">
        <f t="shared" si="5"/>
        <v>18768208.780000001</v>
      </c>
      <c r="X21" s="1381">
        <f t="shared" ref="X21" si="6">SUM(X15:X20)</f>
        <v>5325323.9000000004</v>
      </c>
      <c r="Y21" s="1210">
        <f t="shared" si="5"/>
        <v>33002247.940000001</v>
      </c>
    </row>
    <row r="22" spans="2:25" s="1183" customFormat="1" ht="12">
      <c r="B22" s="1201" t="s">
        <v>42</v>
      </c>
      <c r="C22" s="1198">
        <f>+'ADI 09-25'!C26</f>
        <v>187510525.98143998</v>
      </c>
      <c r="D22" s="1198">
        <f>SUM(G22:I22)</f>
        <v>17861175.969999999</v>
      </c>
      <c r="E22" s="1198">
        <f>+C22-D22</f>
        <v>169649350.01143998</v>
      </c>
      <c r="F22" s="1198">
        <f>SUM(G22:J22)</f>
        <v>17861175.969999999</v>
      </c>
      <c r="G22" s="1198">
        <f>SUM(K22:X22)</f>
        <v>17861175.969999999</v>
      </c>
      <c r="H22" s="1198"/>
      <c r="I22" s="1198"/>
      <c r="J22" s="1198"/>
      <c r="K22" s="1378">
        <f>+'Costos a Sept-25'!B24</f>
        <v>161175.97</v>
      </c>
      <c r="L22" s="1378">
        <f>+'Costos a Sept-25'!C24</f>
        <v>0</v>
      </c>
      <c r="M22" s="1378">
        <f>+'Costos a Sept-25'!D24</f>
        <v>0</v>
      </c>
      <c r="N22" s="1378">
        <f>+'Costos a Sept-25'!E24</f>
        <v>0</v>
      </c>
      <c r="O22" s="1378">
        <f>+'Costos a Sept-25'!F24</f>
        <v>1770000</v>
      </c>
      <c r="P22" s="1378">
        <f>+'Costos a Sept-25'!G24</f>
        <v>1770000</v>
      </c>
      <c r="Q22" s="1378">
        <f>+'Costos a Sept-25'!H24</f>
        <v>1770000</v>
      </c>
      <c r="R22" s="1378">
        <f>+'Costos a Sept-25'!I24</f>
        <v>1770000</v>
      </c>
      <c r="S22" s="1378">
        <f>+'Costos a Sept-25'!J24</f>
        <v>1770000</v>
      </c>
      <c r="T22" s="1379">
        <f>+'Costos a Sept-25'!K24</f>
        <v>1770000</v>
      </c>
      <c r="U22" s="1379">
        <f>+'Costos a Oct-25'!L24</f>
        <v>1770000</v>
      </c>
      <c r="V22" s="1379">
        <f>+'Costos a Nov-25'!M24</f>
        <v>1770000</v>
      </c>
      <c r="W22" s="1379">
        <f>+'Costos a Ene-26'!N24</f>
        <v>1770000</v>
      </c>
      <c r="X22" s="1379">
        <f>+'Costos a Ene-26'!O24</f>
        <v>1770000</v>
      </c>
      <c r="Y22" s="1209">
        <f>SUM(U22:X22)</f>
        <v>7080000</v>
      </c>
    </row>
    <row r="23" spans="2:25" s="1183" customFormat="1" ht="12">
      <c r="B23" s="1197" t="s">
        <v>43</v>
      </c>
      <c r="C23" s="1198">
        <f>+'ADI 09-25'!C27</f>
        <v>327746152.40399998</v>
      </c>
      <c r="D23" s="1198">
        <f>SUM(G23:I23)</f>
        <v>81266682.359999999</v>
      </c>
      <c r="E23" s="1198">
        <f>+C23-D23</f>
        <v>246479470.04399997</v>
      </c>
      <c r="F23" s="1198">
        <f>SUM(G23:J23)</f>
        <v>77952984.890000001</v>
      </c>
      <c r="G23" s="1198">
        <f t="shared" ref="G23:G26" si="7">SUM(K23:X23)</f>
        <v>81266682.359999999</v>
      </c>
      <c r="H23" s="1198"/>
      <c r="I23" s="1198"/>
      <c r="J23" s="1198">
        <f>-'CXP 01-26 RES'!G13-'CXP 01-26 RES'!G14</f>
        <v>-3313697.4699999997</v>
      </c>
      <c r="K23" s="1378">
        <f>+'Costos a Sept-25'!B26</f>
        <v>559355.54</v>
      </c>
      <c r="L23" s="1378">
        <f>+'Costos a Sept-25'!C26</f>
        <v>0</v>
      </c>
      <c r="M23" s="1378">
        <f>+'Costos a Sept-25'!D26</f>
        <v>645765.21</v>
      </c>
      <c r="N23" s="1378">
        <f>+'Costos a Sept-25'!E26</f>
        <v>595001.35</v>
      </c>
      <c r="O23" s="1378">
        <f>+'Costos a Sept-25'!F26</f>
        <v>1549872.47</v>
      </c>
      <c r="P23" s="1378">
        <f>+'Costos a Sept-25'!G26</f>
        <v>1423527.61</v>
      </c>
      <c r="Q23" s="1378">
        <f>+'Costos a Sept-25'!H26</f>
        <v>1733909.84</v>
      </c>
      <c r="R23" s="1378">
        <f>+'Costos a Sept-25'!I26</f>
        <v>7890097.2200000007</v>
      </c>
      <c r="S23" s="1378">
        <f>+'Costos a Sept-25'!J26</f>
        <v>16166710.020000001</v>
      </c>
      <c r="T23" s="1379">
        <f>+'Costos a Sept-25'!K26</f>
        <v>11886550.289999999</v>
      </c>
      <c r="U23" s="1379">
        <f>+'Costos a Oct-25'!L26</f>
        <v>12659941.220000001</v>
      </c>
      <c r="V23" s="1379">
        <f>+'Costos a Nov-25'!M26</f>
        <v>15204797.51</v>
      </c>
      <c r="W23" s="1379">
        <f>+'Costos a Ene-26'!N26</f>
        <v>5620798.7199999997</v>
      </c>
      <c r="X23" s="1379">
        <f>+'Costos a Ene-26'!O26</f>
        <v>5330355.3599999994</v>
      </c>
      <c r="Y23" s="1209">
        <f>SUM(U23:X23)</f>
        <v>38815892.810000002</v>
      </c>
    </row>
    <row r="24" spans="2:25" s="1183" customFormat="1" ht="12">
      <c r="B24" s="1197" t="s">
        <v>44</v>
      </c>
      <c r="C24" s="1198">
        <f>+'ADI 09-25'!C28</f>
        <v>81458723.221791998</v>
      </c>
      <c r="D24" s="1198">
        <f>SUM(G24:I24)</f>
        <v>2673212.1099999994</v>
      </c>
      <c r="E24" s="1198">
        <f>+C24-D24</f>
        <v>78785511.111791998</v>
      </c>
      <c r="F24" s="1198">
        <f>SUM(G24:J24)</f>
        <v>2673212.1099999994</v>
      </c>
      <c r="G24" s="1198">
        <f t="shared" si="7"/>
        <v>2673212.1099999994</v>
      </c>
      <c r="H24" s="1198"/>
      <c r="I24" s="1198"/>
      <c r="J24" s="1198"/>
      <c r="K24" s="1378">
        <f>+'Costos a Sept-25'!B31</f>
        <v>373034.61</v>
      </c>
      <c r="L24" s="1378">
        <f>+'Costos a Sept-25'!C31</f>
        <v>43563.47</v>
      </c>
      <c r="M24" s="1378">
        <f>+'Costos a Sept-25'!D31</f>
        <v>36723.129999999997</v>
      </c>
      <c r="N24" s="1378">
        <f>+'Costos a Sept-25'!E31</f>
        <v>37034.89</v>
      </c>
      <c r="O24" s="1378">
        <f>+'Costos a Sept-25'!F31</f>
        <v>51335.37</v>
      </c>
      <c r="P24" s="1378">
        <f>+'Costos a Sept-25'!G31</f>
        <v>125971.53</v>
      </c>
      <c r="Q24" s="1378">
        <f>+'Costos a Sept-25'!H31</f>
        <v>205035.01</v>
      </c>
      <c r="R24" s="1378">
        <f>+'Costos a Sept-25'!I31</f>
        <v>193826.15000000002</v>
      </c>
      <c r="S24" s="1378">
        <f>+'Costos a Sept-25'!J31</f>
        <v>228402.97999999998</v>
      </c>
      <c r="T24" s="1379">
        <f>+'Costos a Sept-25'!K31</f>
        <v>824240.61999999988</v>
      </c>
      <c r="U24" s="1379">
        <f>+'Costos a Oct-25'!L31</f>
        <v>143558.04999999999</v>
      </c>
      <c r="V24" s="1379">
        <f>+'Costos a Nov-25'!M31</f>
        <v>111569.53</v>
      </c>
      <c r="W24" s="1379">
        <f>+'Costos a Ene-26'!N31</f>
        <v>187644.31</v>
      </c>
      <c r="X24" s="1379">
        <f>+'Costos a Ene-26'!O31</f>
        <v>111272.45999999999</v>
      </c>
      <c r="Y24" s="1371">
        <f>SUM(U24:X24)</f>
        <v>554044.35</v>
      </c>
    </row>
    <row r="25" spans="2:25" s="1183" customFormat="1" ht="12">
      <c r="B25" s="1197" t="s">
        <v>45</v>
      </c>
      <c r="C25" s="1198">
        <f>+'ADI 09-25'!C29</f>
        <v>69521911.115999997</v>
      </c>
      <c r="D25" s="1198">
        <f>SUM(G25:I25)</f>
        <v>26343844.75</v>
      </c>
      <c r="E25" s="1198">
        <f>+C25-D25</f>
        <v>43178066.365999997</v>
      </c>
      <c r="F25" s="1198">
        <f>SUM(G25:J25)</f>
        <v>25645532.170000002</v>
      </c>
      <c r="G25" s="1198">
        <f t="shared" si="7"/>
        <v>26327787.309999999</v>
      </c>
      <c r="H25" s="1198"/>
      <c r="I25" s="1198">
        <f>+'Anticipos 01-26'!D10</f>
        <v>16057.44</v>
      </c>
      <c r="J25" s="1198">
        <f>-'CXP 01-26 RES'!G16-'CXP 01-26 RES'!G17-'CXP MMHB 01-26'!E8-'CXP MMHB 01-26'!E12-'CXP MMHB 01-26'!E16</f>
        <v>-698312.58</v>
      </c>
      <c r="K25" s="1378">
        <f>+'Costos a Sept-25'!B34</f>
        <v>11066720.34</v>
      </c>
      <c r="L25" s="1378">
        <f>+'Costos a Sept-25'!C34</f>
        <v>915790.08000000007</v>
      </c>
      <c r="M25" s="1378">
        <f>+'Costos a Sept-25'!D34</f>
        <v>1931201.9</v>
      </c>
      <c r="N25" s="1378">
        <f>+'Costos a Sept-25'!E34</f>
        <v>1103623.17</v>
      </c>
      <c r="O25" s="1378">
        <f>+'Costos a Sept-25'!F34</f>
        <v>807731.34</v>
      </c>
      <c r="P25" s="1378">
        <f>+'Costos a Sept-25'!G34</f>
        <v>740040.2</v>
      </c>
      <c r="Q25" s="1378">
        <f>+'Costos a Sept-25'!H34</f>
        <v>1412884.71</v>
      </c>
      <c r="R25" s="1378">
        <f>+'Costos a Sept-25'!I34</f>
        <v>3494146.35</v>
      </c>
      <c r="S25" s="1378">
        <f>+'Costos a Sept-25'!J34</f>
        <v>184710.12999999995</v>
      </c>
      <c r="T25" s="1379">
        <f>+'Costos a Sept-25'!K34</f>
        <v>551935.67999999993</v>
      </c>
      <c r="U25" s="1379">
        <f>+'Costos a Oct-25'!L34</f>
        <v>1245788.3799999999</v>
      </c>
      <c r="V25" s="1379">
        <f>+'Costos a Nov-25'!M34</f>
        <v>943821.03</v>
      </c>
      <c r="W25" s="1379">
        <f>+'Costos a Ene-26'!N34+5979.31</f>
        <v>1002260.52</v>
      </c>
      <c r="X25" s="1379">
        <f>+'Costos a Ene-26'!O34</f>
        <v>927133.48</v>
      </c>
      <c r="Y25" s="1209">
        <f>SUM(U25:X25)</f>
        <v>4119003.41</v>
      </c>
    </row>
    <row r="26" spans="2:25" s="1183" customFormat="1" ht="12">
      <c r="B26" s="1197" t="s">
        <v>46</v>
      </c>
      <c r="C26" s="1198">
        <f>+'ADI 09-25'!C30</f>
        <v>19863403.175999999</v>
      </c>
      <c r="D26" s="1198">
        <f>SUM(G26:I26)</f>
        <v>0</v>
      </c>
      <c r="E26" s="1198">
        <f>+C26-D26</f>
        <v>19863403.175999999</v>
      </c>
      <c r="F26" s="1198">
        <f>SUM(G26:J26)</f>
        <v>0</v>
      </c>
      <c r="G26" s="1198">
        <f t="shared" si="7"/>
        <v>0</v>
      </c>
      <c r="H26" s="1198"/>
      <c r="I26" s="1198"/>
      <c r="J26" s="1198"/>
      <c r="K26" s="1378">
        <f>+'Costos a Sept-25'!B40</f>
        <v>0</v>
      </c>
      <c r="L26" s="1378">
        <f>+'Costos a Sept-25'!C40</f>
        <v>0</v>
      </c>
      <c r="M26" s="1378">
        <f>+'Costos a Sept-25'!D40</f>
        <v>0</v>
      </c>
      <c r="N26" s="1378">
        <f>+'Costos a Sept-25'!E40</f>
        <v>0</v>
      </c>
      <c r="O26" s="1378">
        <f>+'Costos a Sept-25'!F40</f>
        <v>0</v>
      </c>
      <c r="P26" s="1378">
        <f>+'Costos a Sept-25'!G40</f>
        <v>0</v>
      </c>
      <c r="Q26" s="1378">
        <f>+'Costos a Sept-25'!H40</f>
        <v>0</v>
      </c>
      <c r="R26" s="1378">
        <f>+'Costos a Sept-25'!I40</f>
        <v>0</v>
      </c>
      <c r="S26" s="1378">
        <f>+'Costos a Sept-25'!J40</f>
        <v>0</v>
      </c>
      <c r="T26" s="1379">
        <f>+'Costos a Sept-25'!K40</f>
        <v>0</v>
      </c>
      <c r="U26" s="1379">
        <v>0</v>
      </c>
      <c r="V26" s="1379">
        <f>+'Costos a Nov-25'!M43</f>
        <v>0</v>
      </c>
      <c r="W26" s="1379">
        <f>+'Costos a Ene-26'!N43</f>
        <v>0</v>
      </c>
      <c r="X26" s="1379">
        <f>+'Costos a Ene-26'!O43</f>
        <v>0</v>
      </c>
      <c r="Y26" s="1209">
        <f>SUM(U26:X26)</f>
        <v>0</v>
      </c>
    </row>
    <row r="27" spans="2:25" s="1183" customFormat="1" ht="12">
      <c r="B27" s="1199" t="s">
        <v>47</v>
      </c>
      <c r="C27" s="1200">
        <f>SUM(C22:C26)</f>
        <v>686100715.89923203</v>
      </c>
      <c r="D27" s="1200">
        <f t="shared" ref="D27:Y27" si="8">SUM(D22:D26)</f>
        <v>128144915.19</v>
      </c>
      <c r="E27" s="1200">
        <f t="shared" si="8"/>
        <v>557955800.70923197</v>
      </c>
      <c r="F27" s="1200">
        <f t="shared" si="8"/>
        <v>124132905.14</v>
      </c>
      <c r="G27" s="1200">
        <f t="shared" si="8"/>
        <v>128128857.75</v>
      </c>
      <c r="H27" s="1200">
        <f t="shared" si="8"/>
        <v>0</v>
      </c>
      <c r="I27" s="1200">
        <f t="shared" si="8"/>
        <v>16057.44</v>
      </c>
      <c r="J27" s="1200">
        <f t="shared" si="8"/>
        <v>-4012010.05</v>
      </c>
      <c r="K27" s="1380">
        <f t="shared" si="8"/>
        <v>12160286.460000001</v>
      </c>
      <c r="L27" s="1380">
        <f t="shared" si="8"/>
        <v>959353.55</v>
      </c>
      <c r="M27" s="1380">
        <f t="shared" si="8"/>
        <v>2613690.2399999998</v>
      </c>
      <c r="N27" s="1380">
        <f t="shared" si="8"/>
        <v>1735659.41</v>
      </c>
      <c r="O27" s="1380">
        <f t="shared" si="8"/>
        <v>4178939.1799999997</v>
      </c>
      <c r="P27" s="1380">
        <f t="shared" si="8"/>
        <v>4059539.34</v>
      </c>
      <c r="Q27" s="1380">
        <f t="shared" si="8"/>
        <v>5121829.5599999996</v>
      </c>
      <c r="R27" s="1380">
        <f t="shared" si="8"/>
        <v>13348069.720000001</v>
      </c>
      <c r="S27" s="1380">
        <f t="shared" si="8"/>
        <v>18349823.130000003</v>
      </c>
      <c r="T27" s="1381">
        <f t="shared" si="8"/>
        <v>15032726.589999998</v>
      </c>
      <c r="U27" s="1381">
        <f t="shared" si="8"/>
        <v>15819287.650000002</v>
      </c>
      <c r="V27" s="1381">
        <f t="shared" si="8"/>
        <v>18030188.07</v>
      </c>
      <c r="W27" s="1381">
        <f t="shared" si="8"/>
        <v>8580703.5499999989</v>
      </c>
      <c r="X27" s="1381">
        <f t="shared" ref="X27" si="9">SUM(X22:X26)</f>
        <v>8138761.2999999989</v>
      </c>
      <c r="Y27" s="1210">
        <f t="shared" si="8"/>
        <v>50568940.570000008</v>
      </c>
    </row>
    <row r="28" spans="2:25" s="1183" customFormat="1" ht="13.95" customHeight="1">
      <c r="B28" s="1201" t="s">
        <v>48</v>
      </c>
      <c r="C28" s="1198">
        <f>+'ADI 09-25'!C32</f>
        <v>30500000</v>
      </c>
      <c r="D28" s="1198">
        <f>SUM(G28:I28)</f>
        <v>21138012.209999993</v>
      </c>
      <c r="E28" s="1198">
        <f>+C28-D28</f>
        <v>9361987.7900000066</v>
      </c>
      <c r="F28" s="1198">
        <f>SUM(G28:J28)</f>
        <v>20758402.209999993</v>
      </c>
      <c r="G28" s="1198">
        <f>SUM(K28:X28)</f>
        <v>21122840.329999994</v>
      </c>
      <c r="H28" s="1198"/>
      <c r="I28" s="1198">
        <f>+'Anticipos 01-26'!D8</f>
        <v>15171.880000000001</v>
      </c>
      <c r="J28" s="1198">
        <f>-'CXP 01-26 RES'!G18-'CXP MMHB 01-26'!E20</f>
        <v>-379610</v>
      </c>
      <c r="K28" s="1378">
        <f>+'Costos a Sept-25'!B43</f>
        <v>12715384.379999999</v>
      </c>
      <c r="L28" s="1378">
        <f>+'Costos a Sept-25'!C43</f>
        <v>0</v>
      </c>
      <c r="M28" s="1378">
        <f>+'Costos a Sept-25'!D43</f>
        <v>0</v>
      </c>
      <c r="N28" s="1378">
        <f>+'Costos a Sept-25'!E43</f>
        <v>128745.38</v>
      </c>
      <c r="O28" s="1378">
        <f>+'Costos a Sept-25'!F43</f>
        <v>552632.57999999996</v>
      </c>
      <c r="P28" s="1378">
        <f>+'Costos a Sept-25'!G43</f>
        <v>120006</v>
      </c>
      <c r="Q28" s="1378">
        <f>+'Costos a Sept-25'!H43</f>
        <v>1543136</v>
      </c>
      <c r="R28" s="1378">
        <f>+'Costos a Sept-25'!I43</f>
        <v>300</v>
      </c>
      <c r="S28" s="1378">
        <f>+'Costos a Sept-25'!J43</f>
        <v>223322.53</v>
      </c>
      <c r="T28" s="1379">
        <f>+'Costos a Sept-25'!K43</f>
        <v>1594150.23</v>
      </c>
      <c r="U28" s="1379">
        <f>+'Costos a Oct-25'!L48</f>
        <v>842419.7</v>
      </c>
      <c r="V28" s="1379">
        <f>+'Costos a Nov-25'!M46</f>
        <v>339222.22</v>
      </c>
      <c r="W28" s="1379">
        <f>+'Costos a Ene-26'!N46</f>
        <v>2546180</v>
      </c>
      <c r="X28" s="1379">
        <f>+'Costos a Ene-26'!O46</f>
        <v>517341.31</v>
      </c>
      <c r="Y28" s="1209">
        <f>SUM(U28:X28)</f>
        <v>4245163.2299999995</v>
      </c>
    </row>
    <row r="29" spans="2:25" s="1183" customFormat="1" ht="12">
      <c r="B29" s="1197" t="s">
        <v>49</v>
      </c>
      <c r="C29" s="1198">
        <f>+'ADI 09-25'!C33</f>
        <v>25000000</v>
      </c>
      <c r="D29" s="1198">
        <f>SUM(G29:I29)</f>
        <v>23984688.73</v>
      </c>
      <c r="E29" s="1198">
        <f>+C29-D29</f>
        <v>1015311.2699999996</v>
      </c>
      <c r="F29" s="1198">
        <f>SUM(G29:J29)</f>
        <v>22557010.310000002</v>
      </c>
      <c r="G29" s="1198">
        <f t="shared" ref="G29:G31" si="10">SUM(K29:X29)</f>
        <v>23711688.73</v>
      </c>
      <c r="H29" s="1198"/>
      <c r="I29" s="1198">
        <f>+'Anticipos 01-26'!D3</f>
        <v>273000</v>
      </c>
      <c r="J29" s="1198">
        <f>-'CXP 01-26 RES'!G7</f>
        <v>-1427678.42</v>
      </c>
      <c r="K29" s="1378">
        <f>+'Costos a Sept-25'!B4</f>
        <v>21168315.640000001</v>
      </c>
      <c r="L29" s="1378">
        <f>+'Costos a Sept-25'!C4</f>
        <v>239349.75</v>
      </c>
      <c r="M29" s="1378">
        <f>+'Costos a Sept-25'!D4</f>
        <v>0</v>
      </c>
      <c r="N29" s="1378">
        <f>+'Costos a Sept-25'!E4</f>
        <v>146320</v>
      </c>
      <c r="O29" s="1378">
        <f>+'Costos a Sept-25'!F4</f>
        <v>108350.26</v>
      </c>
      <c r="P29" s="1378">
        <f>+'Costos a Sept-25'!G4</f>
        <v>53100</v>
      </c>
      <c r="Q29" s="1378">
        <f>+'Costos a Sept-25'!H4</f>
        <v>0</v>
      </c>
      <c r="R29" s="1378">
        <f>+'Costos a Sept-25'!I4</f>
        <v>0</v>
      </c>
      <c r="S29" s="1378">
        <f>+'Costos a Sept-25'!J4</f>
        <v>1595686.82</v>
      </c>
      <c r="T29" s="1379">
        <f>+'Costos a Sept-25'!K4</f>
        <v>87792</v>
      </c>
      <c r="U29" s="1379">
        <f>+'Costos a Oct-25'!L4</f>
        <v>310669.15000000002</v>
      </c>
      <c r="V29" s="1379">
        <f>+'Costos a Nov-25'!M4</f>
        <v>0</v>
      </c>
      <c r="W29" s="1379">
        <v>2105.11</v>
      </c>
      <c r="X29" s="1379">
        <f>+'Costos a Ene-26'!O4</f>
        <v>0</v>
      </c>
      <c r="Y29" s="1209">
        <f>SUM(U29:X29)</f>
        <v>312774.26</v>
      </c>
    </row>
    <row r="30" spans="2:25" s="1183" customFormat="1" ht="12">
      <c r="B30" s="1197" t="s">
        <v>50</v>
      </c>
      <c r="C30" s="1198">
        <f>+'ADI 09-25'!C34</f>
        <v>232739209.20512</v>
      </c>
      <c r="D30" s="1198">
        <f>SUM(G30:I30)</f>
        <v>4414348</v>
      </c>
      <c r="E30" s="1198">
        <f>+C30-D30</f>
        <v>228324861.20512</v>
      </c>
      <c r="F30" s="1198">
        <f>SUM(G30:J30)</f>
        <v>4414348</v>
      </c>
      <c r="G30" s="1198">
        <f t="shared" si="10"/>
        <v>4414348</v>
      </c>
      <c r="H30" s="1198"/>
      <c r="I30" s="1198"/>
      <c r="J30" s="1198"/>
      <c r="K30" s="1378">
        <f>+'Costos a Sept-25'!B47</f>
        <v>0</v>
      </c>
      <c r="L30" s="1378">
        <f>+'Costos a Sept-25'!C47</f>
        <v>0</v>
      </c>
      <c r="M30" s="1378">
        <f>+'Costos a Sept-25'!D47</f>
        <v>0</v>
      </c>
      <c r="N30" s="1378">
        <f>+'Costos a Sept-25'!E47</f>
        <v>0</v>
      </c>
      <c r="O30" s="1378">
        <f>+'Costos a Sept-25'!F47</f>
        <v>0</v>
      </c>
      <c r="P30" s="1378">
        <f>+'Costos a Sept-25'!G47</f>
        <v>0</v>
      </c>
      <c r="Q30" s="1378">
        <f>+'Costos a Sept-25'!H47</f>
        <v>0</v>
      </c>
      <c r="R30" s="1378">
        <f>+'Costos a Sept-25'!I47</f>
        <v>0</v>
      </c>
      <c r="S30" s="1378">
        <f>+'Costos a Sept-25'!J47</f>
        <v>0</v>
      </c>
      <c r="T30" s="1379">
        <f>+'Costos a Sept-25'!K47</f>
        <v>0</v>
      </c>
      <c r="U30" s="1379">
        <f>+'Costos a Oct-25'!L51</f>
        <v>5900</v>
      </c>
      <c r="V30" s="1379">
        <f>+'Costos a Nov-25'!M50</f>
        <v>0</v>
      </c>
      <c r="W30" s="1379">
        <f>+'Costos a Ene-26'!N50</f>
        <v>4408448</v>
      </c>
      <c r="X30" s="1379">
        <f>+'Costos a Ene-26'!O50</f>
        <v>0</v>
      </c>
      <c r="Y30" s="1371">
        <f>SUM(U30:X30)</f>
        <v>4414348</v>
      </c>
    </row>
    <row r="31" spans="2:25" s="1183" customFormat="1" ht="12">
      <c r="B31" s="1197" t="s">
        <v>51</v>
      </c>
      <c r="C31" s="1198">
        <f>+'ADI 09-25'!C35</f>
        <v>19863403.175999999</v>
      </c>
      <c r="D31" s="1198">
        <f>SUM(G31:I31)</f>
        <v>0</v>
      </c>
      <c r="E31" s="1198">
        <f>+C31-D31</f>
        <v>19863403.175999999</v>
      </c>
      <c r="F31" s="1198">
        <f>SUM(G31:J31)</f>
        <v>0</v>
      </c>
      <c r="G31" s="1198">
        <f t="shared" si="10"/>
        <v>0</v>
      </c>
      <c r="H31" s="1198"/>
      <c r="I31" s="1198"/>
      <c r="J31" s="1198"/>
      <c r="K31" s="1378">
        <f>+'Costos a Sept-25'!B45</f>
        <v>0</v>
      </c>
      <c r="L31" s="1378">
        <f>+'Costos a Sept-25'!C45</f>
        <v>0</v>
      </c>
      <c r="M31" s="1378">
        <f>+'Costos a Sept-25'!D45</f>
        <v>0</v>
      </c>
      <c r="N31" s="1378">
        <f>+'Costos a Sept-25'!E45</f>
        <v>0</v>
      </c>
      <c r="O31" s="1378">
        <f>+'Costos a Sept-25'!F45</f>
        <v>0</v>
      </c>
      <c r="P31" s="1378">
        <f>+'Costos a Sept-25'!G45</f>
        <v>0</v>
      </c>
      <c r="Q31" s="1378">
        <f>+'Costos a Sept-25'!H45</f>
        <v>0</v>
      </c>
      <c r="R31" s="1378">
        <f>+'Costos a Sept-25'!I45</f>
        <v>0</v>
      </c>
      <c r="S31" s="1378">
        <f>+'Costos a Sept-25'!J45</f>
        <v>0</v>
      </c>
      <c r="T31" s="1379">
        <f>+'Costos a Sept-25'!K45</f>
        <v>0</v>
      </c>
      <c r="U31" s="1379">
        <f>+'Costos a Oct-25'!L45</f>
        <v>0</v>
      </c>
      <c r="V31" s="1379">
        <f>+'Costos a Nov-25'!M48</f>
        <v>0</v>
      </c>
      <c r="W31" s="1379">
        <f>+'Costos a Ene-26'!N48</f>
        <v>0</v>
      </c>
      <c r="X31" s="1379">
        <f>+'Costos a Ene-26'!O48</f>
        <v>0</v>
      </c>
      <c r="Y31" s="1209">
        <f>SUM(U31:X31)</f>
        <v>0</v>
      </c>
    </row>
    <row r="32" spans="2:25" s="1183" customFormat="1" ht="12">
      <c r="B32" s="1199" t="s">
        <v>52</v>
      </c>
      <c r="C32" s="1200">
        <f>SUM(C28:C31)</f>
        <v>308102612.38111997</v>
      </c>
      <c r="D32" s="1200">
        <f t="shared" ref="D32:Y32" si="11">SUM(D28:D31)</f>
        <v>49537048.939999998</v>
      </c>
      <c r="E32" s="1200">
        <f t="shared" si="11"/>
        <v>258565563.44112</v>
      </c>
      <c r="F32" s="1200">
        <f t="shared" si="11"/>
        <v>47729760.519999996</v>
      </c>
      <c r="G32" s="1200">
        <f t="shared" si="11"/>
        <v>49248877.059999995</v>
      </c>
      <c r="H32" s="1200">
        <f t="shared" si="11"/>
        <v>0</v>
      </c>
      <c r="I32" s="1200">
        <f t="shared" si="11"/>
        <v>288171.88</v>
      </c>
      <c r="J32" s="1200">
        <f t="shared" si="11"/>
        <v>-1807288.42</v>
      </c>
      <c r="K32" s="1380">
        <f t="shared" si="11"/>
        <v>33883700.019999996</v>
      </c>
      <c r="L32" s="1380">
        <f t="shared" si="11"/>
        <v>239349.75</v>
      </c>
      <c r="M32" s="1380">
        <f t="shared" si="11"/>
        <v>0</v>
      </c>
      <c r="N32" s="1380">
        <f t="shared" si="11"/>
        <v>275065.38</v>
      </c>
      <c r="O32" s="1380">
        <f t="shared" si="11"/>
        <v>660982.84</v>
      </c>
      <c r="P32" s="1380">
        <f t="shared" si="11"/>
        <v>173106</v>
      </c>
      <c r="Q32" s="1380">
        <f t="shared" si="11"/>
        <v>1543136</v>
      </c>
      <c r="R32" s="1380">
        <f t="shared" si="11"/>
        <v>300</v>
      </c>
      <c r="S32" s="1380">
        <f t="shared" si="11"/>
        <v>1819009.35</v>
      </c>
      <c r="T32" s="1381">
        <f t="shared" si="11"/>
        <v>1681942.23</v>
      </c>
      <c r="U32" s="1381">
        <f t="shared" si="11"/>
        <v>1158988.8500000001</v>
      </c>
      <c r="V32" s="1381">
        <f t="shared" si="11"/>
        <v>339222.22</v>
      </c>
      <c r="W32" s="1381">
        <f t="shared" si="11"/>
        <v>6956733.1099999994</v>
      </c>
      <c r="X32" s="1381">
        <f t="shared" ref="X32" si="12">SUM(X28:X31)</f>
        <v>517341.31</v>
      </c>
      <c r="Y32" s="1210">
        <f t="shared" si="11"/>
        <v>8972285.4899999984</v>
      </c>
    </row>
    <row r="33" spans="2:25" s="1183" customFormat="1" ht="12">
      <c r="B33" s="1202" t="s">
        <v>53</v>
      </c>
      <c r="C33" s="1203">
        <f t="shared" ref="C33:Y33" si="13">+C14+C21+C27+C32</f>
        <v>3428528420.3315516</v>
      </c>
      <c r="D33" s="1203">
        <f t="shared" si="13"/>
        <v>511668838.58999997</v>
      </c>
      <c r="E33" s="1203">
        <f t="shared" si="13"/>
        <v>2916859581.7415519</v>
      </c>
      <c r="F33" s="1203">
        <f t="shared" si="13"/>
        <v>503210936.11999995</v>
      </c>
      <c r="G33" s="1203">
        <f t="shared" si="13"/>
        <v>510955309.74999994</v>
      </c>
      <c r="H33" s="1203">
        <f t="shared" si="13"/>
        <v>278099.52</v>
      </c>
      <c r="I33" s="1203">
        <f t="shared" si="13"/>
        <v>435429.32</v>
      </c>
      <c r="J33" s="1203">
        <f t="shared" si="13"/>
        <v>-8457902.4699999988</v>
      </c>
      <c r="K33" s="1382">
        <f t="shared" si="13"/>
        <v>151080073.93000001</v>
      </c>
      <c r="L33" s="1382">
        <f t="shared" si="13"/>
        <v>2968703.3</v>
      </c>
      <c r="M33" s="1382">
        <f t="shared" si="13"/>
        <v>2613690.2399999998</v>
      </c>
      <c r="N33" s="1382">
        <f t="shared" si="13"/>
        <v>2895724.79</v>
      </c>
      <c r="O33" s="1382">
        <f t="shared" si="13"/>
        <v>7649161.7599999998</v>
      </c>
      <c r="P33" s="1382">
        <f t="shared" si="13"/>
        <v>6705088.7199999997</v>
      </c>
      <c r="Q33" s="1382">
        <f t="shared" si="13"/>
        <v>10036771</v>
      </c>
      <c r="R33" s="1382">
        <f t="shared" si="13"/>
        <v>19175567.920000002</v>
      </c>
      <c r="S33" s="1382">
        <f t="shared" si="13"/>
        <v>195778925.68999997</v>
      </c>
      <c r="T33" s="1383">
        <f t="shared" si="13"/>
        <v>19508128.399999999</v>
      </c>
      <c r="U33" s="1383">
        <f t="shared" si="13"/>
        <v>20646777.380000003</v>
      </c>
      <c r="V33" s="1383">
        <f t="shared" si="13"/>
        <v>23609624.669999998</v>
      </c>
      <c r="W33" s="1383">
        <f t="shared" si="13"/>
        <v>34305645.439999998</v>
      </c>
      <c r="X33" s="1383">
        <f t="shared" ref="X33" si="14">+X14+X21+X27+X32</f>
        <v>13981426.51</v>
      </c>
      <c r="Y33" s="1211">
        <f t="shared" si="13"/>
        <v>92543474</v>
      </c>
    </row>
    <row r="34" spans="2:25" s="1183" customFormat="1" ht="12">
      <c r="B34" s="1267" t="s">
        <v>1922</v>
      </c>
      <c r="C34" s="1268"/>
      <c r="D34" s="1268"/>
      <c r="E34" s="1268"/>
      <c r="F34" s="1268"/>
      <c r="G34" s="1268"/>
      <c r="H34" s="1268"/>
      <c r="I34" s="1268"/>
      <c r="J34" s="1268"/>
      <c r="K34" s="1205"/>
      <c r="U34" s="1435"/>
      <c r="V34" s="1435"/>
      <c r="W34" s="1627"/>
      <c r="X34" s="1627"/>
    </row>
    <row r="35" spans="2:25" s="1183" customFormat="1" ht="12">
      <c r="C35" s="1188"/>
      <c r="D35" s="1206">
        <f t="shared" ref="D35" si="15">+D33-D14</f>
        <v>247223758.43000001</v>
      </c>
      <c r="E35" s="1206"/>
      <c r="F35" s="1206">
        <f>+F33-F14</f>
        <v>238765855.95999998</v>
      </c>
      <c r="G35" s="1206">
        <f>+G33-G34</f>
        <v>510955309.74999994</v>
      </c>
      <c r="H35" s="1206">
        <f>+H33-H34</f>
        <v>278099.52</v>
      </c>
      <c r="I35" s="1206">
        <f t="shared" ref="I35:J35" si="16">+I33-I34</f>
        <v>435429.32</v>
      </c>
      <c r="J35" s="1206">
        <f t="shared" si="16"/>
        <v>-8457902.4699999988</v>
      </c>
      <c r="K35" s="1204"/>
      <c r="L35" s="1204"/>
      <c r="M35" s="1204"/>
      <c r="N35" s="1204"/>
      <c r="O35" s="1204"/>
      <c r="P35" s="1204"/>
      <c r="Q35" s="1204"/>
      <c r="R35" s="1204"/>
      <c r="S35" s="1204"/>
      <c r="T35" s="1204"/>
      <c r="U35" s="1204"/>
      <c r="V35" s="1204"/>
      <c r="W35" s="1204"/>
      <c r="X35" s="1204"/>
    </row>
    <row r="36" spans="2:25" s="1183" customFormat="1" ht="12">
      <c r="B36" s="1205"/>
      <c r="C36" s="1207"/>
      <c r="D36" s="1204">
        <f>+D33-G33</f>
        <v>713528.84000003338</v>
      </c>
      <c r="E36" s="1204"/>
    </row>
  </sheetData>
  <mergeCells count="3">
    <mergeCell ref="B3:C3"/>
    <mergeCell ref="D10:J10"/>
    <mergeCell ref="B11:C11"/>
  </mergeCells>
  <hyperlinks>
    <hyperlink ref="F1" r:id="rId1" xr:uid="{E5A3665A-9C6D-489E-9566-D72B3839A338}"/>
  </hyperlinks>
  <pageMargins left="0.5" right="0.69" top="0.92" bottom="1" header="0" footer="0"/>
  <pageSetup scale="38" orientation="landscape" r:id="rId2"/>
  <legacyDrawing r:id="rId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F1BCE-4341-441F-B2E0-8EB10DC2127A}">
  <dimension ref="A1:G53"/>
  <sheetViews>
    <sheetView showGridLines="0" zoomScaleNormal="100" workbookViewId="0">
      <selection activeCell="F10" sqref="F10:G12"/>
    </sheetView>
  </sheetViews>
  <sheetFormatPr baseColWidth="10" defaultColWidth="8" defaultRowHeight="11.4"/>
  <cols>
    <col min="1" max="1" width="1.33203125" style="1440" customWidth="1"/>
    <col min="2" max="2" width="42.6640625" style="1440" customWidth="1"/>
    <col min="3" max="3" width="13.33203125" style="1440" customWidth="1"/>
    <col min="4" max="4" width="4.88671875" style="1440" customWidth="1"/>
    <col min="5" max="5" width="11.109375" style="1440" bestFit="1" customWidth="1"/>
    <col min="6" max="6" width="19.44140625" style="1440" bestFit="1" customWidth="1"/>
    <col min="7" max="7" width="15.5546875" style="1440" bestFit="1" customWidth="1"/>
    <col min="8" max="16384" width="8" style="1440"/>
  </cols>
  <sheetData>
    <row r="1" spans="1:7" s="1437" customFormat="1" ht="16.649999999999999" customHeight="1">
      <c r="A1" s="1436" t="s">
        <v>235</v>
      </c>
      <c r="B1" s="1436"/>
      <c r="C1" s="1436"/>
      <c r="D1" s="1436"/>
    </row>
    <row r="2" spans="1:7" s="1439" customFormat="1" ht="14.4" customHeight="1">
      <c r="A2" s="1438" t="s">
        <v>236</v>
      </c>
      <c r="B2" s="1438"/>
      <c r="C2" s="1438"/>
      <c r="D2" s="1438"/>
    </row>
    <row r="3" spans="1:7" s="1439" customFormat="1" ht="14.4" customHeight="1">
      <c r="A3" s="1438" t="s">
        <v>2261</v>
      </c>
      <c r="B3" s="1438"/>
      <c r="C3" s="1438"/>
      <c r="D3" s="1438"/>
    </row>
    <row r="4" spans="1:7" ht="13.35" customHeight="1"/>
    <row r="5" spans="1:7" s="1444" customFormat="1" ht="12.15" customHeight="1">
      <c r="A5" s="1445"/>
      <c r="B5" s="1441" t="s">
        <v>238</v>
      </c>
      <c r="C5" s="1442" t="s">
        <v>2338</v>
      </c>
      <c r="D5" s="1442"/>
    </row>
    <row r="6" spans="1:7" ht="13.35" customHeight="1"/>
    <row r="7" spans="1:7" s="1444" customFormat="1" ht="12.15" customHeight="1">
      <c r="A7" s="1445" t="s">
        <v>239</v>
      </c>
      <c r="B7" s="1445"/>
      <c r="C7" s="1445"/>
      <c r="D7" s="1445"/>
    </row>
    <row r="8" spans="1:7" ht="10.95" customHeight="1">
      <c r="A8" s="1458"/>
      <c r="B8" s="1458" t="s">
        <v>638</v>
      </c>
      <c r="C8" s="1458"/>
      <c r="D8" s="1458"/>
    </row>
    <row r="9" spans="1:7" ht="10.95" customHeight="1">
      <c r="B9" s="1450" t="s">
        <v>639</v>
      </c>
      <c r="C9" s="1452">
        <v>7287394.7699999996</v>
      </c>
      <c r="D9" s="1450"/>
    </row>
    <row r="10" spans="1:7" ht="10.95" customHeight="1">
      <c r="B10" s="1450" t="s">
        <v>1608</v>
      </c>
      <c r="C10" s="1452">
        <v>6104204.3300000001</v>
      </c>
      <c r="D10" s="1450" t="s">
        <v>641</v>
      </c>
      <c r="F10" s="1440" t="s">
        <v>2246</v>
      </c>
      <c r="G10" s="1691">
        <f>-'FLUJO 01-26'!C26</f>
        <v>-61933539.99999997</v>
      </c>
    </row>
    <row r="11" spans="1:7" ht="10.95" customHeight="1">
      <c r="B11" s="1450" t="s">
        <v>640</v>
      </c>
      <c r="C11" s="1452">
        <v>1711902.2</v>
      </c>
      <c r="D11" s="1450" t="s">
        <v>641</v>
      </c>
      <c r="F11" s="1440" t="s">
        <v>2247</v>
      </c>
      <c r="G11" s="1566">
        <f>+C16</f>
        <v>62125444.230000004</v>
      </c>
    </row>
    <row r="12" spans="1:7" ht="10.95" customHeight="1">
      <c r="B12" s="1450" t="s">
        <v>1392</v>
      </c>
      <c r="C12" s="1452">
        <v>43466118.170000002</v>
      </c>
      <c r="D12" s="1450" t="s">
        <v>641</v>
      </c>
      <c r="F12" s="1696" t="s">
        <v>191</v>
      </c>
      <c r="G12" s="1697">
        <f>+G10+G11</f>
        <v>191904.23000003397</v>
      </c>
    </row>
    <row r="13" spans="1:7" ht="10.95" customHeight="1">
      <c r="B13" s="1450" t="s">
        <v>1394</v>
      </c>
      <c r="C13" s="1452">
        <v>22556.09</v>
      </c>
      <c r="D13" s="1450"/>
      <c r="G13" s="1503"/>
    </row>
    <row r="14" spans="1:7" ht="10.95" customHeight="1">
      <c r="B14" s="1450" t="s">
        <v>844</v>
      </c>
      <c r="C14" s="1452">
        <v>3151385.4</v>
      </c>
      <c r="D14" s="1450" t="s">
        <v>641</v>
      </c>
      <c r="G14" s="1698"/>
    </row>
    <row r="15" spans="1:7" ht="10.95" customHeight="1">
      <c r="B15" s="1450" t="s">
        <v>845</v>
      </c>
      <c r="C15" s="1452">
        <v>381883.27</v>
      </c>
      <c r="D15" s="1450"/>
    </row>
    <row r="16" spans="1:7" ht="10.95" customHeight="1">
      <c r="B16" s="1454" t="s">
        <v>642</v>
      </c>
      <c r="C16" s="1455">
        <f>SUM(C9:C15)</f>
        <v>62125444.230000004</v>
      </c>
      <c r="D16" s="1454"/>
    </row>
    <row r="17" spans="1:6" ht="10.95" customHeight="1">
      <c r="A17" s="1458"/>
      <c r="B17" s="1458" t="s">
        <v>240</v>
      </c>
      <c r="C17" s="1458"/>
      <c r="D17" s="1458"/>
    </row>
    <row r="18" spans="1:6" ht="10.95" customHeight="1">
      <c r="A18" s="1458"/>
      <c r="B18" s="1450" t="s">
        <v>1826</v>
      </c>
      <c r="C18" s="1452">
        <v>2111874.65</v>
      </c>
      <c r="D18" s="1458"/>
      <c r="E18" s="400"/>
      <c r="F18" s="1499"/>
    </row>
    <row r="19" spans="1:6" ht="10.95" customHeight="1">
      <c r="B19" s="1450" t="s">
        <v>241</v>
      </c>
      <c r="C19" s="1452">
        <v>435429.4</v>
      </c>
      <c r="D19" s="1450"/>
    </row>
    <row r="20" spans="1:6" ht="10.95" customHeight="1">
      <c r="B20" s="1454" t="s">
        <v>242</v>
      </c>
      <c r="C20" s="1455">
        <f>SUM(C18:C19)</f>
        <v>2547304.0499999998</v>
      </c>
      <c r="D20" s="1454"/>
    </row>
    <row r="21" spans="1:6" ht="10.95" customHeight="1">
      <c r="A21" s="1458"/>
      <c r="B21" s="1458" t="s">
        <v>243</v>
      </c>
      <c r="C21" s="1458"/>
      <c r="D21" s="1458"/>
    </row>
    <row r="22" spans="1:6" ht="10.95" customHeight="1">
      <c r="B22" s="1450" t="s">
        <v>1278</v>
      </c>
      <c r="C22" s="1452">
        <v>4.1900000000000004</v>
      </c>
      <c r="D22" s="1450"/>
    </row>
    <row r="23" spans="1:6" ht="10.95" customHeight="1">
      <c r="B23" s="1450" t="s">
        <v>800</v>
      </c>
      <c r="C23" s="1452">
        <v>357289263.67000002</v>
      </c>
      <c r="D23" s="1450"/>
    </row>
    <row r="24" spans="1:6" ht="10.95" customHeight="1">
      <c r="B24" s="1450" t="s">
        <v>245</v>
      </c>
      <c r="C24" s="1452">
        <v>128128857.75</v>
      </c>
      <c r="D24" s="1450"/>
    </row>
    <row r="25" spans="1:6" ht="10.95" customHeight="1">
      <c r="B25" s="1450" t="s">
        <v>801</v>
      </c>
      <c r="C25" s="1452">
        <v>25537188.329999998</v>
      </c>
      <c r="D25" s="1450"/>
    </row>
    <row r="26" spans="1:6" ht="10.95" customHeight="1">
      <c r="B26" s="1454" t="s">
        <v>247</v>
      </c>
      <c r="C26" s="1455">
        <f>SUM(C22:C25)</f>
        <v>510955313.94</v>
      </c>
      <c r="D26" s="1454"/>
    </row>
    <row r="27" spans="1:6" ht="10.95" customHeight="1">
      <c r="A27" s="1454" t="s">
        <v>248</v>
      </c>
      <c r="C27" s="1455">
        <f>(0 + ((C16 + C20) + C26))</f>
        <v>575628062.22000003</v>
      </c>
      <c r="D27" s="1454"/>
    </row>
    <row r="28" spans="1:6" ht="13.35" customHeight="1"/>
    <row r="29" spans="1:6" s="1444" customFormat="1" ht="12.15" customHeight="1">
      <c r="A29" s="1445" t="s">
        <v>249</v>
      </c>
      <c r="B29" s="1445"/>
      <c r="C29" s="1445"/>
      <c r="D29" s="1445"/>
      <c r="F29" s="1117"/>
    </row>
    <row r="30" spans="1:6" ht="10.95" customHeight="1">
      <c r="A30" s="1458"/>
      <c r="B30" s="1458" t="s">
        <v>250</v>
      </c>
      <c r="C30" s="1458"/>
      <c r="D30" s="1458"/>
      <c r="F30" s="400"/>
    </row>
    <row r="31" spans="1:6" ht="10.95" customHeight="1">
      <c r="B31" s="1450" t="s">
        <v>1825</v>
      </c>
      <c r="C31" s="1452">
        <v>100000000</v>
      </c>
      <c r="D31" s="1450"/>
    </row>
    <row r="32" spans="1:6" ht="10.95" customHeight="1">
      <c r="B32" s="1450" t="s">
        <v>799</v>
      </c>
      <c r="C32" s="1452">
        <v>156309.95000000001</v>
      </c>
      <c r="D32" s="1450" t="s">
        <v>641</v>
      </c>
    </row>
    <row r="33" spans="1:6" ht="10.95" customHeight="1">
      <c r="B33" s="1450" t="s">
        <v>251</v>
      </c>
      <c r="C33" s="1452">
        <v>8239108.8300000001</v>
      </c>
      <c r="D33" s="1450" t="s">
        <v>641</v>
      </c>
    </row>
    <row r="34" spans="1:6" ht="10.95" customHeight="1">
      <c r="B34" s="1450" t="s">
        <v>2196</v>
      </c>
      <c r="C34" s="1452">
        <v>60392.11</v>
      </c>
      <c r="D34" s="1450"/>
      <c r="E34" s="1631">
        <f>3870.63*64</f>
        <v>247720.32000000001</v>
      </c>
      <c r="F34" s="1630" t="s">
        <v>2197</v>
      </c>
    </row>
    <row r="35" spans="1:6" ht="10.95" customHeight="1">
      <c r="B35" s="1450" t="s">
        <v>802</v>
      </c>
      <c r="C35" s="1452">
        <v>133870928.73</v>
      </c>
      <c r="D35" s="1450"/>
    </row>
    <row r="36" spans="1:6" ht="10.95" customHeight="1">
      <c r="B36" s="1450" t="s">
        <v>804</v>
      </c>
      <c r="C36" s="1452">
        <v>269503.3</v>
      </c>
      <c r="D36" s="1450"/>
    </row>
    <row r="37" spans="1:6" ht="10.95" customHeight="1">
      <c r="B37" s="1450" t="s">
        <v>813</v>
      </c>
      <c r="C37" s="1452">
        <v>285894.34000000003</v>
      </c>
      <c r="D37" s="1450"/>
    </row>
    <row r="38" spans="1:6" ht="10.95" customHeight="1">
      <c r="B38" s="1450" t="s">
        <v>2248</v>
      </c>
      <c r="C38" s="1452">
        <v>28694.26</v>
      </c>
      <c r="D38" s="1450"/>
    </row>
    <row r="39" spans="1:6" ht="10.95" customHeight="1">
      <c r="B39" s="1454" t="s">
        <v>253</v>
      </c>
      <c r="C39" s="1455">
        <f>SUM(C31:C38)</f>
        <v>242910831.52000001</v>
      </c>
      <c r="D39" s="1454"/>
    </row>
    <row r="40" spans="1:6" ht="10.95" customHeight="1">
      <c r="A40" s="1454" t="s">
        <v>254</v>
      </c>
      <c r="C40" s="1455">
        <f>(0 + C39)</f>
        <v>242910831.52000001</v>
      </c>
      <c r="D40" s="1454"/>
    </row>
    <row r="41" spans="1:6" ht="13.35" customHeight="1"/>
    <row r="42" spans="1:6" ht="10.95" customHeight="1">
      <c r="B42" s="1461" t="s">
        <v>255</v>
      </c>
      <c r="C42" s="1462">
        <f>(C27 - C40)</f>
        <v>332717230.70000005</v>
      </c>
      <c r="D42" s="1461"/>
    </row>
    <row r="43" spans="1:6" ht="13.35" customHeight="1"/>
    <row r="44" spans="1:6" s="1444" customFormat="1" ht="12.15" customHeight="1">
      <c r="A44" s="1445" t="s">
        <v>256</v>
      </c>
      <c r="B44" s="1445"/>
      <c r="C44" s="1445"/>
      <c r="D44" s="1445"/>
    </row>
    <row r="45" spans="1:6" ht="10.95" customHeight="1">
      <c r="B45" s="1446" t="s">
        <v>257</v>
      </c>
      <c r="C45" s="1448">
        <v>329948451.97000003</v>
      </c>
      <c r="D45" s="1446"/>
    </row>
    <row r="46" spans="1:6" ht="10.95" customHeight="1">
      <c r="B46" s="1450" t="s">
        <v>647</v>
      </c>
      <c r="C46" s="1452">
        <v>-126742.14</v>
      </c>
      <c r="D46" s="1450"/>
    </row>
    <row r="47" spans="1:6" ht="10.95" customHeight="1">
      <c r="B47" s="1450" t="s">
        <v>846</v>
      </c>
      <c r="C47" s="1452">
        <v>2895520.87</v>
      </c>
      <c r="D47" s="1450"/>
    </row>
    <row r="48" spans="1:6" ht="10.95" customHeight="1">
      <c r="A48" s="1454" t="s">
        <v>258</v>
      </c>
      <c r="C48" s="1455">
        <f>SUM(C45:C47)</f>
        <v>332717230.70000005</v>
      </c>
      <c r="D48" s="1454"/>
    </row>
    <row r="51" spans="1:1" ht="10.95" customHeight="1">
      <c r="A51" s="1628" t="s">
        <v>648</v>
      </c>
    </row>
    <row r="52" spans="1:1" ht="10.95" customHeight="1">
      <c r="A52" s="1629" t="s">
        <v>2338</v>
      </c>
    </row>
    <row r="53" spans="1:1" ht="10.95" customHeight="1">
      <c r="A53" s="1628" t="s">
        <v>2339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014E2-F5D4-4DED-9DD2-80F6D2ED4E0E}">
  <dimension ref="A3:AF29"/>
  <sheetViews>
    <sheetView showGridLines="0" workbookViewId="0">
      <selection activeCell="AD21" sqref="AD21"/>
    </sheetView>
  </sheetViews>
  <sheetFormatPr baseColWidth="10" defaultColWidth="11.44140625" defaultRowHeight="14.4"/>
  <cols>
    <col min="1" max="1" width="24.6640625" customWidth="1"/>
    <col min="2" max="2" width="11.5546875" hidden="1" customWidth="1"/>
    <col min="3" max="3" width="14.6640625" customWidth="1"/>
    <col min="4" max="4" width="13.6640625" hidden="1" customWidth="1"/>
    <col min="5" max="5" width="14.33203125" bestFit="1" customWidth="1"/>
    <col min="6" max="6" width="7" style="181" bestFit="1" customWidth="1"/>
    <col min="7" max="8" width="11.5546875" hidden="1" customWidth="1"/>
    <col min="9" max="9" width="10.5546875" customWidth="1"/>
    <col min="10" max="10" width="13.109375" hidden="1" customWidth="1"/>
    <col min="11" max="11" width="4.6640625" hidden="1" customWidth="1"/>
    <col min="12" max="16" width="8.88671875" hidden="1" customWidth="1"/>
    <col min="17" max="17" width="10.44140625" hidden="1" customWidth="1"/>
    <col min="18" max="18" width="10.33203125" hidden="1" customWidth="1"/>
    <col min="19" max="20" width="10.44140625" hidden="1" customWidth="1"/>
    <col min="21" max="22" width="10.44140625" customWidth="1"/>
    <col min="23" max="24" width="10.44140625" bestFit="1" customWidth="1"/>
    <col min="25" max="27" width="10.44140625" customWidth="1"/>
    <col min="28" max="28" width="11.88671875" customWidth="1"/>
    <col min="29" max="29" width="13" customWidth="1"/>
  </cols>
  <sheetData>
    <row r="3" spans="1:32" ht="15.6">
      <c r="A3" s="1508" t="s">
        <v>2109</v>
      </c>
      <c r="B3" s="1505"/>
      <c r="C3" s="1505"/>
      <c r="D3" s="1505"/>
      <c r="E3" s="1505"/>
      <c r="F3" s="1506"/>
      <c r="G3" s="1505"/>
      <c r="H3" s="1505"/>
      <c r="I3" s="1505"/>
      <c r="J3" s="1505"/>
      <c r="K3" s="1505"/>
      <c r="L3" s="1505"/>
      <c r="AC3" s="1507"/>
    </row>
    <row r="4" spans="1:32">
      <c r="A4" s="1509"/>
      <c r="B4" s="1510"/>
      <c r="C4" s="1510"/>
      <c r="D4" s="1510"/>
      <c r="E4" s="1510"/>
      <c r="F4" s="1511"/>
      <c r="G4" s="1510"/>
      <c r="H4" s="1510"/>
      <c r="I4" s="1510"/>
      <c r="J4" s="1510"/>
      <c r="K4" s="1510"/>
      <c r="L4" s="1510"/>
      <c r="AC4" s="1507"/>
    </row>
    <row r="5" spans="1:32" ht="15" thickBot="1">
      <c r="A5" s="1504"/>
      <c r="B5" s="1510"/>
      <c r="C5" s="1510"/>
      <c r="D5" s="1510"/>
      <c r="E5" s="1510"/>
      <c r="F5" s="1511"/>
      <c r="G5" s="1510"/>
      <c r="H5" s="1510"/>
      <c r="I5" s="1510"/>
      <c r="J5" s="1510"/>
      <c r="K5" s="1510"/>
      <c r="L5" s="1510"/>
      <c r="AC5" s="1512"/>
    </row>
    <row r="6" spans="1:32" s="455" customFormat="1" ht="28.8">
      <c r="A6" s="1545" t="s">
        <v>2110</v>
      </c>
      <c r="B6" s="1546" t="s">
        <v>2111</v>
      </c>
      <c r="C6" s="1579" t="s">
        <v>2126</v>
      </c>
      <c r="D6" s="1579" t="s">
        <v>2127</v>
      </c>
      <c r="E6" s="1579" t="s">
        <v>2112</v>
      </c>
      <c r="F6" s="1546" t="s">
        <v>1298</v>
      </c>
      <c r="G6" s="1546" t="s">
        <v>2113</v>
      </c>
      <c r="H6" s="1546" t="s">
        <v>2114</v>
      </c>
      <c r="I6" s="1619" t="s">
        <v>2115</v>
      </c>
      <c r="J6" s="1546" t="s">
        <v>2116</v>
      </c>
      <c r="K6" s="1546" t="s">
        <v>2117</v>
      </c>
      <c r="L6" s="1547">
        <v>45748</v>
      </c>
      <c r="M6" s="1547">
        <v>45778</v>
      </c>
      <c r="N6" s="1547">
        <v>45809</v>
      </c>
      <c r="O6" s="1547">
        <v>45839</v>
      </c>
      <c r="P6" s="1547">
        <v>45870</v>
      </c>
      <c r="Q6" s="1547">
        <v>45901</v>
      </c>
      <c r="R6" s="1547">
        <v>45931</v>
      </c>
      <c r="S6" s="1547">
        <v>45962</v>
      </c>
      <c r="T6" s="1547">
        <v>45992</v>
      </c>
      <c r="U6" s="1548" t="s">
        <v>2202</v>
      </c>
      <c r="V6" s="1547">
        <v>46023</v>
      </c>
      <c r="W6" s="1547">
        <v>46054</v>
      </c>
      <c r="X6" s="1547">
        <v>46082</v>
      </c>
      <c r="Y6" s="1547">
        <v>46113</v>
      </c>
      <c r="Z6" s="1547">
        <v>46143</v>
      </c>
      <c r="AA6" s="1547">
        <v>46174</v>
      </c>
      <c r="AB6" s="1549" t="s">
        <v>2203</v>
      </c>
      <c r="AC6" s="1534" t="s">
        <v>2120</v>
      </c>
    </row>
    <row r="7" spans="1:32" s="455" customFormat="1" hidden="1">
      <c r="A7" s="1535" t="s">
        <v>1786</v>
      </c>
      <c r="B7" s="1536" t="s">
        <v>2122</v>
      </c>
      <c r="C7" s="1540">
        <v>15000000</v>
      </c>
      <c r="D7" s="1540">
        <v>15000000</v>
      </c>
      <c r="E7" s="1540">
        <v>0</v>
      </c>
      <c r="F7" s="1538">
        <v>0.1595</v>
      </c>
      <c r="G7" s="1537">
        <f t="shared" ref="G7:G12" si="0">+E7*F7/360*30</f>
        <v>0</v>
      </c>
      <c r="H7" s="1539">
        <v>45757</v>
      </c>
      <c r="I7" s="1539">
        <v>45761</v>
      </c>
      <c r="J7" s="1539">
        <v>45777</v>
      </c>
      <c r="K7" s="1540">
        <f t="shared" ref="K7:K12" si="1">+J7-I7</f>
        <v>16</v>
      </c>
      <c r="L7" s="1540">
        <f>+E7*F7/360*K7</f>
        <v>0</v>
      </c>
      <c r="M7" s="630">
        <f>+G7</f>
        <v>0</v>
      </c>
      <c r="N7" s="630">
        <f>+M7</f>
        <v>0</v>
      </c>
      <c r="O7" s="630">
        <f>+N7</f>
        <v>0</v>
      </c>
      <c r="P7" s="630">
        <f>+O7</f>
        <v>0</v>
      </c>
      <c r="Q7" s="630">
        <f>+P7</f>
        <v>0</v>
      </c>
      <c r="R7" s="630">
        <f>+Q7</f>
        <v>0</v>
      </c>
      <c r="S7" s="630">
        <v>199375</v>
      </c>
      <c r="T7" s="768">
        <f t="shared" ref="T7:T12" si="2">((+(E7*F7)/12)/30)*22</f>
        <v>0</v>
      </c>
      <c r="U7" s="630">
        <f>SUM(L7:T7)</f>
        <v>199375</v>
      </c>
      <c r="V7" s="630"/>
      <c r="W7" s="630"/>
      <c r="X7" s="630"/>
      <c r="Y7" s="630"/>
      <c r="Z7" s="630"/>
      <c r="AA7" s="630"/>
      <c r="AB7" s="1552">
        <f t="shared" ref="AB7:AB12" si="3">SUM(U7:X7)</f>
        <v>199375</v>
      </c>
      <c r="AC7" s="1513">
        <v>45939</v>
      </c>
    </row>
    <row r="8" spans="1:32" s="455" customFormat="1" hidden="1">
      <c r="A8" s="1535" t="s">
        <v>1786</v>
      </c>
      <c r="B8" s="1536" t="s">
        <v>2122</v>
      </c>
      <c r="C8" s="1540">
        <v>7200000</v>
      </c>
      <c r="D8" s="1540">
        <v>7200000</v>
      </c>
      <c r="E8" s="1540">
        <v>0</v>
      </c>
      <c r="F8" s="1538">
        <v>0.1595</v>
      </c>
      <c r="G8" s="1537">
        <f t="shared" si="0"/>
        <v>0</v>
      </c>
      <c r="H8" s="1539">
        <v>45792</v>
      </c>
      <c r="I8" s="1539">
        <v>45792</v>
      </c>
      <c r="J8" s="1539">
        <v>45808</v>
      </c>
      <c r="K8" s="1540">
        <f t="shared" si="1"/>
        <v>16</v>
      </c>
      <c r="L8" s="1540"/>
      <c r="M8" s="630">
        <f>+E8*F8/360*K8</f>
        <v>0</v>
      </c>
      <c r="N8" s="630">
        <f>+G8</f>
        <v>0</v>
      </c>
      <c r="O8" s="630">
        <f>+G8</f>
        <v>0</v>
      </c>
      <c r="P8" s="630">
        <f>+G8</f>
        <v>0</v>
      </c>
      <c r="Q8" s="630">
        <f>+P8</f>
        <v>0</v>
      </c>
      <c r="R8" s="630">
        <f>+Q8</f>
        <v>0</v>
      </c>
      <c r="S8" s="630">
        <v>95700</v>
      </c>
      <c r="T8" s="768">
        <f t="shared" si="2"/>
        <v>0</v>
      </c>
      <c r="U8" s="630">
        <f t="shared" ref="U8:U12" si="4">SUM(L8:T8)</f>
        <v>95700</v>
      </c>
      <c r="V8" s="630"/>
      <c r="W8" s="630"/>
      <c r="X8" s="630"/>
      <c r="Y8" s="630"/>
      <c r="Z8" s="630"/>
      <c r="AA8" s="630"/>
      <c r="AB8" s="1552">
        <f t="shared" si="3"/>
        <v>95700</v>
      </c>
      <c r="AC8" s="1513">
        <v>45939</v>
      </c>
      <c r="AF8" s="455">
        <f>250-85</f>
        <v>165</v>
      </c>
    </row>
    <row r="9" spans="1:32" s="455" customFormat="1" hidden="1">
      <c r="A9" s="1535" t="s">
        <v>1786</v>
      </c>
      <c r="B9" s="1536" t="s">
        <v>2122</v>
      </c>
      <c r="C9" s="1540">
        <v>12000000</v>
      </c>
      <c r="D9" s="1540">
        <v>12000000</v>
      </c>
      <c r="E9" s="1540">
        <v>0</v>
      </c>
      <c r="F9" s="1538">
        <v>0.1595</v>
      </c>
      <c r="G9" s="1537">
        <f t="shared" si="0"/>
        <v>0</v>
      </c>
      <c r="H9" s="1539">
        <v>45820</v>
      </c>
      <c r="I9" s="1539">
        <v>45820</v>
      </c>
      <c r="J9" s="1539">
        <v>45838</v>
      </c>
      <c r="K9" s="1540">
        <f t="shared" si="1"/>
        <v>18</v>
      </c>
      <c r="L9" s="1540"/>
      <c r="M9" s="630"/>
      <c r="N9" s="630">
        <f>+E9*F9/360*K9</f>
        <v>0</v>
      </c>
      <c r="O9" s="630">
        <f>+E9*F9/360*31</f>
        <v>0</v>
      </c>
      <c r="P9" s="630">
        <f>+O9</f>
        <v>0</v>
      </c>
      <c r="Q9" s="630">
        <f>+P9</f>
        <v>0</v>
      </c>
      <c r="R9" s="630">
        <f>+Q9</f>
        <v>0</v>
      </c>
      <c r="S9" s="630">
        <v>164816.66666666669</v>
      </c>
      <c r="T9" s="768">
        <f t="shared" si="2"/>
        <v>0</v>
      </c>
      <c r="U9" s="630">
        <f t="shared" si="4"/>
        <v>164816.66666666669</v>
      </c>
      <c r="V9" s="630"/>
      <c r="W9" s="630"/>
      <c r="X9" s="630"/>
      <c r="Y9" s="630"/>
      <c r="Z9" s="630"/>
      <c r="AA9" s="630"/>
      <c r="AB9" s="1552">
        <f t="shared" si="3"/>
        <v>164816.66666666669</v>
      </c>
      <c r="AC9" s="1513">
        <v>45939</v>
      </c>
      <c r="AF9" s="455">
        <f>320-160</f>
        <v>160</v>
      </c>
    </row>
    <row r="10" spans="1:32" s="455" customFormat="1" hidden="1">
      <c r="A10" s="1535" t="s">
        <v>1786</v>
      </c>
      <c r="B10" s="1536" t="s">
        <v>2121</v>
      </c>
      <c r="C10" s="1540">
        <f>11000000</f>
        <v>11000000</v>
      </c>
      <c r="D10" s="1540">
        <v>11000000</v>
      </c>
      <c r="E10" s="1540">
        <v>0</v>
      </c>
      <c r="F10" s="1538">
        <v>0.19</v>
      </c>
      <c r="G10" s="1537">
        <f t="shared" si="0"/>
        <v>0</v>
      </c>
      <c r="H10" s="1539">
        <v>45847</v>
      </c>
      <c r="I10" s="1539">
        <v>45854</v>
      </c>
      <c r="J10" s="1539">
        <v>45869</v>
      </c>
      <c r="K10" s="1540">
        <f t="shared" si="1"/>
        <v>15</v>
      </c>
      <c r="L10" s="1540"/>
      <c r="M10" s="630"/>
      <c r="N10" s="630"/>
      <c r="O10" s="630">
        <v>87083.33</v>
      </c>
      <c r="P10" s="630">
        <v>174166.67</v>
      </c>
      <c r="Q10" s="630">
        <v>174166.67</v>
      </c>
      <c r="R10" s="630">
        <f>((11000000*19%)/360)*7+((6000000*19%)/360)*23</f>
        <v>113472.22222222222</v>
      </c>
      <c r="S10" s="630">
        <f>+E10*F10/12</f>
        <v>0</v>
      </c>
      <c r="T10" s="768">
        <f t="shared" si="2"/>
        <v>0</v>
      </c>
      <c r="U10" s="630">
        <f t="shared" si="4"/>
        <v>548888.89222222229</v>
      </c>
      <c r="V10" s="630"/>
      <c r="W10" s="630"/>
      <c r="X10" s="630"/>
      <c r="Y10" s="630"/>
      <c r="Z10" s="630"/>
      <c r="AA10" s="630"/>
      <c r="AB10" s="1552">
        <f t="shared" si="3"/>
        <v>548888.89222222229</v>
      </c>
      <c r="AC10" s="1513">
        <v>45923</v>
      </c>
      <c r="AF10" s="455">
        <f>250-85</f>
        <v>165</v>
      </c>
    </row>
    <row r="11" spans="1:32" s="455" customFormat="1" hidden="1">
      <c r="A11" s="1535" t="s">
        <v>1786</v>
      </c>
      <c r="B11" s="1536" t="s">
        <v>2121</v>
      </c>
      <c r="C11" s="1540">
        <v>2815000</v>
      </c>
      <c r="D11" s="1540">
        <v>2815000</v>
      </c>
      <c r="E11" s="1540">
        <v>0</v>
      </c>
      <c r="F11" s="1538">
        <v>0.19</v>
      </c>
      <c r="G11" s="1537">
        <f t="shared" si="0"/>
        <v>0</v>
      </c>
      <c r="H11" s="1539">
        <v>45847</v>
      </c>
      <c r="I11" s="1539">
        <v>45862</v>
      </c>
      <c r="J11" s="1539">
        <v>45869</v>
      </c>
      <c r="K11" s="1540">
        <f t="shared" si="1"/>
        <v>7</v>
      </c>
      <c r="L11" s="1540"/>
      <c r="M11" s="630"/>
      <c r="N11" s="630"/>
      <c r="O11" s="630">
        <f>+E11*F11/360*K11</f>
        <v>0</v>
      </c>
      <c r="P11" s="630">
        <f>+G11</f>
        <v>0</v>
      </c>
      <c r="Q11" s="630">
        <f>+P11</f>
        <v>0</v>
      </c>
      <c r="R11" s="630">
        <f>+Q11</f>
        <v>0</v>
      </c>
      <c r="S11" s="630">
        <v>44570.833333333328</v>
      </c>
      <c r="T11" s="768">
        <f t="shared" si="2"/>
        <v>0</v>
      </c>
      <c r="U11" s="630">
        <f t="shared" si="4"/>
        <v>44570.833333333328</v>
      </c>
      <c r="V11" s="630"/>
      <c r="W11" s="630"/>
      <c r="X11" s="630"/>
      <c r="Y11" s="630"/>
      <c r="Z11" s="630"/>
      <c r="AA11" s="630"/>
      <c r="AB11" s="1552">
        <f t="shared" si="3"/>
        <v>44570.833333333328</v>
      </c>
      <c r="AC11" s="1513">
        <v>45923</v>
      </c>
    </row>
    <row r="12" spans="1:32" s="455" customFormat="1" hidden="1">
      <c r="A12" s="1535" t="s">
        <v>1786</v>
      </c>
      <c r="B12" s="1536" t="s">
        <v>2121</v>
      </c>
      <c r="C12" s="1540">
        <v>1185000</v>
      </c>
      <c r="D12" s="1540">
        <v>1185000</v>
      </c>
      <c r="E12" s="1540">
        <v>0</v>
      </c>
      <c r="F12" s="1538">
        <v>0.19</v>
      </c>
      <c r="G12" s="1537">
        <f t="shared" si="0"/>
        <v>0</v>
      </c>
      <c r="H12" s="1539">
        <v>45847</v>
      </c>
      <c r="I12" s="1539">
        <v>45862</v>
      </c>
      <c r="J12" s="1539">
        <v>45869</v>
      </c>
      <c r="K12" s="1540">
        <f t="shared" si="1"/>
        <v>7</v>
      </c>
      <c r="L12" s="1540"/>
      <c r="M12" s="630"/>
      <c r="N12" s="630"/>
      <c r="O12" s="630">
        <f>+E12*F12/360*K12</f>
        <v>0</v>
      </c>
      <c r="P12" s="630">
        <f>+G12</f>
        <v>0</v>
      </c>
      <c r="Q12" s="630">
        <f>+P12</f>
        <v>0</v>
      </c>
      <c r="R12" s="630">
        <f>+Q12</f>
        <v>0</v>
      </c>
      <c r="S12" s="630">
        <v>18762.5</v>
      </c>
      <c r="T12" s="768">
        <f t="shared" si="2"/>
        <v>0</v>
      </c>
      <c r="U12" s="630">
        <f t="shared" si="4"/>
        <v>18762.5</v>
      </c>
      <c r="V12" s="630"/>
      <c r="W12" s="630"/>
      <c r="X12" s="630"/>
      <c r="Y12" s="630"/>
      <c r="Z12" s="630"/>
      <c r="AA12" s="630"/>
      <c r="AB12" s="1552">
        <f t="shared" si="3"/>
        <v>18762.5</v>
      </c>
      <c r="AC12" s="1513"/>
    </row>
    <row r="13" spans="1:32" s="1472" customFormat="1" ht="18" hidden="1" customHeight="1" thickBot="1">
      <c r="A13" s="1580" t="s">
        <v>1790</v>
      </c>
      <c r="B13" s="1581"/>
      <c r="C13" s="1582">
        <f>SUM(C7:C12)</f>
        <v>49200000</v>
      </c>
      <c r="D13" s="1582">
        <f>SUM(D7:D12)</f>
        <v>49200000</v>
      </c>
      <c r="E13" s="1582">
        <f>SUM(E7:E12)</f>
        <v>0</v>
      </c>
      <c r="F13" s="1583"/>
      <c r="G13" s="1584">
        <f>SUM(G7:G12)</f>
        <v>0</v>
      </c>
      <c r="H13" s="1581"/>
      <c r="I13" s="1581"/>
      <c r="J13" s="1581"/>
      <c r="K13" s="1581"/>
      <c r="L13" s="1582">
        <f t="shared" ref="L13:T13" si="5">SUM(L7:L12)</f>
        <v>0</v>
      </c>
      <c r="M13" s="1582">
        <f t="shared" si="5"/>
        <v>0</v>
      </c>
      <c r="N13" s="1582">
        <f t="shared" si="5"/>
        <v>0</v>
      </c>
      <c r="O13" s="1582">
        <f t="shared" si="5"/>
        <v>87083.33</v>
      </c>
      <c r="P13" s="1582">
        <f t="shared" si="5"/>
        <v>174166.67</v>
      </c>
      <c r="Q13" s="1582">
        <f t="shared" si="5"/>
        <v>174166.67</v>
      </c>
      <c r="R13" s="1582">
        <f t="shared" si="5"/>
        <v>113472.22222222222</v>
      </c>
      <c r="S13" s="1582">
        <f t="shared" si="5"/>
        <v>523225</v>
      </c>
      <c r="T13" s="1582">
        <f t="shared" si="5"/>
        <v>0</v>
      </c>
      <c r="U13" s="1582"/>
      <c r="V13" s="1582">
        <f>SUM(V7:V12)</f>
        <v>0</v>
      </c>
      <c r="W13" s="1582">
        <f>SUM(W7:W12)</f>
        <v>0</v>
      </c>
      <c r="X13" s="1582">
        <f>SUM(X7:X12)</f>
        <v>0</v>
      </c>
      <c r="Y13" s="1582">
        <f t="shared" ref="Y13:Z13" si="6">SUM(Y7:Y12)</f>
        <v>0</v>
      </c>
      <c r="Z13" s="1582">
        <f t="shared" si="6"/>
        <v>0</v>
      </c>
      <c r="AA13" s="1582">
        <f t="shared" ref="AA13" si="7">SUM(AA7:AA12)</f>
        <v>0</v>
      </c>
      <c r="AB13" s="1551"/>
    </row>
    <row r="14" spans="1:32" s="455" customFormat="1">
      <c r="A14" s="1535" t="s">
        <v>2123</v>
      </c>
      <c r="B14" s="1536"/>
      <c r="C14" s="1537">
        <v>25000000</v>
      </c>
      <c r="D14" s="1537"/>
      <c r="E14" s="1620">
        <f>+C14-D14</f>
        <v>25000000</v>
      </c>
      <c r="F14" s="1538">
        <v>0.18</v>
      </c>
      <c r="G14" s="1537"/>
      <c r="H14" s="1539"/>
      <c r="I14" s="1539">
        <v>45905</v>
      </c>
      <c r="J14" s="1539"/>
      <c r="K14" s="1540"/>
      <c r="L14" s="1540"/>
      <c r="M14" s="630"/>
      <c r="N14" s="630"/>
      <c r="O14" s="630"/>
      <c r="P14" s="630"/>
      <c r="Q14" s="630">
        <f>(($C14*$F14)/360)*25</f>
        <v>312500</v>
      </c>
      <c r="R14" s="630">
        <f>(($C14*$F14)/360)*30</f>
        <v>375000</v>
      </c>
      <c r="S14" s="630">
        <f t="shared" ref="S14:AA26" si="8">(($C14*$F14)/360)*30</f>
        <v>375000</v>
      </c>
      <c r="T14" s="630">
        <f t="shared" si="8"/>
        <v>375000</v>
      </c>
      <c r="U14" s="630">
        <f>SUM(Q14:T14)</f>
        <v>1437500</v>
      </c>
      <c r="V14" s="630">
        <f t="shared" si="8"/>
        <v>375000</v>
      </c>
      <c r="W14" s="630">
        <f t="shared" si="8"/>
        <v>375000</v>
      </c>
      <c r="X14" s="630"/>
      <c r="Y14" s="630"/>
      <c r="Z14" s="630"/>
      <c r="AA14" s="630"/>
      <c r="AB14" s="1552">
        <f>SUM(U14:X14)</f>
        <v>2187500</v>
      </c>
      <c r="AC14" s="1513"/>
    </row>
    <row r="15" spans="1:32" s="455" customFormat="1">
      <c r="A15" s="1535" t="s">
        <v>2123</v>
      </c>
      <c r="B15" s="1536"/>
      <c r="C15" s="1537">
        <v>30184227.399999999</v>
      </c>
      <c r="D15" s="1537"/>
      <c r="E15" s="1620">
        <f t="shared" ref="E15:E19" si="9">+C15-D15</f>
        <v>30184227.399999999</v>
      </c>
      <c r="F15" s="1538">
        <v>0.18</v>
      </c>
      <c r="G15" s="1537"/>
      <c r="H15" s="1539"/>
      <c r="I15" s="1539">
        <v>45926</v>
      </c>
      <c r="J15" s="1539"/>
      <c r="K15" s="1540"/>
      <c r="L15" s="1540"/>
      <c r="M15" s="630"/>
      <c r="N15" s="630"/>
      <c r="O15" s="630"/>
      <c r="P15" s="630"/>
      <c r="Q15" s="630">
        <f>(($C15*$F15)/360)*4</f>
        <v>60368.454799999992</v>
      </c>
      <c r="R15" s="630">
        <f>(($C15*$F15)/360)*30</f>
        <v>452763.41099999996</v>
      </c>
      <c r="S15" s="630">
        <f t="shared" si="8"/>
        <v>452763.41099999996</v>
      </c>
      <c r="T15" s="630">
        <f t="shared" si="8"/>
        <v>452763.41099999996</v>
      </c>
      <c r="U15" s="630">
        <f t="shared" ref="U15:U19" si="10">SUM(Q15:T15)</f>
        <v>1418658.6878</v>
      </c>
      <c r="V15" s="630">
        <f t="shared" si="8"/>
        <v>452763.41099999996</v>
      </c>
      <c r="W15" s="630">
        <f t="shared" si="8"/>
        <v>452763.41099999996</v>
      </c>
      <c r="X15" s="630"/>
      <c r="Y15" s="630"/>
      <c r="Z15" s="630"/>
      <c r="AA15" s="630"/>
      <c r="AB15" s="1649">
        <f>SUM(U15:X15)</f>
        <v>2324185.5097999997</v>
      </c>
      <c r="AC15" s="1513"/>
    </row>
    <row r="16" spans="1:32" s="455" customFormat="1" hidden="1">
      <c r="A16" s="1535"/>
      <c r="B16" s="1536"/>
      <c r="C16" s="1537"/>
      <c r="D16" s="1537"/>
      <c r="E16" s="1620"/>
      <c r="F16" s="1538"/>
      <c r="G16" s="1537"/>
      <c r="H16" s="1539"/>
      <c r="I16" s="1539"/>
      <c r="J16" s="1539"/>
      <c r="K16" s="1540"/>
      <c r="L16" s="1540"/>
      <c r="M16" s="630"/>
      <c r="N16" s="630"/>
      <c r="O16" s="630"/>
      <c r="P16" s="630"/>
      <c r="Q16" s="630"/>
      <c r="R16" s="630"/>
      <c r="S16" s="630"/>
      <c r="T16" s="630"/>
      <c r="U16" s="630"/>
      <c r="V16" s="630"/>
      <c r="W16" s="630"/>
      <c r="X16" s="630"/>
      <c r="Y16" s="630"/>
      <c r="Z16" s="630"/>
      <c r="AA16" s="630"/>
      <c r="AB16" s="1649">
        <f>SUM(AB14:AB15)</f>
        <v>4511685.5098000001</v>
      </c>
      <c r="AC16" s="1513"/>
      <c r="AD16" s="455" t="s">
        <v>2340</v>
      </c>
    </row>
    <row r="18" spans="1:30" s="455" customFormat="1">
      <c r="A18" s="1535" t="s">
        <v>2123</v>
      </c>
      <c r="B18" s="1541"/>
      <c r="C18" s="1537">
        <v>22000000</v>
      </c>
      <c r="D18" s="1537"/>
      <c r="E18" s="1620">
        <f t="shared" si="9"/>
        <v>22000000</v>
      </c>
      <c r="F18" s="1538">
        <v>0.18</v>
      </c>
      <c r="G18" s="1537"/>
      <c r="H18" s="1539"/>
      <c r="I18" s="1539">
        <v>45966</v>
      </c>
      <c r="J18" s="1539"/>
      <c r="K18" s="1540"/>
      <c r="L18" s="1540"/>
      <c r="M18" s="630"/>
      <c r="N18" s="630"/>
      <c r="O18" s="630"/>
      <c r="P18" s="630"/>
      <c r="Q18" s="630"/>
      <c r="R18" s="630"/>
      <c r="S18" s="630">
        <f>(($C18*$F18)/360)*25</f>
        <v>275000</v>
      </c>
      <c r="T18" s="630">
        <f t="shared" si="8"/>
        <v>330000</v>
      </c>
      <c r="U18" s="630">
        <f t="shared" si="10"/>
        <v>605000</v>
      </c>
      <c r="V18" s="630">
        <f t="shared" si="8"/>
        <v>330000</v>
      </c>
      <c r="W18" s="630">
        <f t="shared" si="8"/>
        <v>330000</v>
      </c>
      <c r="X18" s="630"/>
      <c r="Y18" s="630"/>
      <c r="Z18" s="630"/>
      <c r="AA18" s="630"/>
      <c r="AB18" s="1552">
        <f>SUM(U18:X18)</f>
        <v>1265000</v>
      </c>
      <c r="AC18" s="1513"/>
    </row>
    <row r="19" spans="1:30" s="455" customFormat="1">
      <c r="A19" s="1535" t="s">
        <v>2123</v>
      </c>
      <c r="B19" s="1541"/>
      <c r="C19" s="1537">
        <v>22815773</v>
      </c>
      <c r="D19" s="1537"/>
      <c r="E19" s="1620">
        <f t="shared" si="9"/>
        <v>22815773</v>
      </c>
      <c r="F19" s="1538">
        <v>0.18</v>
      </c>
      <c r="G19" s="1537"/>
      <c r="H19" s="1539"/>
      <c r="I19" s="1539">
        <v>45989</v>
      </c>
      <c r="J19" s="1539"/>
      <c r="K19" s="1540"/>
      <c r="L19" s="1540"/>
      <c r="M19" s="630"/>
      <c r="N19" s="630"/>
      <c r="O19" s="630"/>
      <c r="P19" s="630"/>
      <c r="Q19" s="630"/>
      <c r="R19" s="630"/>
      <c r="S19" s="630">
        <f>(($C19*$F19)/360)*2</f>
        <v>22815.772999999997</v>
      </c>
      <c r="T19" s="630">
        <f t="shared" si="8"/>
        <v>342236.59499999997</v>
      </c>
      <c r="U19" s="630">
        <f t="shared" si="10"/>
        <v>365052.36799999996</v>
      </c>
      <c r="V19" s="630">
        <f t="shared" si="8"/>
        <v>342236.59499999997</v>
      </c>
      <c r="W19" s="630">
        <f t="shared" si="8"/>
        <v>342236.59499999997</v>
      </c>
      <c r="X19" s="630"/>
      <c r="Y19" s="630"/>
      <c r="Z19" s="630"/>
      <c r="AA19" s="630"/>
      <c r="AB19" s="1649">
        <f>SUM(U19:X19)</f>
        <v>1049525.558</v>
      </c>
      <c r="AC19" s="1513"/>
    </row>
    <row r="20" spans="1:30" s="455" customFormat="1" hidden="1">
      <c r="A20" s="1535"/>
      <c r="B20" s="1541"/>
      <c r="C20" s="1537"/>
      <c r="D20" s="1537"/>
      <c r="E20" s="1620"/>
      <c r="F20" s="1538"/>
      <c r="G20" s="1537"/>
      <c r="H20" s="1539"/>
      <c r="I20" s="1539"/>
      <c r="J20" s="1539"/>
      <c r="K20" s="1540"/>
      <c r="L20" s="1540"/>
      <c r="M20" s="630"/>
      <c r="N20" s="630"/>
      <c r="O20" s="630"/>
      <c r="P20" s="630"/>
      <c r="Q20" s="630"/>
      <c r="R20" s="630"/>
      <c r="S20" s="630"/>
      <c r="T20" s="630"/>
      <c r="U20" s="630"/>
      <c r="V20" s="630"/>
      <c r="W20" s="630"/>
      <c r="X20" s="630"/>
      <c r="Y20" s="630"/>
      <c r="Z20" s="630"/>
      <c r="AA20" s="630"/>
      <c r="AB20" s="1552">
        <f>+AB18+AB19</f>
        <v>2314525.5580000002</v>
      </c>
      <c r="AC20" s="1513"/>
      <c r="AD20" s="455" t="s">
        <v>2340</v>
      </c>
    </row>
    <row r="21" spans="1:30" s="1472" customFormat="1" ht="18.600000000000001" customHeight="1">
      <c r="A21" s="1556" t="s">
        <v>2124</v>
      </c>
      <c r="B21" s="1557"/>
      <c r="C21" s="1558">
        <f>SUM(C14:C19)</f>
        <v>100000000.40000001</v>
      </c>
      <c r="D21" s="1558">
        <f>SUM(D14:D19)</f>
        <v>0</v>
      </c>
      <c r="E21" s="1616">
        <f>SUM(E14:E19)</f>
        <v>100000000.40000001</v>
      </c>
      <c r="F21" s="1558"/>
      <c r="G21" s="1558">
        <f>SUM(G14:G19)</f>
        <v>0</v>
      </c>
      <c r="H21" s="1558">
        <f>SUM(H14:H19)</f>
        <v>0</v>
      </c>
      <c r="I21" s="1616"/>
      <c r="J21" s="1558">
        <f t="shared" ref="J21:AA21" si="11">SUM(J14:J19)</f>
        <v>0</v>
      </c>
      <c r="K21" s="1558">
        <f t="shared" si="11"/>
        <v>0</v>
      </c>
      <c r="L21" s="1550">
        <f t="shared" si="11"/>
        <v>0</v>
      </c>
      <c r="M21" s="1550">
        <f t="shared" si="11"/>
        <v>0</v>
      </c>
      <c r="N21" s="1550">
        <f t="shared" si="11"/>
        <v>0</v>
      </c>
      <c r="O21" s="1550">
        <f t="shared" si="11"/>
        <v>0</v>
      </c>
      <c r="P21" s="1550">
        <f t="shared" si="11"/>
        <v>0</v>
      </c>
      <c r="Q21" s="1550">
        <f t="shared" si="11"/>
        <v>372868.45480000001</v>
      </c>
      <c r="R21" s="1550">
        <f t="shared" si="11"/>
        <v>827763.41099999996</v>
      </c>
      <c r="S21" s="1550">
        <f t="shared" si="11"/>
        <v>1125579.1839999999</v>
      </c>
      <c r="T21" s="1550">
        <f t="shared" si="11"/>
        <v>1500000.0059999998</v>
      </c>
      <c r="U21" s="1550">
        <f t="shared" si="11"/>
        <v>3826211.0557999997</v>
      </c>
      <c r="V21" s="1550">
        <f t="shared" si="11"/>
        <v>1500000.0059999998</v>
      </c>
      <c r="W21" s="1550">
        <f t="shared" si="11"/>
        <v>1500000.0059999998</v>
      </c>
      <c r="X21" s="1550">
        <f t="shared" si="11"/>
        <v>0</v>
      </c>
      <c r="Y21" s="1550">
        <f t="shared" si="11"/>
        <v>0</v>
      </c>
      <c r="Z21" s="1550">
        <f t="shared" si="11"/>
        <v>0</v>
      </c>
      <c r="AA21" s="1550">
        <f t="shared" si="11"/>
        <v>0</v>
      </c>
      <c r="AB21" s="1551">
        <f>+AB14+AB15+AB18+AB19</f>
        <v>6826211.0678000003</v>
      </c>
    </row>
    <row r="22" spans="1:30" s="455" customFormat="1">
      <c r="A22" s="1535"/>
      <c r="B22" s="1541"/>
      <c r="C22" s="1537"/>
      <c r="D22" s="1537"/>
      <c r="E22" s="1620"/>
      <c r="F22" s="1538"/>
      <c r="G22" s="1537"/>
      <c r="H22" s="1539"/>
      <c r="I22" s="1539"/>
      <c r="J22" s="1539"/>
      <c r="K22" s="1540"/>
      <c r="L22" s="1540"/>
      <c r="M22" s="630"/>
      <c r="N22" s="630"/>
      <c r="O22" s="630"/>
      <c r="P22" s="630"/>
      <c r="Q22" s="630"/>
      <c r="R22" s="630"/>
      <c r="S22" s="630"/>
      <c r="T22" s="630"/>
      <c r="U22" s="630"/>
      <c r="V22" s="630"/>
      <c r="W22" s="630"/>
      <c r="X22" s="630"/>
      <c r="Y22" s="630"/>
      <c r="Z22" s="630"/>
      <c r="AA22" s="630"/>
      <c r="AB22" s="632"/>
      <c r="AC22" s="1513"/>
    </row>
    <row r="23" spans="1:30" s="455" customFormat="1">
      <c r="A23" s="1535" t="s">
        <v>2341</v>
      </c>
      <c r="B23" s="1541"/>
      <c r="C23" s="1537">
        <v>100000000</v>
      </c>
      <c r="D23" s="1537"/>
      <c r="E23" s="1620">
        <f t="shared" ref="E23" si="12">+C23-D23</f>
        <v>100000000</v>
      </c>
      <c r="F23" s="1538">
        <v>0.13750000000000001</v>
      </c>
      <c r="G23" s="1537"/>
      <c r="H23" s="1539"/>
      <c r="I23" s="1539">
        <v>46076</v>
      </c>
      <c r="J23" s="1539"/>
      <c r="K23" s="1540"/>
      <c r="L23" s="1540"/>
      <c r="M23" s="630"/>
      <c r="N23" s="630"/>
      <c r="O23" s="630"/>
      <c r="P23" s="630"/>
      <c r="Q23" s="630"/>
      <c r="R23" s="630"/>
      <c r="S23" s="630"/>
      <c r="T23" s="630"/>
      <c r="U23" s="630"/>
      <c r="V23" s="630"/>
      <c r="W23" s="630"/>
      <c r="X23" s="630">
        <f t="shared" si="8"/>
        <v>1145833.3333333335</v>
      </c>
      <c r="Y23" s="630">
        <f t="shared" si="8"/>
        <v>1145833.3333333335</v>
      </c>
      <c r="Z23" s="630">
        <f t="shared" si="8"/>
        <v>1145833.3333333335</v>
      </c>
      <c r="AA23" s="630">
        <f t="shared" si="8"/>
        <v>1145833.3333333335</v>
      </c>
      <c r="AB23" s="1552">
        <f>SUM(X23:AA23)</f>
        <v>4583333.333333334</v>
      </c>
      <c r="AC23" s="1513"/>
    </row>
    <row r="24" spans="1:30" s="455" customFormat="1" ht="15.6">
      <c r="A24" s="1535" t="s">
        <v>2341</v>
      </c>
      <c r="B24" s="1541"/>
      <c r="C24" s="739">
        <v>30000000</v>
      </c>
      <c r="D24" s="1537"/>
      <c r="E24" s="1620">
        <f t="shared" ref="E24:E26" si="13">+C24-D24</f>
        <v>30000000</v>
      </c>
      <c r="F24" s="1538">
        <v>0.13750000000000001</v>
      </c>
      <c r="G24" s="1537"/>
      <c r="H24" s="1539"/>
      <c r="I24" s="1539">
        <v>46113</v>
      </c>
      <c r="J24" s="1539"/>
      <c r="K24" s="1540"/>
      <c r="L24" s="1540"/>
      <c r="M24" s="630"/>
      <c r="N24" s="630"/>
      <c r="O24" s="630"/>
      <c r="P24" s="630"/>
      <c r="Q24" s="630"/>
      <c r="R24" s="630"/>
      <c r="S24" s="630"/>
      <c r="T24" s="630"/>
      <c r="U24" s="630"/>
      <c r="V24" s="630"/>
      <c r="W24" s="630"/>
      <c r="X24" s="630"/>
      <c r="Y24" s="630">
        <f t="shared" si="8"/>
        <v>343750</v>
      </c>
      <c r="Z24" s="630">
        <f t="shared" si="8"/>
        <v>343750</v>
      </c>
      <c r="AA24" s="630">
        <f t="shared" si="8"/>
        <v>343750</v>
      </c>
      <c r="AB24" s="1552">
        <f t="shared" ref="AB24:AB26" si="14">SUM(X24:AA24)</f>
        <v>1031250</v>
      </c>
      <c r="AC24" s="1513"/>
    </row>
    <row r="25" spans="1:30" s="455" customFormat="1" ht="15.6">
      <c r="A25" s="1535" t="s">
        <v>2341</v>
      </c>
      <c r="B25" s="1541"/>
      <c r="C25" s="739">
        <v>40000000</v>
      </c>
      <c r="D25" s="1537"/>
      <c r="E25" s="1620">
        <f t="shared" si="13"/>
        <v>40000000</v>
      </c>
      <c r="F25" s="1538">
        <v>0.13750000000000001</v>
      </c>
      <c r="G25" s="1537"/>
      <c r="H25" s="1539"/>
      <c r="I25" s="1539">
        <v>46143</v>
      </c>
      <c r="J25" s="1539"/>
      <c r="K25" s="1540"/>
      <c r="L25" s="154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/>
      <c r="Y25" s="630"/>
      <c r="Z25" s="630">
        <f t="shared" si="8"/>
        <v>458333.33333333331</v>
      </c>
      <c r="AA25" s="630">
        <f t="shared" si="8"/>
        <v>458333.33333333331</v>
      </c>
      <c r="AB25" s="1552">
        <f t="shared" si="14"/>
        <v>916666.66666666663</v>
      </c>
      <c r="AC25" s="1513"/>
    </row>
    <row r="26" spans="1:30" s="455" customFormat="1" ht="15.6">
      <c r="A26" s="1535" t="s">
        <v>2341</v>
      </c>
      <c r="B26" s="1541"/>
      <c r="C26" s="739">
        <v>30000000</v>
      </c>
      <c r="D26" s="1537"/>
      <c r="E26" s="1620">
        <f t="shared" si="13"/>
        <v>30000000</v>
      </c>
      <c r="F26" s="1538">
        <v>0.13750000000000001</v>
      </c>
      <c r="G26" s="1537"/>
      <c r="H26" s="1539"/>
      <c r="I26" s="1539">
        <v>46174</v>
      </c>
      <c r="J26" s="1539"/>
      <c r="K26" s="1540"/>
      <c r="L26" s="1540"/>
      <c r="M26" s="630"/>
      <c r="N26" s="630"/>
      <c r="O26" s="630"/>
      <c r="P26" s="630"/>
      <c r="Q26" s="630"/>
      <c r="R26" s="630"/>
      <c r="S26" s="630"/>
      <c r="T26" s="630"/>
      <c r="U26" s="630"/>
      <c r="V26" s="630"/>
      <c r="W26" s="630"/>
      <c r="X26" s="630"/>
      <c r="Y26" s="630"/>
      <c r="Z26" s="630"/>
      <c r="AA26" s="630">
        <f t="shared" si="8"/>
        <v>343750</v>
      </c>
      <c r="AB26" s="1649">
        <f t="shared" si="14"/>
        <v>343750</v>
      </c>
      <c r="AC26" s="1513"/>
    </row>
    <row r="27" spans="1:30" s="455" customFormat="1">
      <c r="A27" s="1556" t="s">
        <v>2342</v>
      </c>
      <c r="B27" s="1557"/>
      <c r="C27" s="1558">
        <f>SUM(C23:C26)</f>
        <v>200000000</v>
      </c>
      <c r="D27" s="1558"/>
      <c r="E27" s="1616">
        <f>SUM(E23:E26)</f>
        <v>200000000</v>
      </c>
      <c r="F27" s="1558"/>
      <c r="G27" s="1558"/>
      <c r="H27" s="1558"/>
      <c r="I27" s="1616"/>
      <c r="J27" s="1558"/>
      <c r="K27" s="1558"/>
      <c r="L27" s="1550"/>
      <c r="M27" s="1550"/>
      <c r="N27" s="1550"/>
      <c r="O27" s="1550"/>
      <c r="P27" s="1550"/>
      <c r="Q27" s="1550"/>
      <c r="R27" s="1550"/>
      <c r="S27" s="1550"/>
      <c r="T27" s="1550"/>
      <c r="U27" s="1550">
        <f>SUM(U23:U26)</f>
        <v>0</v>
      </c>
      <c r="V27" s="1550">
        <f t="shared" ref="V27:AA27" si="15">SUM(V23:V26)</f>
        <v>0</v>
      </c>
      <c r="W27" s="1550">
        <f t="shared" si="15"/>
        <v>0</v>
      </c>
      <c r="X27" s="1550">
        <f t="shared" si="15"/>
        <v>1145833.3333333335</v>
      </c>
      <c r="Y27" s="1550">
        <f t="shared" si="15"/>
        <v>1489583.3333333335</v>
      </c>
      <c r="Z27" s="1550">
        <f t="shared" si="15"/>
        <v>1947916.6666666667</v>
      </c>
      <c r="AA27" s="1550">
        <f t="shared" si="15"/>
        <v>2291666.666666667</v>
      </c>
      <c r="AB27" s="1551">
        <f>SUM(AB23:AB26)</f>
        <v>6875000.0000000009</v>
      </c>
      <c r="AC27" s="1513"/>
    </row>
    <row r="28" spans="1:30" s="455" customFormat="1">
      <c r="A28" s="1535"/>
      <c r="B28" s="1541"/>
      <c r="C28" s="1537"/>
      <c r="D28" s="1537"/>
      <c r="E28" s="1620"/>
      <c r="F28" s="1538"/>
      <c r="G28" s="1537"/>
      <c r="H28" s="1539"/>
      <c r="I28" s="1539"/>
      <c r="J28" s="1539"/>
      <c r="K28" s="1540"/>
      <c r="L28" s="1540"/>
      <c r="M28" s="630"/>
      <c r="N28" s="630"/>
      <c r="O28" s="630"/>
      <c r="P28" s="630"/>
      <c r="Q28" s="630"/>
      <c r="R28" s="630"/>
      <c r="S28" s="630"/>
      <c r="T28" s="630"/>
      <c r="U28" s="630"/>
      <c r="V28" s="630"/>
      <c r="W28" s="630"/>
      <c r="X28" s="630"/>
      <c r="Y28" s="630"/>
      <c r="Z28" s="630"/>
      <c r="AA28" s="630"/>
      <c r="AB28" s="632"/>
      <c r="AC28" s="1513"/>
    </row>
    <row r="29" spans="1:30" s="1472" customFormat="1" ht="29.4" thickBot="1">
      <c r="A29" s="1617" t="s">
        <v>2125</v>
      </c>
      <c r="B29" s="1561"/>
      <c r="C29" s="1562">
        <f>+C13+C21</f>
        <v>149200000.40000001</v>
      </c>
      <c r="D29" s="1562">
        <f>+D13+D21</f>
        <v>49200000</v>
      </c>
      <c r="E29" s="1562">
        <f>+E13+E21</f>
        <v>100000000.40000001</v>
      </c>
      <c r="F29" s="1562"/>
      <c r="G29" s="1562">
        <f>+G13+G21</f>
        <v>0</v>
      </c>
      <c r="H29" s="1562">
        <f>+H13+H21</f>
        <v>0</v>
      </c>
      <c r="I29" s="1562"/>
      <c r="J29" s="1562">
        <f t="shared" ref="J29:T29" si="16">+J13+J21</f>
        <v>0</v>
      </c>
      <c r="K29" s="1562">
        <f t="shared" si="16"/>
        <v>0</v>
      </c>
      <c r="L29" s="1563">
        <f t="shared" si="16"/>
        <v>0</v>
      </c>
      <c r="M29" s="1563">
        <f t="shared" si="16"/>
        <v>0</v>
      </c>
      <c r="N29" s="1563">
        <f t="shared" si="16"/>
        <v>0</v>
      </c>
      <c r="O29" s="1563">
        <f t="shared" si="16"/>
        <v>87083.33</v>
      </c>
      <c r="P29" s="1563">
        <f t="shared" si="16"/>
        <v>174166.67</v>
      </c>
      <c r="Q29" s="1563">
        <f t="shared" si="16"/>
        <v>547035.12479999999</v>
      </c>
      <c r="R29" s="1563">
        <f t="shared" si="16"/>
        <v>941235.63322222221</v>
      </c>
      <c r="S29" s="1563">
        <f t="shared" si="16"/>
        <v>1648804.1839999999</v>
      </c>
      <c r="T29" s="1563">
        <f t="shared" si="16"/>
        <v>1500000.0059999998</v>
      </c>
      <c r="U29" s="1563">
        <f>+U13+U21+U27</f>
        <v>3826211.0557999997</v>
      </c>
      <c r="V29" s="1563">
        <f t="shared" ref="V29:AA29" si="17">+V13+V21+V27</f>
        <v>1500000.0059999998</v>
      </c>
      <c r="W29" s="1563">
        <f t="shared" si="17"/>
        <v>1500000.0059999998</v>
      </c>
      <c r="X29" s="1563">
        <f t="shared" si="17"/>
        <v>1145833.3333333335</v>
      </c>
      <c r="Y29" s="1563">
        <f t="shared" si="17"/>
        <v>1489583.3333333335</v>
      </c>
      <c r="Z29" s="1563">
        <f t="shared" si="17"/>
        <v>1947916.6666666667</v>
      </c>
      <c r="AA29" s="1563">
        <f t="shared" si="17"/>
        <v>2291666.666666667</v>
      </c>
      <c r="AB29" s="1564">
        <f>+AB27+AB21</f>
        <v>13701211.0678</v>
      </c>
    </row>
  </sheetData>
  <pageMargins left="0.7" right="0.7" top="0.75" bottom="0.75" header="0.3" footer="0.3"/>
  <pageSetup orientation="portrait" r:id="rId1"/>
  <ignoredErrors>
    <ignoredError sqref="V13:X13 Y13:AA13" formulaRange="1"/>
    <ignoredError sqref="U14:U19" formula="1"/>
  </ignoredErrors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78F0-9603-4346-B50F-E0BF1C79EDD9}">
  <dimension ref="A1:D28"/>
  <sheetViews>
    <sheetView showGridLines="0" topLeftCell="A2" zoomScale="110" zoomScaleNormal="110" workbookViewId="0">
      <selection activeCell="F18" sqref="F18"/>
    </sheetView>
  </sheetViews>
  <sheetFormatPr baseColWidth="10" defaultColWidth="8" defaultRowHeight="11.4"/>
  <cols>
    <col min="1" max="1" width="7" style="1440" customWidth="1"/>
    <col min="2" max="2" width="35.44140625" style="1440" customWidth="1"/>
    <col min="3" max="3" width="20.5546875" style="1440" customWidth="1"/>
    <col min="4" max="4" width="11.5546875" style="1440" bestFit="1" customWidth="1"/>
    <col min="5" max="16384" width="8" style="1440"/>
  </cols>
  <sheetData>
    <row r="1" spans="1:4" s="1437" customFormat="1" ht="16.649999999999999" customHeight="1">
      <c r="A1" s="2168"/>
      <c r="B1" s="2168"/>
      <c r="C1" s="2168"/>
    </row>
    <row r="2" spans="1:4" s="1439" customFormat="1" ht="21.6" customHeight="1">
      <c r="A2" s="2171" t="s">
        <v>236</v>
      </c>
      <c r="B2" s="2171"/>
      <c r="C2" s="2171"/>
    </row>
    <row r="3" spans="1:4" s="1439" customFormat="1" ht="14.4" customHeight="1">
      <c r="A3" s="2172" t="s">
        <v>2343</v>
      </c>
      <c r="B3" s="2172"/>
      <c r="C3" s="2172"/>
    </row>
    <row r="4" spans="1:4" ht="4.95" customHeight="1" thickBot="1"/>
    <row r="5" spans="1:4" s="1444" customFormat="1" ht="13.2">
      <c r="A5" s="1502"/>
      <c r="B5" s="1501" t="s">
        <v>2084</v>
      </c>
      <c r="C5" s="1598">
        <v>46053</v>
      </c>
    </row>
    <row r="6" spans="1:4" ht="9" customHeight="1">
      <c r="A6" s="1491"/>
      <c r="C6" s="1495"/>
    </row>
    <row r="7" spans="1:4" s="1444" customFormat="1" ht="13.2">
      <c r="A7" s="1494" t="s">
        <v>2085</v>
      </c>
      <c r="B7" s="1445"/>
      <c r="C7" s="1493"/>
    </row>
    <row r="8" spans="1:4">
      <c r="A8" s="1491"/>
      <c r="B8" s="1450" t="s">
        <v>2086</v>
      </c>
      <c r="C8" s="1601">
        <f>+'BCE 01-26'!C16+'BCE 01-26'!E34</f>
        <v>62373164.550000004</v>
      </c>
    </row>
    <row r="9" spans="1:4">
      <c r="A9" s="1491"/>
      <c r="B9" s="1450" t="s">
        <v>241</v>
      </c>
      <c r="C9" s="1601">
        <f>+'BCE 01-26'!C20</f>
        <v>2547304.0499999998</v>
      </c>
    </row>
    <row r="10" spans="1:4">
      <c r="A10" s="1491"/>
      <c r="B10" s="1450" t="s">
        <v>2087</v>
      </c>
      <c r="C10" s="1601">
        <f>+'BCE 01-26'!C26</f>
        <v>510955313.94</v>
      </c>
      <c r="D10" s="1440" t="s">
        <v>2251</v>
      </c>
    </row>
    <row r="11" spans="1:4" ht="12">
      <c r="A11" s="1498" t="s">
        <v>2088</v>
      </c>
      <c r="C11" s="1602">
        <f>(0 + ((C8 + C9) + C10))</f>
        <v>575875782.53999996</v>
      </c>
    </row>
    <row r="12" spans="1:4" ht="8.4" customHeight="1">
      <c r="A12" s="1491"/>
      <c r="C12" s="1495"/>
    </row>
    <row r="13" spans="1:4" s="1444" customFormat="1" ht="13.2">
      <c r="A13" s="1494" t="s">
        <v>2089</v>
      </c>
      <c r="B13" s="1445"/>
      <c r="C13" s="1493"/>
    </row>
    <row r="14" spans="1:4">
      <c r="A14" s="1491"/>
      <c r="B14" s="1450" t="s">
        <v>1825</v>
      </c>
      <c r="C14" s="1601">
        <f>+'BCE 01-26'!C31</f>
        <v>100000000</v>
      </c>
    </row>
    <row r="15" spans="1:4">
      <c r="A15" s="1491"/>
      <c r="B15" s="1450" t="s">
        <v>251</v>
      </c>
      <c r="C15" s="1601">
        <f>+'BCE 01-26'!C33+'BCE 01-26'!C32</f>
        <v>8395418.7799999993</v>
      </c>
    </row>
    <row r="16" spans="1:4">
      <c r="A16" s="1491"/>
      <c r="B16" s="1450" t="s">
        <v>802</v>
      </c>
      <c r="C16" s="1601">
        <f>+'BCE 01-26'!C34+'BCE 01-26'!C35+'BCE 01-26'!E34</f>
        <v>134179041.16</v>
      </c>
      <c r="D16" s="1503"/>
    </row>
    <row r="17" spans="1:3">
      <c r="A17" s="1491"/>
      <c r="B17" s="1450" t="s">
        <v>2090</v>
      </c>
      <c r="C17" s="1601">
        <f>+'BCE 01-26'!C36+'BCE 01-26'!C37+'BCE 01-26'!C38</f>
        <v>584091.9</v>
      </c>
    </row>
    <row r="18" spans="1:3" ht="12">
      <c r="A18" s="1498" t="s">
        <v>2091</v>
      </c>
      <c r="C18" s="1602">
        <f>SUM(C14:C17)</f>
        <v>243158551.84</v>
      </c>
    </row>
    <row r="19" spans="1:3">
      <c r="A19" s="1491"/>
      <c r="C19" s="1603"/>
    </row>
    <row r="20" spans="1:3" ht="18" customHeight="1">
      <c r="A20" s="1607"/>
      <c r="B20" s="1461" t="s">
        <v>2092</v>
      </c>
      <c r="C20" s="1604">
        <f>(C11 - C18)</f>
        <v>332717230.69999993</v>
      </c>
    </row>
    <row r="21" spans="1:3">
      <c r="A21" s="1491"/>
      <c r="C21" s="1495"/>
    </row>
    <row r="22" spans="1:3" s="1444" customFormat="1" ht="13.2">
      <c r="A22" s="1494" t="s">
        <v>2093</v>
      </c>
      <c r="B22" s="1445"/>
      <c r="C22" s="1493"/>
    </row>
    <row r="23" spans="1:3">
      <c r="A23" s="1491"/>
      <c r="B23" s="1446" t="s">
        <v>2094</v>
      </c>
      <c r="C23" s="1605">
        <f>+'BCE 01-26'!C45</f>
        <v>329948451.97000003</v>
      </c>
    </row>
    <row r="24" spans="1:3">
      <c r="A24" s="1491"/>
      <c r="B24" s="1450" t="s">
        <v>647</v>
      </c>
      <c r="C24" s="1601">
        <f>+'BCE 01-26'!C46</f>
        <v>-126742.14</v>
      </c>
    </row>
    <row r="25" spans="1:3">
      <c r="A25" s="1491"/>
      <c r="B25" s="1450" t="s">
        <v>846</v>
      </c>
      <c r="C25" s="1601">
        <f>+'BCE 01-26'!C47</f>
        <v>2895520.87</v>
      </c>
    </row>
    <row r="26" spans="1:3" ht="12">
      <c r="A26" s="1498" t="s">
        <v>2095</v>
      </c>
      <c r="C26" s="1602">
        <f>SUM(C23:C25)</f>
        <v>332717230.70000005</v>
      </c>
    </row>
    <row r="27" spans="1:3">
      <c r="A27" s="1491"/>
      <c r="B27" s="1446"/>
      <c r="C27" s="1605"/>
    </row>
    <row r="28" spans="1:3" ht="19.2" customHeight="1" thickBot="1">
      <c r="A28" s="1608"/>
      <c r="B28" s="1489" t="s">
        <v>2095</v>
      </c>
      <c r="C28" s="1606">
        <f>+C26</f>
        <v>332717230.70000005</v>
      </c>
    </row>
  </sheetData>
  <mergeCells count="3">
    <mergeCell ref="A1:C1"/>
    <mergeCell ref="A2:C2"/>
    <mergeCell ref="A3:C3"/>
  </mergeCells>
  <pageMargins left="0.7" right="0.7" top="0.75" bottom="0.75" header="0.3" footer="0.3"/>
  <pageSetup paperSize="9" fitToWidth="0" fitToHeight="0" orientation="portrait" horizontalDpi="0" verticalDpi="0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CCF5C-3AE4-4814-8766-6F766248F8E9}">
  <dimension ref="B2:J22"/>
  <sheetViews>
    <sheetView topLeftCell="B1" zoomScale="110" zoomScaleNormal="110" workbookViewId="0">
      <selection activeCell="D16" sqref="D16:D18"/>
    </sheetView>
  </sheetViews>
  <sheetFormatPr baseColWidth="10" defaultColWidth="11.44140625" defaultRowHeight="14.4"/>
  <cols>
    <col min="2" max="2" width="24.33203125" bestFit="1" customWidth="1"/>
    <col min="3" max="3" width="14.109375" bestFit="1" customWidth="1"/>
    <col min="4" max="4" width="12.6640625" customWidth="1"/>
    <col min="5" max="5" width="37.109375" bestFit="1" customWidth="1"/>
    <col min="6" max="6" width="15.6640625" bestFit="1" customWidth="1"/>
    <col min="7" max="7" width="16.88671875" bestFit="1" customWidth="1"/>
    <col min="8" max="10" width="15.6640625" bestFit="1" customWidth="1"/>
  </cols>
  <sheetData>
    <row r="2" spans="2:10">
      <c r="E2" t="s">
        <v>2098</v>
      </c>
      <c r="F2" s="110">
        <v>12</v>
      </c>
      <c r="G2" s="110">
        <v>12</v>
      </c>
      <c r="H2" s="110">
        <v>12</v>
      </c>
      <c r="I2" s="110">
        <v>12</v>
      </c>
      <c r="J2" s="110">
        <v>12</v>
      </c>
    </row>
    <row r="3" spans="2:10" ht="15" thickBot="1">
      <c r="E3" t="s">
        <v>2099</v>
      </c>
      <c r="F3">
        <f>+F2</f>
        <v>12</v>
      </c>
      <c r="G3">
        <f>+F3+G2</f>
        <v>24</v>
      </c>
      <c r="H3">
        <f t="shared" ref="H3:J3" si="0">+G3+H2</f>
        <v>36</v>
      </c>
      <c r="I3">
        <f t="shared" si="0"/>
        <v>48</v>
      </c>
      <c r="J3">
        <f t="shared" si="0"/>
        <v>60</v>
      </c>
    </row>
    <row r="4" spans="2:10" ht="16.2" thickBot="1">
      <c r="F4" s="735">
        <v>46054</v>
      </c>
      <c r="G4" s="735">
        <v>46082</v>
      </c>
      <c r="H4" s="735">
        <v>46113</v>
      </c>
      <c r="I4" s="735">
        <v>46143</v>
      </c>
      <c r="J4" s="735">
        <v>46174</v>
      </c>
    </row>
    <row r="5" spans="2:10">
      <c r="B5" s="1476" t="s">
        <v>2100</v>
      </c>
      <c r="C5" s="1481">
        <v>150500</v>
      </c>
      <c r="E5" t="s">
        <v>2101</v>
      </c>
      <c r="F5" s="370">
        <f>+(+F2*$C$6)*62</f>
        <v>11197200</v>
      </c>
      <c r="G5" s="370">
        <f t="shared" ref="G5:J5" si="1">+(+G2*$C$6)*62</f>
        <v>11197200</v>
      </c>
      <c r="H5" s="370">
        <f t="shared" si="1"/>
        <v>11197200</v>
      </c>
      <c r="I5" s="370">
        <f t="shared" si="1"/>
        <v>11197200</v>
      </c>
      <c r="J5" s="370">
        <f t="shared" si="1"/>
        <v>11197200</v>
      </c>
    </row>
    <row r="6" spans="2:10" ht="15" thickBot="1">
      <c r="B6" s="1477" t="s">
        <v>2102</v>
      </c>
      <c r="C6" s="1478">
        <f>+C5*0.1</f>
        <v>15050</v>
      </c>
      <c r="E6" t="s">
        <v>2103</v>
      </c>
      <c r="F6" s="370">
        <v>0</v>
      </c>
      <c r="G6" s="370">
        <f>+(+F3*$C$8)*62</f>
        <v>744000</v>
      </c>
      <c r="H6" s="370">
        <f t="shared" ref="H6:J6" si="2">+(+G3*$C$8)*62</f>
        <v>1488000</v>
      </c>
      <c r="I6" s="370">
        <f t="shared" si="2"/>
        <v>2232000</v>
      </c>
      <c r="J6" s="370">
        <f t="shared" si="2"/>
        <v>2976000</v>
      </c>
    </row>
    <row r="7" spans="2:10">
      <c r="C7" s="1479"/>
      <c r="E7" t="s">
        <v>2104</v>
      </c>
      <c r="F7" s="370">
        <f>+F18</f>
        <v>4484530.68</v>
      </c>
      <c r="G7" s="370">
        <f t="shared" ref="G7:J7" si="3">+G18</f>
        <v>6246264.3999999994</v>
      </c>
      <c r="H7" s="370">
        <f t="shared" si="3"/>
        <v>7656060.0800000001</v>
      </c>
      <c r="I7" s="370">
        <f t="shared" si="3"/>
        <v>7434948.2400000002</v>
      </c>
      <c r="J7" s="370">
        <f t="shared" si="3"/>
        <v>6888131.1799999997</v>
      </c>
    </row>
    <row r="8" spans="2:10">
      <c r="B8" t="s">
        <v>2105</v>
      </c>
      <c r="C8" s="1480">
        <v>1000</v>
      </c>
      <c r="E8" s="433" t="s">
        <v>2106</v>
      </c>
      <c r="F8" s="1174">
        <f>SUM(F5:F7)</f>
        <v>15681730.68</v>
      </c>
      <c r="G8" s="1174">
        <f>SUM(G5:G7)</f>
        <v>18187464.399999999</v>
      </c>
      <c r="H8" s="1174">
        <f>SUM(H5:H7)</f>
        <v>20341260.079999998</v>
      </c>
      <c r="I8" s="1174">
        <f>SUM(I5:I7)</f>
        <v>20864148.240000002</v>
      </c>
      <c r="J8" s="1174">
        <f>SUM(J5:J7)</f>
        <v>21061331.18</v>
      </c>
    </row>
    <row r="9" spans="2:10">
      <c r="F9" s="370">
        <v>15000000</v>
      </c>
      <c r="G9" s="370">
        <v>18000000</v>
      </c>
      <c r="H9" s="370">
        <v>20000000</v>
      </c>
      <c r="I9" s="370">
        <v>20000000</v>
      </c>
      <c r="J9" s="370">
        <v>21000000</v>
      </c>
    </row>
    <row r="11" spans="2:10" hidden="1"/>
    <row r="12" spans="2:10" hidden="1">
      <c r="E12" t="s">
        <v>2107</v>
      </c>
      <c r="G12" s="1482">
        <f>((51773+18669)*1.18)*65</f>
        <v>5402901.3999999994</v>
      </c>
    </row>
    <row r="13" spans="2:10" hidden="1">
      <c r="E13" t="s">
        <v>2108</v>
      </c>
      <c r="F13" s="1482">
        <f>((+F2*$C$5)*8.14%)*65</f>
        <v>9555546</v>
      </c>
      <c r="G13" s="1482">
        <f t="shared" ref="G13:J13" si="4">((+G2*$C$5)*8.14%)*65</f>
        <v>9555546</v>
      </c>
      <c r="H13" s="1482">
        <f t="shared" si="4"/>
        <v>9555546</v>
      </c>
      <c r="I13" s="1482">
        <f t="shared" si="4"/>
        <v>9555546</v>
      </c>
      <c r="J13" s="1482">
        <f t="shared" si="4"/>
        <v>9555546</v>
      </c>
    </row>
    <row r="14" spans="2:10" hidden="1">
      <c r="F14" s="1483">
        <f>SUM(F12:F13)</f>
        <v>9555546</v>
      </c>
      <c r="G14" s="1483">
        <f t="shared" ref="G14:J14" si="5">SUM(G12:G13)</f>
        <v>14958447.399999999</v>
      </c>
      <c r="H14" s="1483">
        <f t="shared" si="5"/>
        <v>9555546</v>
      </c>
      <c r="I14" s="1483">
        <f t="shared" si="5"/>
        <v>9555546</v>
      </c>
      <c r="J14" s="1483">
        <f t="shared" si="5"/>
        <v>9555546</v>
      </c>
    </row>
    <row r="15" spans="2:10" ht="15" thickBot="1"/>
    <row r="16" spans="2:10">
      <c r="D16" s="2178" t="s">
        <v>2104</v>
      </c>
      <c r="E16" s="1706" t="s">
        <v>2344</v>
      </c>
      <c r="F16" s="1707">
        <v>72331.14</v>
      </c>
      <c r="G16" s="1707">
        <v>100746.2</v>
      </c>
      <c r="H16" s="1707">
        <v>123484.84</v>
      </c>
      <c r="I16" s="1707">
        <v>119918.52</v>
      </c>
      <c r="J16" s="1708">
        <v>111098.89</v>
      </c>
    </row>
    <row r="17" spans="4:10">
      <c r="D17" s="2178"/>
      <c r="E17" s="753"/>
      <c r="F17" s="1709">
        <v>62</v>
      </c>
      <c r="G17" s="1709">
        <v>62</v>
      </c>
      <c r="H17" s="1709">
        <v>62</v>
      </c>
      <c r="I17" s="1709">
        <v>62</v>
      </c>
      <c r="J17" s="1710">
        <v>62</v>
      </c>
    </row>
    <row r="18" spans="4:10" ht="15" thickBot="1">
      <c r="D18" s="2178"/>
      <c r="E18" s="1477"/>
      <c r="F18" s="1711">
        <f>+F16*F17</f>
        <v>4484530.68</v>
      </c>
      <c r="G18" s="1711">
        <f t="shared" ref="G18:J18" si="6">+G16*G17</f>
        <v>6246264.3999999994</v>
      </c>
      <c r="H18" s="1711">
        <f t="shared" si="6"/>
        <v>7656060.0800000001</v>
      </c>
      <c r="I18" s="1711">
        <f t="shared" si="6"/>
        <v>7434948.2400000002</v>
      </c>
      <c r="J18" s="1712">
        <f t="shared" si="6"/>
        <v>6888131.1799999997</v>
      </c>
    </row>
    <row r="19" spans="4:10" ht="15" thickBot="1"/>
    <row r="20" spans="4:10">
      <c r="E20" s="2175" t="s">
        <v>1721</v>
      </c>
      <c r="F20" s="1701">
        <f>+(+$C$5*0.0826)*F2</f>
        <v>149175.6</v>
      </c>
      <c r="G20" s="1701">
        <f>+(+$C$5*0.0826)*G2</f>
        <v>149175.6</v>
      </c>
      <c r="H20" s="1701">
        <f>+(+$C$5*0.0826)*H2</f>
        <v>149175.6</v>
      </c>
      <c r="I20" s="1701">
        <f>+(+$C$5*0.0826)*I2</f>
        <v>149175.6</v>
      </c>
      <c r="J20" s="1731">
        <f>+(+$C$5*0.0826)*J2</f>
        <v>149175.6</v>
      </c>
    </row>
    <row r="21" spans="4:10">
      <c r="E21" s="2176"/>
      <c r="F21" s="455">
        <v>62.5</v>
      </c>
      <c r="G21" s="455">
        <v>62.5</v>
      </c>
      <c r="H21" s="455">
        <v>62.5</v>
      </c>
      <c r="I21" s="455">
        <v>62.5</v>
      </c>
      <c r="J21" s="1702">
        <v>62.5</v>
      </c>
    </row>
    <row r="22" spans="4:10" ht="15" thickBot="1">
      <c r="E22" s="2177"/>
      <c r="F22" s="1703">
        <f t="shared" ref="F22:I22" si="7">+F20*F21</f>
        <v>9323475</v>
      </c>
      <c r="G22" s="1703">
        <f t="shared" si="7"/>
        <v>9323475</v>
      </c>
      <c r="H22" s="1703">
        <f t="shared" si="7"/>
        <v>9323475</v>
      </c>
      <c r="I22" s="1703">
        <f t="shared" si="7"/>
        <v>9323475</v>
      </c>
      <c r="J22" s="1704">
        <f t="shared" ref="J22" si="8">+J20*J21</f>
        <v>9323475</v>
      </c>
    </row>
  </sheetData>
  <mergeCells count="2">
    <mergeCell ref="E20:E22"/>
    <mergeCell ref="D16:D18"/>
  </mergeCells>
  <hyperlinks>
    <hyperlink ref="E16" r:id="rId1" display="https://x.loandisk.com/reports/deferred_income_monthly.php?aok39l308=5523827" xr:uid="{827DC49C-FC22-42A7-B8B9-F6FDEAD14627}"/>
  </hyperlinks>
  <pageMargins left="0.7" right="0.7" top="0.75" bottom="0.75" header="0.3" footer="0.3"/>
  <pageSetup orientation="portrait" r:id="rId2"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FC96E-A37A-41FF-9874-C661EFBA190B}">
  <dimension ref="A1:J149"/>
  <sheetViews>
    <sheetView showGridLines="0" topLeftCell="A159" zoomScaleNormal="100" workbookViewId="0">
      <selection activeCell="A180" sqref="A180"/>
    </sheetView>
  </sheetViews>
  <sheetFormatPr baseColWidth="10" defaultColWidth="8" defaultRowHeight="11.4"/>
  <cols>
    <col min="1" max="1" width="61.44140625" style="1440" customWidth="1"/>
    <col min="2" max="2" width="12.6640625" style="1440" customWidth="1"/>
    <col min="3" max="3" width="17.6640625" style="1440" customWidth="1"/>
    <col min="4" max="4" width="16.6640625" style="1659" bestFit="1" customWidth="1"/>
    <col min="5" max="5" width="19.44140625" style="1658" bestFit="1" customWidth="1"/>
    <col min="6" max="9" width="13" style="1657" bestFit="1" customWidth="1"/>
    <col min="10" max="10" width="12.109375" style="1657" bestFit="1" customWidth="1"/>
    <col min="11" max="16384" width="8" style="1440"/>
  </cols>
  <sheetData>
    <row r="1" spans="1:10" s="1437" customFormat="1" ht="16.649999999999999" customHeight="1">
      <c r="A1" s="1436" t="s">
        <v>771</v>
      </c>
      <c r="B1" s="1436"/>
      <c r="C1" s="1436"/>
      <c r="D1" s="1690"/>
      <c r="E1" s="1689"/>
      <c r="F1" s="1688"/>
      <c r="G1" s="1688"/>
      <c r="H1" s="1688"/>
      <c r="I1" s="1688"/>
      <c r="J1" s="1688"/>
    </row>
    <row r="2" spans="1:10" s="1439" customFormat="1" ht="14.4" customHeight="1">
      <c r="A2" s="1438" t="s">
        <v>236</v>
      </c>
      <c r="B2" s="1438"/>
      <c r="C2" s="1438"/>
      <c r="D2" s="1687"/>
      <c r="E2" s="1686"/>
      <c r="F2" s="1685"/>
      <c r="G2" s="1685"/>
      <c r="H2" s="1685"/>
      <c r="I2" s="1685"/>
      <c r="J2" s="1685"/>
    </row>
    <row r="3" spans="1:10" s="1439" customFormat="1" ht="14.4" customHeight="1">
      <c r="A3" s="1438" t="s">
        <v>2261</v>
      </c>
      <c r="B3" s="1438"/>
      <c r="C3" s="1438"/>
      <c r="D3" s="1687"/>
      <c r="E3" s="1686"/>
      <c r="F3" s="1685"/>
      <c r="G3" s="1685"/>
      <c r="H3" s="1685"/>
      <c r="I3" s="1685"/>
      <c r="J3" s="1685"/>
    </row>
    <row r="4" spans="1:10" s="1439" customFormat="1" ht="14.4" customHeight="1">
      <c r="A4" s="1438" t="s">
        <v>2262</v>
      </c>
      <c r="B4" s="1438"/>
      <c r="C4" s="1438"/>
      <c r="D4" s="1687"/>
      <c r="E4" s="1686"/>
      <c r="F4" s="1685"/>
      <c r="G4" s="1685"/>
      <c r="H4" s="1685"/>
      <c r="I4" s="1685"/>
      <c r="J4" s="1685"/>
    </row>
    <row r="5" spans="1:10" ht="13.35" customHeight="1"/>
    <row r="6" spans="1:10" s="1444" customFormat="1" ht="12.15" customHeight="1">
      <c r="A6" s="1441" t="s">
        <v>690</v>
      </c>
      <c r="B6" s="1441" t="s">
        <v>689</v>
      </c>
      <c r="C6" s="1441" t="s">
        <v>773</v>
      </c>
      <c r="D6" s="1684" t="s">
        <v>2345</v>
      </c>
      <c r="E6" s="1683" t="s">
        <v>2053</v>
      </c>
      <c r="F6" s="1443">
        <v>46054</v>
      </c>
      <c r="G6" s="1443">
        <v>46082</v>
      </c>
      <c r="H6" s="1443">
        <v>46113</v>
      </c>
      <c r="I6" s="1443">
        <v>46143</v>
      </c>
      <c r="J6" s="1443">
        <v>46174</v>
      </c>
    </row>
    <row r="7" spans="1:10" ht="13.35" customHeight="1"/>
    <row r="8" spans="1:10" s="1444" customFormat="1" ht="12.15" customHeight="1">
      <c r="A8" s="1445" t="s">
        <v>2132</v>
      </c>
      <c r="B8" s="1445"/>
      <c r="C8" s="1445"/>
      <c r="D8" s="1678"/>
      <c r="E8" s="1677"/>
      <c r="F8" s="1676"/>
      <c r="G8" s="1676"/>
      <c r="H8" s="1676"/>
      <c r="I8" s="1676"/>
      <c r="J8" s="1676"/>
    </row>
    <row r="9" spans="1:10" ht="10.95" customHeight="1">
      <c r="A9" s="1446" t="s">
        <v>301</v>
      </c>
      <c r="B9" s="1447">
        <v>45888</v>
      </c>
      <c r="C9" s="1446" t="s">
        <v>1629</v>
      </c>
      <c r="D9" s="1675">
        <v>1427678.42</v>
      </c>
      <c r="E9" s="1670">
        <f>SUM(F9:J9)</f>
        <v>1427678.42</v>
      </c>
      <c r="F9" s="1674">
        <f>+D9</f>
        <v>1427678.42</v>
      </c>
      <c r="G9" s="1674"/>
      <c r="H9" s="1674"/>
      <c r="I9" s="1674"/>
      <c r="J9" s="1674"/>
    </row>
    <row r="10" spans="1:10" ht="10.95" customHeight="1">
      <c r="A10" s="1454" t="s">
        <v>2133</v>
      </c>
      <c r="B10" s="1454"/>
      <c r="C10" s="1454"/>
      <c r="D10" s="1668">
        <f t="shared" ref="D10:J10" si="0">D9</f>
        <v>1427678.42</v>
      </c>
      <c r="E10" s="1667">
        <f t="shared" si="0"/>
        <v>1427678.42</v>
      </c>
      <c r="F10" s="1666">
        <f t="shared" si="0"/>
        <v>1427678.42</v>
      </c>
      <c r="G10" s="1666">
        <f t="shared" si="0"/>
        <v>0</v>
      </c>
      <c r="H10" s="1666">
        <f t="shared" si="0"/>
        <v>0</v>
      </c>
      <c r="I10" s="1666">
        <f t="shared" si="0"/>
        <v>0</v>
      </c>
      <c r="J10" s="1666">
        <f t="shared" si="0"/>
        <v>0</v>
      </c>
    </row>
    <row r="11" spans="1:10" ht="13.35" customHeight="1"/>
    <row r="12" spans="1:10" s="1444" customFormat="1" ht="12.15" customHeight="1">
      <c r="A12" s="1445" t="s">
        <v>1030</v>
      </c>
      <c r="B12" s="1445"/>
      <c r="C12" s="1445"/>
      <c r="D12" s="1678"/>
      <c r="E12" s="1677"/>
      <c r="F12" s="1676"/>
      <c r="G12" s="1676"/>
      <c r="H12" s="1676"/>
      <c r="I12" s="1676"/>
      <c r="J12" s="1676"/>
    </row>
    <row r="13" spans="1:10" ht="10.95" customHeight="1">
      <c r="A13" s="1446" t="s">
        <v>1116</v>
      </c>
      <c r="B13" s="1447">
        <v>46038</v>
      </c>
      <c r="C13" s="1446" t="s">
        <v>2263</v>
      </c>
      <c r="D13" s="1675">
        <v>31106</v>
      </c>
      <c r="E13" s="1670">
        <f t="shared" ref="E13:E18" si="1">SUM(F13:J13)</f>
        <v>31106</v>
      </c>
      <c r="F13" s="1674">
        <f>+D13</f>
        <v>31106</v>
      </c>
      <c r="G13" s="1674"/>
      <c r="H13" s="1674"/>
      <c r="I13" s="1674"/>
      <c r="J13" s="1674"/>
    </row>
    <row r="14" spans="1:10" ht="10.95" customHeight="1">
      <c r="A14" s="1450" t="s">
        <v>1116</v>
      </c>
      <c r="B14" s="1451">
        <v>46044</v>
      </c>
      <c r="C14" s="1450" t="s">
        <v>2264</v>
      </c>
      <c r="D14" s="1680">
        <v>137000.22</v>
      </c>
      <c r="E14" s="1670">
        <f t="shared" si="1"/>
        <v>137000.22</v>
      </c>
      <c r="F14" s="1679">
        <f>+D14</f>
        <v>137000.22</v>
      </c>
      <c r="G14" s="1679"/>
      <c r="H14" s="1679"/>
      <c r="I14" s="1679"/>
      <c r="J14" s="1679"/>
    </row>
    <row r="15" spans="1:10" ht="10.95" customHeight="1">
      <c r="A15" s="1450" t="s">
        <v>2265</v>
      </c>
      <c r="B15" s="1451">
        <v>46044</v>
      </c>
      <c r="C15" s="1450" t="s">
        <v>2266</v>
      </c>
      <c r="D15" s="1680">
        <v>32487.33</v>
      </c>
      <c r="E15" s="1670">
        <f t="shared" si="1"/>
        <v>32487.33</v>
      </c>
      <c r="F15" s="1679">
        <f>+D15</f>
        <v>32487.33</v>
      </c>
      <c r="G15" s="1679"/>
      <c r="H15" s="1679"/>
      <c r="I15" s="1679"/>
      <c r="J15" s="1679"/>
    </row>
    <row r="16" spans="1:10" ht="10.95" customHeight="1">
      <c r="A16" s="1450" t="s">
        <v>2267</v>
      </c>
      <c r="B16" s="1451">
        <v>46049</v>
      </c>
      <c r="C16" s="1450" t="s">
        <v>2268</v>
      </c>
      <c r="D16" s="1680">
        <v>9147.36</v>
      </c>
      <c r="E16" s="1670">
        <f t="shared" si="1"/>
        <v>9147.36</v>
      </c>
      <c r="F16" s="1679">
        <f>+D16</f>
        <v>9147.36</v>
      </c>
      <c r="G16" s="1679"/>
      <c r="H16" s="1679"/>
      <c r="I16" s="1679"/>
      <c r="J16" s="1679"/>
    </row>
    <row r="17" spans="1:10" ht="10.199999999999999" customHeight="1">
      <c r="A17" s="1672" t="s">
        <v>2346</v>
      </c>
      <c r="B17" s="1673"/>
      <c r="C17" s="1672"/>
      <c r="D17" s="1671"/>
      <c r="E17" s="1670">
        <f t="shared" si="1"/>
        <v>24190000</v>
      </c>
      <c r="F17" s="1669">
        <v>5800000</v>
      </c>
      <c r="G17" s="1682">
        <v>690000</v>
      </c>
      <c r="H17" s="1682">
        <v>1900000</v>
      </c>
      <c r="I17" s="1682">
        <v>4600000</v>
      </c>
      <c r="J17" s="1682">
        <v>11200000</v>
      </c>
    </row>
    <row r="18" spans="1:10" ht="10.95" customHeight="1">
      <c r="A18" s="1672" t="s">
        <v>2054</v>
      </c>
      <c r="B18" s="1673"/>
      <c r="C18" s="1672"/>
      <c r="D18" s="1671"/>
      <c r="E18" s="1670">
        <f t="shared" si="1"/>
        <v>745768.59400000004</v>
      </c>
      <c r="F18" s="1669">
        <f>328842.97*0.2</f>
        <v>65768.593999999997</v>
      </c>
      <c r="G18" s="1682">
        <f>850000*0.2</f>
        <v>170000</v>
      </c>
      <c r="H18" s="1682">
        <f>850000*0.2</f>
        <v>170000</v>
      </c>
      <c r="I18" s="1682">
        <f>850000*0.2</f>
        <v>170000</v>
      </c>
      <c r="J18" s="1682">
        <f>850000*0.2</f>
        <v>170000</v>
      </c>
    </row>
    <row r="19" spans="1:10" ht="10.95" customHeight="1">
      <c r="A19" s="1454" t="s">
        <v>1831</v>
      </c>
      <c r="B19" s="1454"/>
      <c r="C19" s="1454"/>
      <c r="D19" s="1668">
        <f t="shared" ref="D19:J19" si="2">SUM(D13:D18)</f>
        <v>209740.90999999997</v>
      </c>
      <c r="E19" s="1667">
        <f t="shared" si="2"/>
        <v>25145509.504000001</v>
      </c>
      <c r="F19" s="1666">
        <f t="shared" si="2"/>
        <v>6075509.5039999997</v>
      </c>
      <c r="G19" s="1666">
        <f t="shared" si="2"/>
        <v>860000</v>
      </c>
      <c r="H19" s="1666">
        <f t="shared" si="2"/>
        <v>2070000</v>
      </c>
      <c r="I19" s="1666">
        <f t="shared" si="2"/>
        <v>4770000</v>
      </c>
      <c r="J19" s="1666">
        <f t="shared" si="2"/>
        <v>11370000</v>
      </c>
    </row>
    <row r="20" spans="1:10" ht="13.35" customHeight="1"/>
    <row r="21" spans="1:10" s="1444" customFormat="1" ht="12.15" customHeight="1">
      <c r="A21" s="1445" t="s">
        <v>2056</v>
      </c>
      <c r="B21" s="1445"/>
      <c r="C21" s="1445"/>
      <c r="D21" s="1678"/>
      <c r="E21" s="1677"/>
      <c r="F21" s="1676"/>
      <c r="G21" s="1676"/>
      <c r="H21" s="1676"/>
      <c r="I21" s="1676"/>
      <c r="J21" s="1676"/>
    </row>
    <row r="22" spans="1:10" ht="10.95" customHeight="1">
      <c r="A22" s="1446" t="s">
        <v>1116</v>
      </c>
      <c r="B22" s="1447">
        <v>46031</v>
      </c>
      <c r="C22" s="1446" t="s">
        <v>2269</v>
      </c>
      <c r="D22" s="1675">
        <v>103863.8</v>
      </c>
      <c r="E22" s="1670">
        <f t="shared" ref="E22:E43" si="3">SUM(F22:J22)</f>
        <v>103863.8</v>
      </c>
      <c r="F22" s="1674">
        <f t="shared" ref="F22:F41" si="4">+D22</f>
        <v>103863.8</v>
      </c>
      <c r="G22" s="1674"/>
      <c r="H22" s="1674"/>
      <c r="I22" s="1674"/>
      <c r="J22" s="1674"/>
    </row>
    <row r="23" spans="1:10" ht="10.95" customHeight="1">
      <c r="A23" s="1450" t="s">
        <v>1116</v>
      </c>
      <c r="B23" s="1451">
        <v>46035</v>
      </c>
      <c r="C23" s="1450" t="s">
        <v>2270</v>
      </c>
      <c r="D23" s="1680">
        <v>16734.400000000001</v>
      </c>
      <c r="E23" s="1670">
        <f t="shared" si="3"/>
        <v>16734.400000000001</v>
      </c>
      <c r="F23" s="1674">
        <f t="shared" si="4"/>
        <v>16734.400000000001</v>
      </c>
      <c r="G23" s="1679"/>
      <c r="H23" s="1679"/>
      <c r="I23" s="1679"/>
      <c r="J23" s="1679"/>
    </row>
    <row r="24" spans="1:10" ht="10.95" customHeight="1">
      <c r="A24" s="1450" t="s">
        <v>1116</v>
      </c>
      <c r="B24" s="1451">
        <v>46038</v>
      </c>
      <c r="C24" s="1450" t="s">
        <v>2271</v>
      </c>
      <c r="D24" s="1680">
        <v>217.32</v>
      </c>
      <c r="E24" s="1670">
        <f t="shared" si="3"/>
        <v>217.32</v>
      </c>
      <c r="F24" s="1674">
        <f t="shared" si="4"/>
        <v>217.32</v>
      </c>
      <c r="G24" s="1679"/>
      <c r="H24" s="1679"/>
      <c r="I24" s="1679"/>
      <c r="J24" s="1679"/>
    </row>
    <row r="25" spans="1:10" ht="10.95" customHeight="1">
      <c r="A25" s="1450" t="s">
        <v>1084</v>
      </c>
      <c r="B25" s="1451">
        <v>46038</v>
      </c>
      <c r="C25" s="1450" t="s">
        <v>2272</v>
      </c>
      <c r="D25" s="1680">
        <v>11759</v>
      </c>
      <c r="E25" s="1670">
        <f t="shared" si="3"/>
        <v>11759</v>
      </c>
      <c r="F25" s="1674">
        <f t="shared" si="4"/>
        <v>11759</v>
      </c>
      <c r="G25" s="1679"/>
      <c r="H25" s="1679"/>
      <c r="I25" s="1679"/>
      <c r="J25" s="1679"/>
    </row>
    <row r="26" spans="1:10" ht="10.95" customHeight="1">
      <c r="A26" s="1446" t="s">
        <v>1116</v>
      </c>
      <c r="B26" s="1447">
        <v>46038</v>
      </c>
      <c r="C26" s="1446" t="s">
        <v>2263</v>
      </c>
      <c r="D26" s="1675">
        <v>192803</v>
      </c>
      <c r="E26" s="1670">
        <f t="shared" si="3"/>
        <v>192803</v>
      </c>
      <c r="F26" s="1674">
        <f t="shared" si="4"/>
        <v>192803</v>
      </c>
      <c r="G26" s="1674"/>
      <c r="H26" s="1674"/>
      <c r="I26" s="1674"/>
      <c r="J26" s="1674"/>
    </row>
    <row r="27" spans="1:10" ht="10.95" customHeight="1">
      <c r="A27" s="1450" t="s">
        <v>1116</v>
      </c>
      <c r="B27" s="1451">
        <v>46044</v>
      </c>
      <c r="C27" s="1450" t="s">
        <v>2264</v>
      </c>
      <c r="D27" s="1680">
        <v>549001.36</v>
      </c>
      <c r="E27" s="1670">
        <f t="shared" si="3"/>
        <v>549001.36</v>
      </c>
      <c r="F27" s="1674">
        <f t="shared" si="4"/>
        <v>549001.36</v>
      </c>
      <c r="G27" s="1679"/>
      <c r="H27" s="1679"/>
      <c r="I27" s="1679"/>
      <c r="J27" s="1679"/>
    </row>
    <row r="28" spans="1:10" ht="10.95" customHeight="1">
      <c r="A28" s="1450" t="s">
        <v>2265</v>
      </c>
      <c r="B28" s="1451">
        <v>46044</v>
      </c>
      <c r="C28" s="1450" t="s">
        <v>2266</v>
      </c>
      <c r="D28" s="1680">
        <v>81218.34</v>
      </c>
      <c r="E28" s="1670">
        <f t="shared" si="3"/>
        <v>81218.34</v>
      </c>
      <c r="F28" s="1674">
        <f t="shared" si="4"/>
        <v>81218.34</v>
      </c>
      <c r="G28" s="1679"/>
      <c r="H28" s="1679"/>
      <c r="I28" s="1679"/>
      <c r="J28" s="1679"/>
    </row>
    <row r="29" spans="1:10" ht="10.95" customHeight="1">
      <c r="A29" s="1450" t="s">
        <v>2267</v>
      </c>
      <c r="B29" s="1451">
        <v>46049</v>
      </c>
      <c r="C29" s="1450" t="s">
        <v>2268</v>
      </c>
      <c r="D29" s="1680">
        <v>14124.6</v>
      </c>
      <c r="E29" s="1670">
        <f t="shared" si="3"/>
        <v>14124.6</v>
      </c>
      <c r="F29" s="1674">
        <f t="shared" si="4"/>
        <v>14124.6</v>
      </c>
      <c r="G29" s="1679"/>
      <c r="H29" s="1679"/>
      <c r="I29" s="1679"/>
      <c r="J29" s="1679"/>
    </row>
    <row r="30" spans="1:10" ht="10.95" customHeight="1">
      <c r="A30" s="1450" t="s">
        <v>1116</v>
      </c>
      <c r="B30" s="1451">
        <v>46042</v>
      </c>
      <c r="C30" s="1450" t="s">
        <v>2273</v>
      </c>
      <c r="D30" s="1680">
        <v>19398.099999999999</v>
      </c>
      <c r="E30" s="1670">
        <f t="shared" si="3"/>
        <v>19398.099999999999</v>
      </c>
      <c r="F30" s="1674">
        <f t="shared" si="4"/>
        <v>19398.099999999999</v>
      </c>
      <c r="G30" s="1679"/>
      <c r="H30" s="1679"/>
      <c r="I30" s="1679"/>
      <c r="J30" s="1679"/>
    </row>
    <row r="31" spans="1:10" ht="10.95" customHeight="1">
      <c r="A31" s="1450" t="s">
        <v>1116</v>
      </c>
      <c r="B31" s="1451">
        <v>46042</v>
      </c>
      <c r="C31" s="1450" t="s">
        <v>2274</v>
      </c>
      <c r="D31" s="1680">
        <v>3320</v>
      </c>
      <c r="E31" s="1670">
        <f t="shared" si="3"/>
        <v>3320</v>
      </c>
      <c r="F31" s="1674">
        <f t="shared" si="4"/>
        <v>3320</v>
      </c>
      <c r="G31" s="1679"/>
      <c r="H31" s="1679"/>
      <c r="I31" s="1679"/>
      <c r="J31" s="1679"/>
    </row>
    <row r="32" spans="1:10" ht="10.95" customHeight="1">
      <c r="A32" s="1450" t="s">
        <v>2275</v>
      </c>
      <c r="B32" s="1451">
        <v>46042</v>
      </c>
      <c r="C32" s="1450" t="s">
        <v>2276</v>
      </c>
      <c r="D32" s="1680">
        <v>455020.98</v>
      </c>
      <c r="E32" s="1670">
        <f t="shared" si="3"/>
        <v>455020.98</v>
      </c>
      <c r="F32" s="1674">
        <f t="shared" si="4"/>
        <v>455020.98</v>
      </c>
      <c r="G32" s="1679"/>
      <c r="H32" s="1679"/>
      <c r="I32" s="1679"/>
      <c r="J32" s="1679"/>
    </row>
    <row r="33" spans="1:10" ht="10.95" customHeight="1">
      <c r="A33" s="1450" t="s">
        <v>2277</v>
      </c>
      <c r="B33" s="1451">
        <v>46042</v>
      </c>
      <c r="C33" s="1450" t="s">
        <v>2278</v>
      </c>
      <c r="D33" s="1680">
        <v>80240</v>
      </c>
      <c r="E33" s="1670">
        <f t="shared" si="3"/>
        <v>80240</v>
      </c>
      <c r="F33" s="1674">
        <f t="shared" si="4"/>
        <v>80240</v>
      </c>
      <c r="G33" s="1679"/>
      <c r="H33" s="1679"/>
      <c r="I33" s="1679"/>
      <c r="J33" s="1679"/>
    </row>
    <row r="34" spans="1:10" ht="10.95" customHeight="1">
      <c r="A34" s="1450" t="s">
        <v>1116</v>
      </c>
      <c r="B34" s="1451">
        <v>46050</v>
      </c>
      <c r="C34" s="1450" t="s">
        <v>2279</v>
      </c>
      <c r="D34" s="1680">
        <v>790.59</v>
      </c>
      <c r="E34" s="1670">
        <f t="shared" si="3"/>
        <v>790.59</v>
      </c>
      <c r="F34" s="1674">
        <f t="shared" si="4"/>
        <v>790.59</v>
      </c>
      <c r="G34" s="1679"/>
      <c r="H34" s="1679"/>
      <c r="I34" s="1679"/>
      <c r="J34" s="1679"/>
    </row>
    <row r="35" spans="1:10" ht="10.95" customHeight="1">
      <c r="A35" s="1450" t="s">
        <v>2280</v>
      </c>
      <c r="B35" s="1451">
        <v>46051</v>
      </c>
      <c r="C35" s="1450" t="s">
        <v>2281</v>
      </c>
      <c r="D35" s="1680">
        <v>49560</v>
      </c>
      <c r="E35" s="1670">
        <f t="shared" si="3"/>
        <v>49560</v>
      </c>
      <c r="F35" s="1674">
        <f t="shared" si="4"/>
        <v>49560</v>
      </c>
      <c r="G35" s="1679"/>
      <c r="H35" s="1679"/>
      <c r="I35" s="1679"/>
      <c r="J35" s="1679"/>
    </row>
    <row r="36" spans="1:10" ht="10.95" customHeight="1">
      <c r="A36" s="1450" t="s">
        <v>2220</v>
      </c>
      <c r="B36" s="1451">
        <v>46051</v>
      </c>
      <c r="C36" s="1450" t="s">
        <v>2282</v>
      </c>
      <c r="D36" s="1680">
        <v>23425.1</v>
      </c>
      <c r="E36" s="1670">
        <f t="shared" si="3"/>
        <v>23425.1</v>
      </c>
      <c r="F36" s="1674">
        <f t="shared" si="4"/>
        <v>23425.1</v>
      </c>
      <c r="G36" s="1679"/>
      <c r="H36" s="1679"/>
      <c r="I36" s="1679"/>
      <c r="J36" s="1679"/>
    </row>
    <row r="37" spans="1:10" ht="10.95" customHeight="1">
      <c r="A37" s="1450" t="s">
        <v>1116</v>
      </c>
      <c r="B37" s="1451">
        <v>46052</v>
      </c>
      <c r="C37" s="1450" t="s">
        <v>2283</v>
      </c>
      <c r="D37" s="1680">
        <v>45592.49</v>
      </c>
      <c r="E37" s="1670">
        <f t="shared" si="3"/>
        <v>45592.49</v>
      </c>
      <c r="F37" s="1674">
        <f t="shared" si="4"/>
        <v>45592.49</v>
      </c>
      <c r="G37" s="1679"/>
      <c r="H37" s="1679"/>
      <c r="I37" s="1679"/>
      <c r="J37" s="1679"/>
    </row>
    <row r="38" spans="1:10" ht="10.95" customHeight="1">
      <c r="A38" s="1450" t="s">
        <v>1116</v>
      </c>
      <c r="B38" s="1451">
        <v>46052</v>
      </c>
      <c r="C38" s="1450" t="s">
        <v>2284</v>
      </c>
      <c r="D38" s="1680">
        <v>2240.1999999999998</v>
      </c>
      <c r="E38" s="1670">
        <f t="shared" si="3"/>
        <v>2240.1999999999998</v>
      </c>
      <c r="F38" s="1674">
        <f t="shared" si="4"/>
        <v>2240.1999999999998</v>
      </c>
      <c r="G38" s="1679"/>
      <c r="H38" s="1679"/>
      <c r="I38" s="1679"/>
      <c r="J38" s="1679"/>
    </row>
    <row r="39" spans="1:10" ht="10.95" customHeight="1">
      <c r="A39" s="1450" t="s">
        <v>1116</v>
      </c>
      <c r="B39" s="1451">
        <v>46052</v>
      </c>
      <c r="C39" s="1450" t="s">
        <v>2285</v>
      </c>
      <c r="D39" s="1680">
        <v>66195.34</v>
      </c>
      <c r="E39" s="1670">
        <f t="shared" si="3"/>
        <v>66195.34</v>
      </c>
      <c r="F39" s="1674">
        <f t="shared" si="4"/>
        <v>66195.34</v>
      </c>
      <c r="G39" s="1679"/>
      <c r="H39" s="1679"/>
      <c r="I39" s="1679"/>
      <c r="J39" s="1679"/>
    </row>
    <row r="40" spans="1:10" ht="10.95" customHeight="1">
      <c r="A40" s="1450" t="s">
        <v>1116</v>
      </c>
      <c r="B40" s="1451">
        <v>46052</v>
      </c>
      <c r="C40" s="1450" t="s">
        <v>2286</v>
      </c>
      <c r="D40" s="1680">
        <v>5800</v>
      </c>
      <c r="E40" s="1670">
        <f t="shared" si="3"/>
        <v>5800</v>
      </c>
      <c r="F40" s="1674">
        <f t="shared" si="4"/>
        <v>5800</v>
      </c>
      <c r="G40" s="1679"/>
      <c r="H40" s="1679"/>
      <c r="I40" s="1679"/>
      <c r="J40" s="1679"/>
    </row>
    <row r="41" spans="1:10" ht="10.95" customHeight="1">
      <c r="A41" s="1450" t="s">
        <v>2210</v>
      </c>
      <c r="B41" s="1451">
        <v>46053</v>
      </c>
      <c r="C41" s="1450" t="s">
        <v>2287</v>
      </c>
      <c r="D41" s="1680">
        <v>5035.13</v>
      </c>
      <c r="E41" s="1670">
        <f t="shared" si="3"/>
        <v>5035.13</v>
      </c>
      <c r="F41" s="1674">
        <f t="shared" si="4"/>
        <v>5035.13</v>
      </c>
      <c r="G41" s="1679"/>
      <c r="H41" s="1679"/>
      <c r="I41" s="1679"/>
      <c r="J41" s="1679"/>
    </row>
    <row r="42" spans="1:10" ht="10.95" customHeight="1">
      <c r="A42" s="1672" t="s">
        <v>2346</v>
      </c>
      <c r="B42" s="1673"/>
      <c r="C42" s="1672"/>
      <c r="D42" s="1671"/>
      <c r="E42" s="1670">
        <f t="shared" si="3"/>
        <v>151350000</v>
      </c>
      <c r="F42" s="1669">
        <v>3850000</v>
      </c>
      <c r="G42" s="1682">
        <v>12100000</v>
      </c>
      <c r="H42" s="1682">
        <v>29200000</v>
      </c>
      <c r="I42" s="1682">
        <v>38100000</v>
      </c>
      <c r="J42" s="1682">
        <v>68100000</v>
      </c>
    </row>
    <row r="43" spans="1:10" ht="10.95" customHeight="1">
      <c r="A43" s="1672" t="s">
        <v>2054</v>
      </c>
      <c r="B43" s="1673"/>
      <c r="C43" s="1672"/>
      <c r="D43" s="1671"/>
      <c r="E43" s="1670">
        <f t="shared" si="3"/>
        <v>2983074.3760000002</v>
      </c>
      <c r="F43" s="1669">
        <f>328842.97*0.8</f>
        <v>263074.37599999999</v>
      </c>
      <c r="G43" s="1682">
        <f>850000*0.8</f>
        <v>680000</v>
      </c>
      <c r="H43" s="1682">
        <f>850000*0.8</f>
        <v>680000</v>
      </c>
      <c r="I43" s="1682">
        <f>850000*0.8</f>
        <v>680000</v>
      </c>
      <c r="J43" s="1682">
        <f>850000*0.8</f>
        <v>680000</v>
      </c>
    </row>
    <row r="44" spans="1:10" ht="10.95" customHeight="1">
      <c r="A44" s="1454" t="s">
        <v>2057</v>
      </c>
      <c r="B44" s="1454"/>
      <c r="C44" s="1454"/>
      <c r="D44" s="1668">
        <f t="shared" ref="D44:J44" si="5">SUM(D22:D43)</f>
        <v>1726339.75</v>
      </c>
      <c r="E44" s="1667">
        <f t="shared" si="5"/>
        <v>156059414.12599999</v>
      </c>
      <c r="F44" s="1666">
        <f t="shared" si="5"/>
        <v>5839414.1260000002</v>
      </c>
      <c r="G44" s="1666">
        <f t="shared" si="5"/>
        <v>12780000</v>
      </c>
      <c r="H44" s="1666">
        <f t="shared" si="5"/>
        <v>29880000</v>
      </c>
      <c r="I44" s="1666">
        <f t="shared" si="5"/>
        <v>38780000</v>
      </c>
      <c r="J44" s="1666">
        <f t="shared" si="5"/>
        <v>68780000</v>
      </c>
    </row>
    <row r="45" spans="1:10" ht="13.35" customHeight="1"/>
    <row r="46" spans="1:10" s="1444" customFormat="1" ht="12.15" customHeight="1">
      <c r="A46" s="1445" t="s">
        <v>1036</v>
      </c>
      <c r="B46" s="1445"/>
      <c r="C46" s="1445"/>
      <c r="D46" s="1678"/>
      <c r="E46" s="1677"/>
      <c r="F46" s="1676"/>
      <c r="G46" s="1676"/>
      <c r="H46" s="1676"/>
      <c r="I46" s="1676"/>
      <c r="J46" s="1676"/>
    </row>
    <row r="47" spans="1:10" ht="10.95" customHeight="1">
      <c r="A47" s="1672" t="s">
        <v>2347</v>
      </c>
      <c r="B47" s="1673"/>
      <c r="C47" s="1672"/>
      <c r="D47" s="1671"/>
      <c r="E47" s="1670">
        <f>SUM(F47:J47)</f>
        <v>11800000</v>
      </c>
      <c r="F47" s="1669">
        <v>2360000</v>
      </c>
      <c r="G47" s="1669">
        <v>2360000</v>
      </c>
      <c r="H47" s="1669">
        <v>2360000</v>
      </c>
      <c r="I47" s="1669">
        <v>2360000</v>
      </c>
      <c r="J47" s="1669">
        <v>2360000</v>
      </c>
    </row>
    <row r="48" spans="1:10" ht="10.95" customHeight="1">
      <c r="A48" s="1454" t="s">
        <v>2348</v>
      </c>
      <c r="B48" s="1454"/>
      <c r="C48" s="1454"/>
      <c r="D48" s="1681">
        <f t="shared" ref="D48:J48" si="6">SUM(D47:D47)</f>
        <v>0</v>
      </c>
      <c r="E48" s="1667">
        <f t="shared" si="6"/>
        <v>11800000</v>
      </c>
      <c r="F48" s="1666">
        <f t="shared" si="6"/>
        <v>2360000</v>
      </c>
      <c r="G48" s="1666">
        <f t="shared" si="6"/>
        <v>2360000</v>
      </c>
      <c r="H48" s="1666">
        <f t="shared" si="6"/>
        <v>2360000</v>
      </c>
      <c r="I48" s="1666">
        <f t="shared" si="6"/>
        <v>2360000</v>
      </c>
      <c r="J48" s="1666">
        <f t="shared" si="6"/>
        <v>2360000</v>
      </c>
    </row>
    <row r="50" spans="1:10" s="1444" customFormat="1" ht="12.15" customHeight="1">
      <c r="A50" s="1445" t="s">
        <v>2288</v>
      </c>
      <c r="B50" s="1445"/>
      <c r="C50" s="1445"/>
      <c r="D50" s="1678"/>
      <c r="E50" s="1677"/>
      <c r="F50" s="1676"/>
      <c r="G50" s="1676"/>
      <c r="H50" s="1676"/>
      <c r="I50" s="1676"/>
      <c r="J50" s="1676"/>
    </row>
    <row r="51" spans="1:10" ht="10.95" customHeight="1">
      <c r="A51" s="1446" t="s">
        <v>2289</v>
      </c>
      <c r="B51" s="1447">
        <v>46028</v>
      </c>
      <c r="C51" s="1446" t="s">
        <v>2290</v>
      </c>
      <c r="D51" s="1675">
        <v>8080.64</v>
      </c>
      <c r="E51" s="1670">
        <f>SUM(F51:J51)</f>
        <v>16186.53</v>
      </c>
      <c r="F51" s="1674">
        <f>+D51+8105.89</f>
        <v>16186.53</v>
      </c>
      <c r="G51" s="1674"/>
      <c r="H51" s="1674"/>
      <c r="I51" s="1674"/>
      <c r="J51" s="1674"/>
    </row>
    <row r="52" spans="1:10" ht="10.95" customHeight="1">
      <c r="A52" s="1672" t="s">
        <v>2349</v>
      </c>
      <c r="B52" s="1673"/>
      <c r="C52" s="1672"/>
      <c r="D52" s="1671"/>
      <c r="E52" s="1670">
        <f>SUM(F52:J52)</f>
        <v>4750000</v>
      </c>
      <c r="F52" s="1669">
        <f>1650000+500000</f>
        <v>2150000</v>
      </c>
      <c r="G52" s="1669">
        <v>650000</v>
      </c>
      <c r="H52" s="1669">
        <v>650000</v>
      </c>
      <c r="I52" s="1669">
        <v>650000</v>
      </c>
      <c r="J52" s="1669">
        <v>650000</v>
      </c>
    </row>
    <row r="53" spans="1:10" ht="10.95" customHeight="1">
      <c r="A53" s="1454" t="s">
        <v>2141</v>
      </c>
      <c r="B53" s="1454"/>
      <c r="C53" s="1454"/>
      <c r="D53" s="1668">
        <f t="shared" ref="D53:J53" si="7">SUM(D51:D52)</f>
        <v>8080.64</v>
      </c>
      <c r="E53" s="1667">
        <f t="shared" si="7"/>
        <v>4766186.53</v>
      </c>
      <c r="F53" s="1666">
        <f t="shared" si="7"/>
        <v>2166186.5299999998</v>
      </c>
      <c r="G53" s="1666">
        <f t="shared" si="7"/>
        <v>650000</v>
      </c>
      <c r="H53" s="1666">
        <f t="shared" si="7"/>
        <v>650000</v>
      </c>
      <c r="I53" s="1666">
        <f t="shared" si="7"/>
        <v>650000</v>
      </c>
      <c r="J53" s="1666">
        <f t="shared" si="7"/>
        <v>650000</v>
      </c>
    </row>
    <row r="54" spans="1:10" ht="13.35" customHeight="1"/>
    <row r="55" spans="1:10" s="1444" customFormat="1" ht="12.15" customHeight="1">
      <c r="A55" s="1445" t="s">
        <v>1308</v>
      </c>
      <c r="B55" s="1445"/>
      <c r="C55" s="1445"/>
      <c r="D55" s="1678"/>
      <c r="E55" s="1677"/>
      <c r="F55" s="1676"/>
      <c r="G55" s="1676"/>
      <c r="H55" s="1676"/>
      <c r="I55" s="1676"/>
      <c r="J55" s="1676"/>
    </row>
    <row r="56" spans="1:10" ht="10.95" customHeight="1">
      <c r="A56" s="1446" t="s">
        <v>1045</v>
      </c>
      <c r="B56" s="1447">
        <v>46022</v>
      </c>
      <c r="C56" s="1446" t="s">
        <v>2223</v>
      </c>
      <c r="D56" s="1675">
        <v>92700.800000000003</v>
      </c>
      <c r="E56" s="1670">
        <f>SUM(F56:J56)</f>
        <v>92700.800000000003</v>
      </c>
      <c r="F56" s="1674">
        <f>+D56</f>
        <v>92700.800000000003</v>
      </c>
      <c r="G56" s="1674"/>
      <c r="H56" s="1674"/>
      <c r="I56" s="1674"/>
      <c r="J56" s="1674"/>
    </row>
    <row r="57" spans="1:10" ht="10.95" customHeight="1">
      <c r="A57" s="1450" t="s">
        <v>1045</v>
      </c>
      <c r="B57" s="1451">
        <v>46053</v>
      </c>
      <c r="C57" s="1450" t="s">
        <v>2291</v>
      </c>
      <c r="D57" s="1680">
        <v>94777.600000000006</v>
      </c>
      <c r="E57" s="1670">
        <f>SUM(F57:J57)</f>
        <v>94777.600000000006</v>
      </c>
      <c r="F57" s="1674">
        <f>+D57</f>
        <v>94777.600000000006</v>
      </c>
      <c r="G57" s="1679"/>
      <c r="H57" s="1679"/>
      <c r="I57" s="1679"/>
      <c r="J57" s="1679"/>
    </row>
    <row r="58" spans="1:10" ht="10.95" customHeight="1">
      <c r="A58" s="1672" t="s">
        <v>1045</v>
      </c>
      <c r="B58" s="1673"/>
      <c r="C58" s="1672"/>
      <c r="D58" s="1671"/>
      <c r="E58" s="1670">
        <f>SUM(F58:J58)</f>
        <v>400000</v>
      </c>
      <c r="F58" s="1669"/>
      <c r="G58" s="1682">
        <v>100000</v>
      </c>
      <c r="H58" s="1682">
        <v>100000</v>
      </c>
      <c r="I58" s="1682">
        <v>100000</v>
      </c>
      <c r="J58" s="1682">
        <v>100000</v>
      </c>
    </row>
    <row r="59" spans="1:10" ht="10.95" customHeight="1">
      <c r="A59" s="1454" t="s">
        <v>1835</v>
      </c>
      <c r="B59" s="1454"/>
      <c r="C59" s="1454"/>
      <c r="D59" s="1668">
        <f t="shared" ref="D59:J59" si="8">SUM(D56:D58)</f>
        <v>187478.40000000002</v>
      </c>
      <c r="E59" s="1667">
        <f t="shared" si="8"/>
        <v>587478.4</v>
      </c>
      <c r="F59" s="1666">
        <f t="shared" si="8"/>
        <v>187478.40000000002</v>
      </c>
      <c r="G59" s="1666">
        <f t="shared" si="8"/>
        <v>100000</v>
      </c>
      <c r="H59" s="1666">
        <f t="shared" si="8"/>
        <v>100000</v>
      </c>
      <c r="I59" s="1666">
        <f t="shared" si="8"/>
        <v>100000</v>
      </c>
      <c r="J59" s="1666">
        <f t="shared" si="8"/>
        <v>100000</v>
      </c>
    </row>
    <row r="60" spans="1:10" ht="13.35" customHeight="1"/>
    <row r="61" spans="1:10" s="1444" customFormat="1" ht="12.15" customHeight="1">
      <c r="A61" s="1445" t="s">
        <v>2022</v>
      </c>
      <c r="B61" s="1445"/>
      <c r="C61" s="1445"/>
      <c r="D61" s="1678"/>
      <c r="E61" s="1677"/>
      <c r="F61" s="1676"/>
      <c r="G61" s="1676"/>
      <c r="H61" s="1676"/>
      <c r="I61" s="1676"/>
      <c r="J61" s="1676"/>
    </row>
    <row r="62" spans="1:10" ht="10.95" customHeight="1">
      <c r="A62" s="1446" t="s">
        <v>2023</v>
      </c>
      <c r="B62" s="1447">
        <v>46051</v>
      </c>
      <c r="C62" s="1446" t="s">
        <v>2292</v>
      </c>
      <c r="D62" s="1675">
        <v>506964.3</v>
      </c>
      <c r="E62" s="1670">
        <f>SUM(F62:J62)</f>
        <v>506964.3</v>
      </c>
      <c r="F62" s="1674">
        <f>+D62</f>
        <v>506964.3</v>
      </c>
      <c r="G62" s="1674"/>
      <c r="H62" s="1674"/>
      <c r="I62" s="1674"/>
      <c r="J62" s="1674"/>
    </row>
    <row r="63" spans="1:10" ht="10.95" customHeight="1">
      <c r="A63" s="1672" t="s">
        <v>2023</v>
      </c>
      <c r="B63" s="1673"/>
      <c r="C63" s="1672"/>
      <c r="D63" s="1671"/>
      <c r="E63" s="1670">
        <f>SUM(F63:J63)</f>
        <v>2027857.2</v>
      </c>
      <c r="F63" s="1669"/>
      <c r="G63" s="1682">
        <v>506964.3</v>
      </c>
      <c r="H63" s="1682">
        <v>506964.3</v>
      </c>
      <c r="I63" s="1682">
        <v>506964.3</v>
      </c>
      <c r="J63" s="1682">
        <v>506964.3</v>
      </c>
    </row>
    <row r="64" spans="1:10" ht="10.95" customHeight="1">
      <c r="A64" s="1454" t="s">
        <v>2024</v>
      </c>
      <c r="B64" s="1454"/>
      <c r="C64" s="1454"/>
      <c r="D64" s="1668">
        <f t="shared" ref="D64:J64" si="9">SUM(D62:D63)</f>
        <v>506964.3</v>
      </c>
      <c r="E64" s="1667">
        <f t="shared" si="9"/>
        <v>2534821.5</v>
      </c>
      <c r="F64" s="1666">
        <f t="shared" si="9"/>
        <v>506964.3</v>
      </c>
      <c r="G64" s="1666">
        <f t="shared" si="9"/>
        <v>506964.3</v>
      </c>
      <c r="H64" s="1666">
        <f t="shared" si="9"/>
        <v>506964.3</v>
      </c>
      <c r="I64" s="1666">
        <f t="shared" si="9"/>
        <v>506964.3</v>
      </c>
      <c r="J64" s="1666">
        <f t="shared" si="9"/>
        <v>506964.3</v>
      </c>
    </row>
    <row r="66" spans="1:10" s="1444" customFormat="1" ht="12.15" customHeight="1">
      <c r="A66" s="1445" t="s">
        <v>1836</v>
      </c>
      <c r="B66" s="1445"/>
      <c r="C66" s="1445"/>
      <c r="D66" s="1678"/>
      <c r="E66" s="1677"/>
      <c r="F66" s="1676"/>
      <c r="G66" s="1676"/>
      <c r="H66" s="1676"/>
      <c r="I66" s="1676"/>
      <c r="J66" s="1676"/>
    </row>
    <row r="67" spans="1:10" ht="10.95" customHeight="1">
      <c r="A67" s="1672" t="s">
        <v>295</v>
      </c>
      <c r="B67" s="1673"/>
      <c r="C67" s="1672"/>
      <c r="D67" s="1671"/>
      <c r="E67" s="1670">
        <v>8850000</v>
      </c>
      <c r="F67" s="1669">
        <v>1770000</v>
      </c>
      <c r="G67" s="1669">
        <v>1770000</v>
      </c>
      <c r="H67" s="1669">
        <v>1770000</v>
      </c>
      <c r="I67" s="1669">
        <v>1770000</v>
      </c>
      <c r="J67" s="1669">
        <v>1770000</v>
      </c>
    </row>
    <row r="68" spans="1:10" ht="10.95" customHeight="1">
      <c r="A68" s="1454" t="s">
        <v>1838</v>
      </c>
      <c r="B68" s="1454"/>
      <c r="C68" s="1454"/>
      <c r="D68" s="1681">
        <f t="shared" ref="D68:J68" si="10">SUM(D67)</f>
        <v>0</v>
      </c>
      <c r="E68" s="1667">
        <f t="shared" si="10"/>
        <v>8850000</v>
      </c>
      <c r="F68" s="1666">
        <f t="shared" si="10"/>
        <v>1770000</v>
      </c>
      <c r="G68" s="1666">
        <f t="shared" si="10"/>
        <v>1770000</v>
      </c>
      <c r="H68" s="1666">
        <f t="shared" si="10"/>
        <v>1770000</v>
      </c>
      <c r="I68" s="1666">
        <f t="shared" si="10"/>
        <v>1770000</v>
      </c>
      <c r="J68" s="1666">
        <f t="shared" si="10"/>
        <v>1770000</v>
      </c>
    </row>
    <row r="69" spans="1:10" ht="13.35" customHeight="1"/>
    <row r="70" spans="1:10" s="1444" customFormat="1" ht="12.15" customHeight="1">
      <c r="A70" s="1445" t="s">
        <v>1475</v>
      </c>
      <c r="B70" s="1445"/>
      <c r="C70" s="1445"/>
      <c r="D70" s="1678"/>
      <c r="E70" s="1677"/>
      <c r="F70" s="1676"/>
      <c r="G70" s="1676"/>
      <c r="H70" s="1676"/>
      <c r="I70" s="1676"/>
      <c r="J70" s="1676"/>
    </row>
    <row r="71" spans="1:10" ht="10.95" customHeight="1">
      <c r="A71" s="1446" t="s">
        <v>914</v>
      </c>
      <c r="B71" s="1447">
        <v>46034</v>
      </c>
      <c r="C71" s="1446" t="s">
        <v>2293</v>
      </c>
      <c r="D71" s="1675">
        <v>1557830.38</v>
      </c>
      <c r="E71" s="1670">
        <f>SUM(F71:J71)</f>
        <v>1557830.38</v>
      </c>
      <c r="F71" s="1674">
        <f>+D71</f>
        <v>1557830.38</v>
      </c>
      <c r="G71" s="1674"/>
      <c r="H71" s="1674"/>
      <c r="I71" s="1674"/>
      <c r="J71" s="1674"/>
    </row>
    <row r="72" spans="1:10" ht="10.95" customHeight="1">
      <c r="A72" s="1450" t="s">
        <v>1569</v>
      </c>
      <c r="B72" s="1451">
        <v>46037</v>
      </c>
      <c r="C72" s="1450" t="s">
        <v>2294</v>
      </c>
      <c r="D72" s="1680">
        <v>805585.19</v>
      </c>
      <c r="E72" s="1670">
        <f>SUM(F72:J72)</f>
        <v>805585.19</v>
      </c>
      <c r="F72" s="1674">
        <f>+D72</f>
        <v>805585.19</v>
      </c>
      <c r="G72" s="1679"/>
      <c r="H72" s="1679"/>
      <c r="I72" s="1679"/>
      <c r="J72" s="1679"/>
    </row>
    <row r="73" spans="1:10" ht="10.95" customHeight="1">
      <c r="A73" s="1450" t="s">
        <v>1569</v>
      </c>
      <c r="B73" s="1451">
        <v>46050</v>
      </c>
      <c r="C73" s="1450" t="s">
        <v>2295</v>
      </c>
      <c r="D73" s="1680">
        <v>757477.21</v>
      </c>
      <c r="E73" s="1670">
        <f>SUM(F73:J73)</f>
        <v>757477.21</v>
      </c>
      <c r="F73" s="1674">
        <f>+D73</f>
        <v>757477.21</v>
      </c>
      <c r="G73" s="1679"/>
      <c r="H73" s="1679"/>
      <c r="I73" s="1679"/>
      <c r="J73" s="1679"/>
    </row>
    <row r="74" spans="1:10" ht="10.95" customHeight="1">
      <c r="A74" s="1672" t="s">
        <v>1380</v>
      </c>
      <c r="B74" s="1673"/>
      <c r="C74" s="1672"/>
      <c r="D74" s="1671"/>
      <c r="E74" s="1670"/>
      <c r="F74" s="1669">
        <f>24424.82*63.65</f>
        <v>1554639.7929999998</v>
      </c>
      <c r="G74" s="1682"/>
      <c r="H74" s="1682"/>
      <c r="I74" s="1682"/>
      <c r="J74" s="1682"/>
    </row>
    <row r="75" spans="1:10" ht="10.95" customHeight="1">
      <c r="A75" s="1672" t="s">
        <v>1380</v>
      </c>
      <c r="B75" s="1673"/>
      <c r="C75" s="1672"/>
      <c r="D75" s="1671"/>
      <c r="E75" s="1670">
        <f>SUM(F75:J75)</f>
        <v>283360</v>
      </c>
      <c r="F75" s="1669">
        <f>4480*63.25</f>
        <v>283360</v>
      </c>
      <c r="G75" s="1682"/>
      <c r="H75" s="1682"/>
      <c r="I75" s="1682"/>
      <c r="J75" s="1682"/>
    </row>
    <row r="76" spans="1:10" ht="10.95" customHeight="1">
      <c r="A76" s="1672" t="s">
        <v>2061</v>
      </c>
      <c r="B76" s="1673"/>
      <c r="C76" s="1672"/>
      <c r="D76" s="1671"/>
      <c r="E76" s="1670">
        <f>SUM(F76:J76)</f>
        <v>37293900</v>
      </c>
      <c r="F76" s="1669"/>
      <c r="G76" s="1682">
        <f>+'Proyección VTA 01-26'!F22</f>
        <v>9323475</v>
      </c>
      <c r="H76" s="1682">
        <f>+'Proyección VTA 01-26'!G22</f>
        <v>9323475</v>
      </c>
      <c r="I76" s="1682">
        <f>+'Proyección VTA 01-26'!H22</f>
        <v>9323475</v>
      </c>
      <c r="J76" s="1682">
        <f>+'Proyección VTA 01-26'!I22</f>
        <v>9323475</v>
      </c>
    </row>
    <row r="77" spans="1:10" ht="10.95" customHeight="1">
      <c r="A77" s="1454" t="s">
        <v>1841</v>
      </c>
      <c r="B77" s="1454"/>
      <c r="C77" s="1454"/>
      <c r="D77" s="1668">
        <f t="shared" ref="D77:J77" si="11">SUM(D71:D76)</f>
        <v>3120892.78</v>
      </c>
      <c r="E77" s="1667">
        <f t="shared" si="11"/>
        <v>40698152.780000001</v>
      </c>
      <c r="F77" s="1666">
        <f t="shared" si="11"/>
        <v>4958892.5729999999</v>
      </c>
      <c r="G77" s="1666">
        <f t="shared" si="11"/>
        <v>9323475</v>
      </c>
      <c r="H77" s="1666">
        <f t="shared" si="11"/>
        <v>9323475</v>
      </c>
      <c r="I77" s="1666">
        <f t="shared" si="11"/>
        <v>9323475</v>
      </c>
      <c r="J77" s="1666">
        <f t="shared" si="11"/>
        <v>9323475</v>
      </c>
    </row>
    <row r="78" spans="1:10" ht="13.35" customHeight="1"/>
    <row r="79" spans="1:10" s="1444" customFormat="1" ht="12.15" customHeight="1">
      <c r="A79" s="1445" t="s">
        <v>2150</v>
      </c>
      <c r="B79" s="1445"/>
      <c r="C79" s="1445"/>
      <c r="D79" s="1678"/>
      <c r="E79" s="1677"/>
      <c r="F79" s="1676"/>
      <c r="G79" s="1676"/>
      <c r="H79" s="1676"/>
      <c r="I79" s="1676"/>
      <c r="J79" s="1676"/>
    </row>
    <row r="80" spans="1:10" ht="10.95" customHeight="1">
      <c r="A80" s="1672"/>
      <c r="B80" s="1673"/>
      <c r="C80" s="1672"/>
      <c r="D80" s="1671"/>
      <c r="E80" s="1670">
        <f>SUM(F80:J80)</f>
        <v>3835000</v>
      </c>
      <c r="F80" s="1669">
        <v>767000</v>
      </c>
      <c r="G80" s="1669">
        <v>767000</v>
      </c>
      <c r="H80" s="1669">
        <v>767000</v>
      </c>
      <c r="I80" s="1669">
        <v>767000</v>
      </c>
      <c r="J80" s="1669">
        <v>767000</v>
      </c>
    </row>
    <row r="81" spans="1:10" ht="10.95" customHeight="1">
      <c r="A81" s="1454" t="s">
        <v>2152</v>
      </c>
      <c r="B81" s="1454"/>
      <c r="C81" s="1454"/>
      <c r="D81" s="1681">
        <f t="shared" ref="D81:J81" si="12">SUM(D80)</f>
        <v>0</v>
      </c>
      <c r="E81" s="1667">
        <f t="shared" si="12"/>
        <v>3835000</v>
      </c>
      <c r="F81" s="1666">
        <f t="shared" si="12"/>
        <v>767000</v>
      </c>
      <c r="G81" s="1666">
        <f t="shared" si="12"/>
        <v>767000</v>
      </c>
      <c r="H81" s="1666">
        <f t="shared" si="12"/>
        <v>767000</v>
      </c>
      <c r="I81" s="1666">
        <f t="shared" si="12"/>
        <v>767000</v>
      </c>
      <c r="J81" s="1666">
        <f t="shared" si="12"/>
        <v>767000</v>
      </c>
    </row>
    <row r="82" spans="1:10" ht="13.35" customHeight="1"/>
    <row r="83" spans="1:10" s="1444" customFormat="1" ht="12.15" customHeight="1">
      <c r="A83" s="1445" t="s">
        <v>1314</v>
      </c>
      <c r="B83" s="1445"/>
      <c r="C83" s="1445"/>
      <c r="D83" s="1678"/>
      <c r="E83" s="1677"/>
      <c r="F83" s="1676"/>
      <c r="G83" s="1676"/>
      <c r="H83" s="1676"/>
      <c r="I83" s="1676"/>
      <c r="J83" s="1676"/>
    </row>
    <row r="84" spans="1:10" ht="10.95" customHeight="1">
      <c r="A84" s="1672"/>
      <c r="B84" s="1673"/>
      <c r="C84" s="1672"/>
      <c r="D84" s="1671"/>
      <c r="E84" s="1670">
        <f>SUM(F84:J84)</f>
        <v>6224788.1099999994</v>
      </c>
      <c r="F84" s="1669">
        <v>924788.11</v>
      </c>
      <c r="G84" s="1669">
        <v>1325000</v>
      </c>
      <c r="H84" s="1669">
        <v>1325000</v>
      </c>
      <c r="I84" s="1669">
        <v>1325000</v>
      </c>
      <c r="J84" s="1669">
        <v>1325000</v>
      </c>
    </row>
    <row r="85" spans="1:10" ht="10.95" customHeight="1">
      <c r="A85" s="1454" t="s">
        <v>1846</v>
      </c>
      <c r="B85" s="1454"/>
      <c r="C85" s="1454"/>
      <c r="D85" s="1681">
        <f t="shared" ref="D85:J85" si="13">SUM(D84)</f>
        <v>0</v>
      </c>
      <c r="E85" s="1667">
        <f t="shared" si="13"/>
        <v>6224788.1099999994</v>
      </c>
      <c r="F85" s="1666">
        <f t="shared" si="13"/>
        <v>924788.11</v>
      </c>
      <c r="G85" s="1666">
        <f t="shared" si="13"/>
        <v>1325000</v>
      </c>
      <c r="H85" s="1666">
        <f t="shared" si="13"/>
        <v>1325000</v>
      </c>
      <c r="I85" s="1666">
        <f t="shared" si="13"/>
        <v>1325000</v>
      </c>
      <c r="J85" s="1666">
        <f t="shared" si="13"/>
        <v>1325000</v>
      </c>
    </row>
    <row r="86" spans="1:10" ht="13.35" customHeight="1"/>
    <row r="87" spans="1:10" s="1444" customFormat="1" ht="12.15" customHeight="1">
      <c r="A87" s="1445" t="s">
        <v>1847</v>
      </c>
      <c r="B87" s="1445"/>
      <c r="C87" s="1445"/>
      <c r="D87" s="1678"/>
      <c r="E87" s="1677"/>
      <c r="F87" s="1676"/>
      <c r="G87" s="1676"/>
      <c r="H87" s="1676"/>
      <c r="I87" s="1676"/>
      <c r="J87" s="1676"/>
    </row>
    <row r="88" spans="1:10" ht="10.95" customHeight="1">
      <c r="A88" s="1446" t="s">
        <v>1045</v>
      </c>
      <c r="B88" s="1447">
        <v>46022</v>
      </c>
      <c r="C88" s="1446" t="s">
        <v>2227</v>
      </c>
      <c r="D88" s="1675">
        <v>92889.600000000006</v>
      </c>
      <c r="E88" s="1670">
        <f t="shared" ref="E88:E93" si="14">SUM(F88:J88)</f>
        <v>92889.600000000006</v>
      </c>
      <c r="F88" s="1674">
        <f>+D88</f>
        <v>92889.600000000006</v>
      </c>
      <c r="G88" s="1674"/>
      <c r="H88" s="1674"/>
      <c r="I88" s="1674"/>
      <c r="J88" s="1674"/>
    </row>
    <row r="89" spans="1:10" ht="10.95" customHeight="1">
      <c r="A89" s="1450" t="s">
        <v>1043</v>
      </c>
      <c r="B89" s="1451">
        <v>46041</v>
      </c>
      <c r="C89" s="1450" t="s">
        <v>2296</v>
      </c>
      <c r="D89" s="1680">
        <v>15681.49</v>
      </c>
      <c r="E89" s="1670">
        <f t="shared" si="14"/>
        <v>15681.49</v>
      </c>
      <c r="F89" s="1674">
        <f>+D89</f>
        <v>15681.49</v>
      </c>
      <c r="G89" s="1679"/>
      <c r="H89" s="1679"/>
      <c r="I89" s="1679"/>
      <c r="J89" s="1679"/>
    </row>
    <row r="90" spans="1:10" ht="10.95" customHeight="1">
      <c r="A90" s="1450" t="s">
        <v>2297</v>
      </c>
      <c r="B90" s="1451">
        <v>46053</v>
      </c>
      <c r="C90" s="1450" t="s">
        <v>2298</v>
      </c>
      <c r="D90" s="1680">
        <v>14000</v>
      </c>
      <c r="E90" s="1670">
        <f t="shared" si="14"/>
        <v>14000</v>
      </c>
      <c r="F90" s="1674">
        <f>+D90</f>
        <v>14000</v>
      </c>
      <c r="G90" s="1679"/>
      <c r="H90" s="1679"/>
      <c r="I90" s="1679"/>
      <c r="J90" s="1679"/>
    </row>
    <row r="91" spans="1:10" ht="10.95" customHeight="1">
      <c r="A91" s="1450" t="s">
        <v>1045</v>
      </c>
      <c r="B91" s="1451">
        <v>46053</v>
      </c>
      <c r="C91" s="1450" t="s">
        <v>2299</v>
      </c>
      <c r="D91" s="1680">
        <v>70233.600000000006</v>
      </c>
      <c r="E91" s="1670">
        <f t="shared" si="14"/>
        <v>70233.600000000006</v>
      </c>
      <c r="F91" s="1674">
        <f>+D91</f>
        <v>70233.600000000006</v>
      </c>
      <c r="G91" s="1679"/>
      <c r="H91" s="1679"/>
      <c r="I91" s="1679"/>
      <c r="J91" s="1679"/>
    </row>
    <row r="92" spans="1:10" ht="10.95" customHeight="1">
      <c r="A92" s="1672" t="s">
        <v>2350</v>
      </c>
      <c r="B92" s="1451"/>
      <c r="C92" s="1450"/>
      <c r="D92" s="1680"/>
      <c r="E92" s="1670">
        <f t="shared" si="14"/>
        <v>200000</v>
      </c>
      <c r="F92" s="1669"/>
      <c r="G92" s="1682">
        <v>50000</v>
      </c>
      <c r="H92" s="1682">
        <v>50000</v>
      </c>
      <c r="I92" s="1682">
        <v>50000</v>
      </c>
      <c r="J92" s="1682">
        <v>50000</v>
      </c>
    </row>
    <row r="93" spans="1:10" ht="10.95" customHeight="1">
      <c r="A93" s="1672" t="s">
        <v>1045</v>
      </c>
      <c r="B93" s="1673"/>
      <c r="C93" s="1672"/>
      <c r="D93" s="1671"/>
      <c r="E93" s="1670">
        <f t="shared" si="14"/>
        <v>320000</v>
      </c>
      <c r="F93" s="1669"/>
      <c r="G93" s="1682">
        <v>80000</v>
      </c>
      <c r="H93" s="1682">
        <v>80000</v>
      </c>
      <c r="I93" s="1682">
        <v>80000</v>
      </c>
      <c r="J93" s="1682">
        <v>80000</v>
      </c>
    </row>
    <row r="94" spans="1:10" ht="10.95" customHeight="1">
      <c r="A94" s="1454" t="s">
        <v>1850</v>
      </c>
      <c r="B94" s="1454"/>
      <c r="C94" s="1454"/>
      <c r="D94" s="1668">
        <f t="shared" ref="D94:J94" si="15">SUM(D88:D93)</f>
        <v>192804.69</v>
      </c>
      <c r="E94" s="1667">
        <f t="shared" si="15"/>
        <v>712804.69</v>
      </c>
      <c r="F94" s="1666">
        <f t="shared" si="15"/>
        <v>192804.69</v>
      </c>
      <c r="G94" s="1666">
        <f t="shared" si="15"/>
        <v>130000</v>
      </c>
      <c r="H94" s="1666">
        <f t="shared" si="15"/>
        <v>130000</v>
      </c>
      <c r="I94" s="1666">
        <f t="shared" si="15"/>
        <v>130000</v>
      </c>
      <c r="J94" s="1666">
        <f t="shared" si="15"/>
        <v>130000</v>
      </c>
    </row>
    <row r="95" spans="1:10" ht="13.35" customHeight="1"/>
    <row r="96" spans="1:10" s="1444" customFormat="1" ht="12.15" customHeight="1">
      <c r="A96" s="1445" t="s">
        <v>2351</v>
      </c>
      <c r="B96" s="1445"/>
      <c r="C96" s="1445"/>
      <c r="D96" s="1678"/>
      <c r="E96" s="1677"/>
      <c r="F96" s="1676"/>
      <c r="G96" s="1676"/>
      <c r="H96" s="1676"/>
      <c r="I96" s="1676"/>
      <c r="J96" s="1676"/>
    </row>
    <row r="97" spans="1:10" ht="10.95" customHeight="1">
      <c r="A97" s="1450" t="s">
        <v>1734</v>
      </c>
      <c r="B97" s="1451">
        <v>46045</v>
      </c>
      <c r="C97" s="1450" t="s">
        <v>2300</v>
      </c>
      <c r="D97" s="1680">
        <v>74014.789999999994</v>
      </c>
      <c r="E97" s="1670"/>
      <c r="F97" s="1674">
        <f>+D97</f>
        <v>74014.789999999994</v>
      </c>
      <c r="G97" s="1679"/>
      <c r="H97" s="1679"/>
      <c r="I97" s="1679"/>
      <c r="J97" s="1679"/>
    </row>
    <row r="98" spans="1:10" ht="10.95" customHeight="1">
      <c r="A98" s="1672" t="s">
        <v>2352</v>
      </c>
      <c r="B98" s="1673"/>
      <c r="C98" s="1672"/>
      <c r="D98" s="1671"/>
      <c r="E98" s="1670">
        <f>SUM(F98:J98)</f>
        <v>1250000</v>
      </c>
      <c r="F98" s="1669">
        <v>250000</v>
      </c>
      <c r="G98" s="1669">
        <v>250000</v>
      </c>
      <c r="H98" s="1669">
        <v>250000</v>
      </c>
      <c r="I98" s="1669">
        <v>250000</v>
      </c>
      <c r="J98" s="1669">
        <v>250000</v>
      </c>
    </row>
    <row r="99" spans="1:10" ht="10.95" customHeight="1">
      <c r="A99" s="1454" t="s">
        <v>2353</v>
      </c>
      <c r="B99" s="1454"/>
      <c r="C99" s="1454"/>
      <c r="D99" s="1681">
        <f>SUM(D97:D98)</f>
        <v>74014.789999999994</v>
      </c>
      <c r="E99" s="1667">
        <f>SUM(E97:E98)</f>
        <v>1250000</v>
      </c>
      <c r="F99" s="1666">
        <f>SUM(F97:F98)</f>
        <v>324014.78999999998</v>
      </c>
      <c r="G99" s="1666">
        <f t="shared" ref="G99:J99" si="16">SUM(G97:G98)</f>
        <v>250000</v>
      </c>
      <c r="H99" s="1666">
        <f t="shared" si="16"/>
        <v>250000</v>
      </c>
      <c r="I99" s="1666">
        <f t="shared" si="16"/>
        <v>250000</v>
      </c>
      <c r="J99" s="1666">
        <f t="shared" si="16"/>
        <v>250000</v>
      </c>
    </row>
    <row r="100" spans="1:10" ht="13.35" customHeight="1"/>
    <row r="101" spans="1:10" s="1444" customFormat="1" ht="12.15" customHeight="1">
      <c r="A101" s="1445" t="s">
        <v>2062</v>
      </c>
      <c r="B101" s="1445"/>
      <c r="C101" s="1445"/>
      <c r="D101" s="1678"/>
      <c r="E101" s="1677"/>
      <c r="F101" s="1676"/>
      <c r="G101" s="1676"/>
      <c r="H101" s="1676"/>
      <c r="I101" s="1676"/>
      <c r="J101" s="1676"/>
    </row>
    <row r="102" spans="1:10" ht="10.95" customHeight="1">
      <c r="A102" s="1672" t="s">
        <v>2354</v>
      </c>
      <c r="B102" s="1673"/>
      <c r="C102" s="1672"/>
      <c r="D102" s="1671"/>
      <c r="E102" s="1670">
        <f>SUM(F102:J102)</f>
        <v>1250000</v>
      </c>
      <c r="F102" s="1669">
        <v>250000</v>
      </c>
      <c r="G102" s="1669">
        <v>250000</v>
      </c>
      <c r="H102" s="1669">
        <v>250000</v>
      </c>
      <c r="I102" s="1669">
        <v>250000</v>
      </c>
      <c r="J102" s="1669">
        <v>250000</v>
      </c>
    </row>
    <row r="103" spans="1:10" ht="10.95" customHeight="1">
      <c r="A103" s="1454" t="s">
        <v>2063</v>
      </c>
      <c r="B103" s="1454"/>
      <c r="C103" s="1454"/>
      <c r="D103" s="1681">
        <f t="shared" ref="D103:J103" si="17">SUM(D102)</f>
        <v>0</v>
      </c>
      <c r="E103" s="1667">
        <f t="shared" si="17"/>
        <v>1250000</v>
      </c>
      <c r="F103" s="1666">
        <f t="shared" si="17"/>
        <v>250000</v>
      </c>
      <c r="G103" s="1666">
        <f t="shared" si="17"/>
        <v>250000</v>
      </c>
      <c r="H103" s="1666">
        <f t="shared" si="17"/>
        <v>250000</v>
      </c>
      <c r="I103" s="1666">
        <f t="shared" si="17"/>
        <v>250000</v>
      </c>
      <c r="J103" s="1666">
        <f t="shared" si="17"/>
        <v>250000</v>
      </c>
    </row>
    <row r="104" spans="1:10" ht="13.35" customHeight="1"/>
    <row r="105" spans="1:10" s="1444" customFormat="1" ht="12.15" customHeight="1">
      <c r="A105" s="1445" t="s">
        <v>2160</v>
      </c>
      <c r="B105" s="1445"/>
      <c r="C105" s="1445"/>
      <c r="D105" s="1678"/>
      <c r="E105" s="1677"/>
      <c r="F105" s="1676"/>
      <c r="G105" s="1676"/>
      <c r="H105" s="1676"/>
      <c r="I105" s="1676"/>
      <c r="J105" s="1676"/>
    </row>
    <row r="106" spans="1:10" ht="10.95" customHeight="1">
      <c r="A106" s="1446" t="s">
        <v>1855</v>
      </c>
      <c r="B106" s="1447">
        <v>46028</v>
      </c>
      <c r="C106" s="1446" t="s">
        <v>2301</v>
      </c>
      <c r="D106" s="1675">
        <v>94400</v>
      </c>
      <c r="E106" s="1670">
        <f>SUM(F106:J106)</f>
        <v>94400</v>
      </c>
      <c r="F106" s="1674">
        <f>+D106</f>
        <v>94400</v>
      </c>
      <c r="G106" s="1674"/>
      <c r="H106" s="1674"/>
      <c r="I106" s="1674"/>
      <c r="J106" s="1674"/>
    </row>
    <row r="107" spans="1:10" ht="10.95" customHeight="1">
      <c r="A107" s="1450" t="s">
        <v>1631</v>
      </c>
      <c r="B107" s="1451">
        <v>46045</v>
      </c>
      <c r="C107" s="1450" t="s">
        <v>782</v>
      </c>
      <c r="D107" s="1680">
        <v>74464.61</v>
      </c>
      <c r="E107" s="1670">
        <f>SUM(F107:J107)</f>
        <v>74464.61</v>
      </c>
      <c r="F107" s="1674">
        <f>+D107</f>
        <v>74464.61</v>
      </c>
      <c r="G107" s="1679"/>
      <c r="H107" s="1679"/>
      <c r="I107" s="1679"/>
      <c r="J107" s="1679"/>
    </row>
    <row r="108" spans="1:10" ht="10.95" customHeight="1">
      <c r="A108" s="1672" t="s">
        <v>1855</v>
      </c>
      <c r="B108" s="1673"/>
      <c r="C108" s="1672"/>
      <c r="D108" s="1671"/>
      <c r="E108" s="1670">
        <f>SUM(F108:J108)</f>
        <v>472000</v>
      </c>
      <c r="F108" s="1669">
        <v>94400</v>
      </c>
      <c r="G108" s="1669">
        <v>94400</v>
      </c>
      <c r="H108" s="1669">
        <v>94400</v>
      </c>
      <c r="I108" s="1669">
        <v>94400</v>
      </c>
      <c r="J108" s="1669">
        <v>94400</v>
      </c>
    </row>
    <row r="109" spans="1:10" ht="10.95" customHeight="1">
      <c r="A109" s="1672" t="s">
        <v>1631</v>
      </c>
      <c r="B109" s="1673"/>
      <c r="C109" s="1672"/>
      <c r="D109" s="1671"/>
      <c r="E109" s="1670">
        <f>SUM(F109:J109)</f>
        <v>380000</v>
      </c>
      <c r="F109" s="1669">
        <v>76000</v>
      </c>
      <c r="G109" s="1669">
        <v>76000</v>
      </c>
      <c r="H109" s="1669">
        <v>76000</v>
      </c>
      <c r="I109" s="1669">
        <v>76000</v>
      </c>
      <c r="J109" s="1669">
        <v>76000</v>
      </c>
    </row>
    <row r="110" spans="1:10" ht="10.95" customHeight="1">
      <c r="A110" s="1672" t="s">
        <v>1380</v>
      </c>
      <c r="B110" s="1673"/>
      <c r="C110" s="1672"/>
      <c r="D110" s="1671"/>
      <c r="E110" s="1670">
        <f>SUM(F110:J110)</f>
        <v>771040</v>
      </c>
      <c r="F110" s="1669">
        <f>2360*64</f>
        <v>151040</v>
      </c>
      <c r="G110" s="1669">
        <v>155000</v>
      </c>
      <c r="H110" s="1669">
        <v>155000</v>
      </c>
      <c r="I110" s="1669">
        <v>155000</v>
      </c>
      <c r="J110" s="1669">
        <v>155000</v>
      </c>
    </row>
    <row r="111" spans="1:10" ht="10.95" customHeight="1">
      <c r="A111" s="1454" t="s">
        <v>2164</v>
      </c>
      <c r="B111" s="1454"/>
      <c r="C111" s="1454"/>
      <c r="D111" s="1668">
        <f t="shared" ref="D111:J111" si="18">SUM(D106:D110)</f>
        <v>168864.61</v>
      </c>
      <c r="E111" s="1667">
        <f t="shared" si="18"/>
        <v>1791904.6099999999</v>
      </c>
      <c r="F111" s="1666">
        <f t="shared" si="18"/>
        <v>490304.61</v>
      </c>
      <c r="G111" s="1666">
        <f t="shared" si="18"/>
        <v>325400</v>
      </c>
      <c r="H111" s="1666">
        <f t="shared" si="18"/>
        <v>325400</v>
      </c>
      <c r="I111" s="1666">
        <f t="shared" si="18"/>
        <v>325400</v>
      </c>
      <c r="J111" s="1666">
        <f t="shared" si="18"/>
        <v>325400</v>
      </c>
    </row>
    <row r="113" spans="1:10" s="1444" customFormat="1" ht="12.15" customHeight="1">
      <c r="A113" s="1445" t="s">
        <v>2031</v>
      </c>
      <c r="B113" s="1445"/>
      <c r="C113" s="1445"/>
      <c r="D113" s="1678"/>
      <c r="E113" s="1677"/>
      <c r="F113" s="1676"/>
      <c r="G113" s="1676"/>
      <c r="H113" s="1676"/>
      <c r="I113" s="1676"/>
      <c r="J113" s="1676"/>
    </row>
    <row r="114" spans="1:10" ht="10.95" customHeight="1">
      <c r="A114" s="1446" t="s">
        <v>746</v>
      </c>
      <c r="B114" s="1447">
        <v>46029</v>
      </c>
      <c r="C114" s="1446" t="s">
        <v>2302</v>
      </c>
      <c r="D114" s="1675">
        <v>42480</v>
      </c>
      <c r="E114" s="1670">
        <f t="shared" ref="E114:E120" si="19">SUM(F114:J114)</f>
        <v>42480</v>
      </c>
      <c r="F114" s="1674">
        <f>+D114</f>
        <v>42480</v>
      </c>
      <c r="G114" s="1674"/>
      <c r="H114" s="1674"/>
      <c r="I114" s="1674"/>
      <c r="J114" s="1674"/>
    </row>
    <row r="115" spans="1:10" ht="10.95" customHeight="1">
      <c r="A115" s="1450" t="s">
        <v>2228</v>
      </c>
      <c r="B115" s="1451">
        <v>46037</v>
      </c>
      <c r="C115" s="1450" t="s">
        <v>2303</v>
      </c>
      <c r="D115" s="1680">
        <v>88269.5</v>
      </c>
      <c r="E115" s="1670">
        <f t="shared" si="19"/>
        <v>88269.5</v>
      </c>
      <c r="F115" s="1674">
        <f>+D115</f>
        <v>88269.5</v>
      </c>
      <c r="G115" s="1679"/>
      <c r="H115" s="1679"/>
      <c r="I115" s="1679"/>
      <c r="J115" s="1679"/>
    </row>
    <row r="116" spans="1:10" ht="10.95" customHeight="1">
      <c r="A116" s="1450" t="s">
        <v>1855</v>
      </c>
      <c r="B116" s="1451">
        <v>46051</v>
      </c>
      <c r="C116" s="1450" t="s">
        <v>2304</v>
      </c>
      <c r="D116" s="1680">
        <v>5310</v>
      </c>
      <c r="E116" s="1670">
        <f t="shared" si="19"/>
        <v>5310</v>
      </c>
      <c r="F116" s="1674">
        <f>+D116</f>
        <v>5310</v>
      </c>
      <c r="G116" s="1679"/>
      <c r="H116" s="1679"/>
      <c r="I116" s="1679"/>
      <c r="J116" s="1679"/>
    </row>
    <row r="117" spans="1:10" ht="10.95" customHeight="1">
      <c r="A117" s="1450" t="s">
        <v>781</v>
      </c>
      <c r="B117" s="1451">
        <v>46051</v>
      </c>
      <c r="C117" s="1450" t="s">
        <v>2305</v>
      </c>
      <c r="D117" s="1680">
        <v>124667</v>
      </c>
      <c r="E117" s="1670">
        <f t="shared" si="19"/>
        <v>124667</v>
      </c>
      <c r="F117" s="1674">
        <f>+D117</f>
        <v>124667</v>
      </c>
      <c r="G117" s="1679"/>
      <c r="H117" s="1679"/>
      <c r="I117" s="1679"/>
      <c r="J117" s="1679"/>
    </row>
    <row r="118" spans="1:10" ht="10.95" customHeight="1">
      <c r="A118" s="1672" t="s">
        <v>746</v>
      </c>
      <c r="B118" s="1673"/>
      <c r="C118" s="1672"/>
      <c r="D118" s="1671"/>
      <c r="E118" s="1670">
        <f t="shared" si="19"/>
        <v>106200</v>
      </c>
      <c r="F118" s="1669">
        <v>21240</v>
      </c>
      <c r="G118" s="1669">
        <v>21240</v>
      </c>
      <c r="H118" s="1669">
        <v>21240</v>
      </c>
      <c r="I118" s="1669">
        <v>21240</v>
      </c>
      <c r="J118" s="1669">
        <v>21240</v>
      </c>
    </row>
    <row r="119" spans="1:10" ht="10.95" customHeight="1">
      <c r="A119" s="1672" t="s">
        <v>2188</v>
      </c>
      <c r="B119" s="1673"/>
      <c r="C119" s="1672"/>
      <c r="D119" s="1671"/>
      <c r="E119" s="1670">
        <f t="shared" si="19"/>
        <v>441347.5</v>
      </c>
      <c r="F119" s="1669">
        <v>88269.5</v>
      </c>
      <c r="G119" s="1669">
        <v>88269.5</v>
      </c>
      <c r="H119" s="1669">
        <v>88269.5</v>
      </c>
      <c r="I119" s="1669">
        <v>88269.5</v>
      </c>
      <c r="J119" s="1669">
        <v>88269.5</v>
      </c>
    </row>
    <row r="120" spans="1:10" ht="10.95" customHeight="1">
      <c r="A120" s="1672" t="s">
        <v>2230</v>
      </c>
      <c r="B120" s="1673"/>
      <c r="C120" s="1672"/>
      <c r="D120" s="1671"/>
      <c r="E120" s="1670">
        <f t="shared" si="19"/>
        <v>511825</v>
      </c>
      <c r="F120" s="1669">
        <v>102365</v>
      </c>
      <c r="G120" s="1669">
        <v>102365</v>
      </c>
      <c r="H120" s="1669">
        <v>102365</v>
      </c>
      <c r="I120" s="1669">
        <v>102365</v>
      </c>
      <c r="J120" s="1669">
        <v>102365</v>
      </c>
    </row>
    <row r="121" spans="1:10" ht="10.95" customHeight="1">
      <c r="A121" s="1454" t="s">
        <v>2032</v>
      </c>
      <c r="B121" s="1454"/>
      <c r="C121" s="1454"/>
      <c r="D121" s="1668">
        <f t="shared" ref="D121:J121" si="20">SUM(D114:D120)</f>
        <v>260726.5</v>
      </c>
      <c r="E121" s="1667">
        <f t="shared" si="20"/>
        <v>1320099</v>
      </c>
      <c r="F121" s="1666">
        <f t="shared" si="20"/>
        <v>472601</v>
      </c>
      <c r="G121" s="1666">
        <f t="shared" si="20"/>
        <v>211874.5</v>
      </c>
      <c r="H121" s="1666">
        <f t="shared" si="20"/>
        <v>211874.5</v>
      </c>
      <c r="I121" s="1666">
        <f t="shared" si="20"/>
        <v>211874.5</v>
      </c>
      <c r="J121" s="1666">
        <f t="shared" si="20"/>
        <v>211874.5</v>
      </c>
    </row>
    <row r="122" spans="1:10" ht="13.35" customHeight="1"/>
    <row r="123" spans="1:10" ht="13.35" customHeight="1">
      <c r="A123" s="1445" t="s">
        <v>2033</v>
      </c>
      <c r="B123" s="1445"/>
      <c r="C123" s="1445"/>
      <c r="D123" s="1678"/>
      <c r="E123" s="1677"/>
      <c r="F123" s="1676"/>
      <c r="G123" s="1676"/>
      <c r="H123" s="1676"/>
      <c r="I123" s="1676"/>
      <c r="J123" s="1676"/>
    </row>
    <row r="124" spans="1:10" ht="13.35" customHeight="1">
      <c r="A124" s="1672" t="s">
        <v>2064</v>
      </c>
      <c r="B124" s="1673"/>
      <c r="C124" s="1672"/>
      <c r="D124" s="1671"/>
      <c r="E124" s="1670">
        <f>SUM(F124:J124)</f>
        <v>750000</v>
      </c>
      <c r="F124" s="1669">
        <v>150000</v>
      </c>
      <c r="G124" s="1669">
        <v>150000</v>
      </c>
      <c r="H124" s="1669">
        <v>150000</v>
      </c>
      <c r="I124" s="1669">
        <v>150000</v>
      </c>
      <c r="J124" s="1669">
        <v>150000</v>
      </c>
    </row>
    <row r="125" spans="1:10" ht="13.35" customHeight="1">
      <c r="A125" s="1454" t="s">
        <v>2037</v>
      </c>
      <c r="B125" s="1454"/>
      <c r="C125" s="1454"/>
      <c r="D125" s="1681">
        <f t="shared" ref="D125:J125" si="21">SUM(D124)</f>
        <v>0</v>
      </c>
      <c r="E125" s="1667">
        <f t="shared" si="21"/>
        <v>750000</v>
      </c>
      <c r="F125" s="1666">
        <f t="shared" si="21"/>
        <v>150000</v>
      </c>
      <c r="G125" s="1666">
        <f t="shared" si="21"/>
        <v>150000</v>
      </c>
      <c r="H125" s="1666">
        <f t="shared" si="21"/>
        <v>150000</v>
      </c>
      <c r="I125" s="1666">
        <f t="shared" si="21"/>
        <v>150000</v>
      </c>
      <c r="J125" s="1666">
        <f t="shared" si="21"/>
        <v>150000</v>
      </c>
    </row>
    <row r="126" spans="1:10" ht="13.35" customHeight="1"/>
    <row r="127" spans="1:10" s="1444" customFormat="1" ht="12.15" customHeight="1">
      <c r="A127" s="1445" t="s">
        <v>2075</v>
      </c>
      <c r="B127" s="1445"/>
      <c r="C127" s="1445"/>
      <c r="D127" s="1678"/>
      <c r="E127" s="1677"/>
      <c r="F127" s="1676"/>
      <c r="G127" s="1676"/>
      <c r="H127" s="1676"/>
      <c r="I127" s="1676"/>
      <c r="J127" s="1676"/>
    </row>
    <row r="128" spans="1:10" ht="10.95" customHeight="1">
      <c r="A128" s="1672" t="s">
        <v>2064</v>
      </c>
      <c r="B128" s="1673"/>
      <c r="C128" s="1672"/>
      <c r="D128" s="1671"/>
      <c r="E128" s="1670">
        <f>SUM(F128:J128)</f>
        <v>2520387.2000000002</v>
      </c>
      <c r="F128" s="1669">
        <f>+(6164.38+1966.67)*64</f>
        <v>520387.2</v>
      </c>
      <c r="G128" s="1669">
        <v>500000</v>
      </c>
      <c r="H128" s="1669">
        <v>500000</v>
      </c>
      <c r="I128" s="1669">
        <v>500000</v>
      </c>
      <c r="J128" s="1669">
        <v>500000</v>
      </c>
    </row>
    <row r="129" spans="1:10" ht="10.95" customHeight="1">
      <c r="A129" s="1454" t="s">
        <v>2355</v>
      </c>
      <c r="B129" s="1454"/>
      <c r="C129" s="1454"/>
      <c r="D129" s="1681">
        <f t="shared" ref="D129:J129" si="22">SUM(D128)</f>
        <v>0</v>
      </c>
      <c r="E129" s="1667">
        <f t="shared" si="22"/>
        <v>2520387.2000000002</v>
      </c>
      <c r="F129" s="1666">
        <f t="shared" si="22"/>
        <v>520387.2</v>
      </c>
      <c r="G129" s="1666">
        <f t="shared" si="22"/>
        <v>500000</v>
      </c>
      <c r="H129" s="1666">
        <f t="shared" si="22"/>
        <v>500000</v>
      </c>
      <c r="I129" s="1666">
        <f t="shared" si="22"/>
        <v>500000</v>
      </c>
      <c r="J129" s="1666">
        <f t="shared" si="22"/>
        <v>500000</v>
      </c>
    </row>
    <row r="130" spans="1:10" ht="13.35" customHeight="1"/>
    <row r="131" spans="1:10" s="1444" customFormat="1" ht="12.15" customHeight="1">
      <c r="A131" s="1445" t="s">
        <v>2167</v>
      </c>
      <c r="B131" s="1445"/>
      <c r="C131" s="1445"/>
      <c r="D131" s="1678"/>
      <c r="E131" s="1677"/>
      <c r="F131" s="1676"/>
      <c r="G131" s="1676"/>
      <c r="H131" s="1676"/>
      <c r="I131" s="1676"/>
      <c r="J131" s="1676"/>
    </row>
    <row r="132" spans="1:10" ht="10.95" customHeight="1">
      <c r="A132" s="1450" t="s">
        <v>2064</v>
      </c>
      <c r="B132" s="1451"/>
      <c r="C132" s="1450"/>
      <c r="D132" s="1680"/>
      <c r="E132" s="1670">
        <f>SUM(F132:J132)</f>
        <v>750000</v>
      </c>
      <c r="F132" s="1674">
        <v>150000</v>
      </c>
      <c r="G132" s="1679">
        <v>150000</v>
      </c>
      <c r="H132" s="1679">
        <v>150000</v>
      </c>
      <c r="I132" s="1679">
        <v>150000</v>
      </c>
      <c r="J132" s="1679">
        <v>150000</v>
      </c>
    </row>
    <row r="133" spans="1:10" ht="10.95" customHeight="1">
      <c r="A133" s="1672" t="s">
        <v>2241</v>
      </c>
      <c r="B133" s="1673"/>
      <c r="C133" s="1672"/>
      <c r="D133" s="1671"/>
      <c r="E133" s="1670">
        <f>SUM(F133:J133)</f>
        <v>672000</v>
      </c>
      <c r="F133" s="1669">
        <v>288000</v>
      </c>
      <c r="G133" s="1669"/>
      <c r="H133" s="1669">
        <v>384000</v>
      </c>
      <c r="J133" s="1669"/>
    </row>
    <row r="134" spans="1:10" ht="10.95" customHeight="1">
      <c r="A134" s="1672" t="s">
        <v>2242</v>
      </c>
      <c r="B134" s="1673"/>
      <c r="C134" s="1672"/>
      <c r="D134" s="1671"/>
      <c r="E134" s="1670">
        <f>SUM(F134:J134)</f>
        <v>2000000</v>
      </c>
      <c r="F134" s="1669">
        <v>2000000</v>
      </c>
      <c r="H134" s="1669"/>
      <c r="I134" s="1669"/>
      <c r="J134" s="1669"/>
    </row>
    <row r="135" spans="1:10" ht="10.95" customHeight="1">
      <c r="A135" s="1672" t="s">
        <v>2243</v>
      </c>
      <c r="B135" s="1673"/>
      <c r="C135" s="1672"/>
      <c r="D135" s="1671"/>
      <c r="E135" s="1670">
        <f>SUM(F135:J135)</f>
        <v>32000</v>
      </c>
      <c r="F135" s="1669">
        <v>32000</v>
      </c>
      <c r="G135" s="1669"/>
      <c r="H135" s="1669"/>
      <c r="I135" s="1669"/>
      <c r="J135" s="1669"/>
    </row>
    <row r="136" spans="1:10" ht="10.95" customHeight="1">
      <c r="A136" s="1454" t="s">
        <v>2171</v>
      </c>
      <c r="B136" s="1454"/>
      <c r="C136" s="1454"/>
      <c r="D136" s="1668">
        <f t="shared" ref="D136:J136" si="23">SUM(D132:D135)</f>
        <v>0</v>
      </c>
      <c r="E136" s="1667">
        <f t="shared" si="23"/>
        <v>3454000</v>
      </c>
      <c r="F136" s="1666">
        <f t="shared" si="23"/>
        <v>2470000</v>
      </c>
      <c r="G136" s="1666">
        <f t="shared" si="23"/>
        <v>150000</v>
      </c>
      <c r="H136" s="1666">
        <f t="shared" si="23"/>
        <v>534000</v>
      </c>
      <c r="I136" s="1666">
        <f t="shared" si="23"/>
        <v>150000</v>
      </c>
      <c r="J136" s="1666">
        <f t="shared" si="23"/>
        <v>150000</v>
      </c>
    </row>
    <row r="137" spans="1:10" ht="13.35" customHeight="1"/>
    <row r="138" spans="1:10" s="1444" customFormat="1" ht="12.15" customHeight="1">
      <c r="A138" s="1445" t="s">
        <v>919</v>
      </c>
      <c r="B138" s="1445"/>
      <c r="C138" s="1445"/>
      <c r="D138" s="1678"/>
      <c r="E138" s="1677"/>
      <c r="F138" s="1676"/>
      <c r="G138" s="1676"/>
      <c r="H138" s="1676"/>
      <c r="I138" s="1676"/>
      <c r="J138" s="1676"/>
    </row>
    <row r="139" spans="1:10" ht="10.95" customHeight="1">
      <c r="A139" s="1446" t="s">
        <v>795</v>
      </c>
      <c r="B139" s="1447">
        <v>46052</v>
      </c>
      <c r="C139" s="1446" t="s">
        <v>2306</v>
      </c>
      <c r="D139" s="1675">
        <v>371110</v>
      </c>
      <c r="E139" s="1670">
        <f>SUM(F139:J139)</f>
        <v>371110</v>
      </c>
      <c r="F139" s="1674">
        <f>+D139</f>
        <v>371110</v>
      </c>
      <c r="G139" s="1674"/>
      <c r="H139" s="1674"/>
      <c r="I139" s="1674"/>
      <c r="J139" s="1674"/>
    </row>
    <row r="140" spans="1:10" ht="10.95" customHeight="1">
      <c r="A140" s="1672" t="s">
        <v>795</v>
      </c>
      <c r="B140" s="1673"/>
      <c r="C140" s="1672"/>
      <c r="D140" s="1671"/>
      <c r="E140" s="1670">
        <f>SUM(F140:J140)</f>
        <v>1113330</v>
      </c>
      <c r="F140" s="1669">
        <v>371110</v>
      </c>
      <c r="G140" s="1669"/>
      <c r="H140" s="1669"/>
      <c r="I140" s="1669">
        <v>742220</v>
      </c>
      <c r="J140" s="1669"/>
    </row>
    <row r="141" spans="1:10" ht="10.95" customHeight="1">
      <c r="A141" s="1672" t="s">
        <v>2244</v>
      </c>
      <c r="B141" s="1673"/>
      <c r="C141" s="1672"/>
      <c r="D141" s="1671"/>
      <c r="E141" s="1670">
        <f>SUM(F141:J141)</f>
        <v>59000</v>
      </c>
      <c r="F141" s="1669">
        <v>29500</v>
      </c>
      <c r="G141" s="1669">
        <v>29500</v>
      </c>
      <c r="H141" s="1669"/>
      <c r="I141" s="1669"/>
      <c r="J141" s="1669"/>
    </row>
    <row r="142" spans="1:10" ht="10.95" customHeight="1">
      <c r="A142" s="1672" t="s">
        <v>1150</v>
      </c>
      <c r="B142" s="1673"/>
      <c r="C142" s="1672"/>
      <c r="D142" s="1671"/>
      <c r="E142" s="1670">
        <f>SUM(F142:J142)</f>
        <v>2091958.99</v>
      </c>
      <c r="F142" s="1669">
        <v>2091958.99</v>
      </c>
      <c r="G142" s="1669"/>
      <c r="H142" s="1669"/>
      <c r="I142" s="1669"/>
      <c r="J142" s="1669"/>
    </row>
    <row r="143" spans="1:10" ht="10.95" customHeight="1">
      <c r="A143" s="1454" t="s">
        <v>1864</v>
      </c>
      <c r="B143" s="1454"/>
      <c r="C143" s="1454"/>
      <c r="D143" s="1668">
        <f t="shared" ref="D143:J143" si="24">SUM(D139:D142)</f>
        <v>371110</v>
      </c>
      <c r="E143" s="1667">
        <f t="shared" si="24"/>
        <v>3635398.99</v>
      </c>
      <c r="F143" s="1666">
        <f t="shared" si="24"/>
        <v>2863678.99</v>
      </c>
      <c r="G143" s="1666">
        <f t="shared" si="24"/>
        <v>29500</v>
      </c>
      <c r="H143" s="1666">
        <f t="shared" si="24"/>
        <v>0</v>
      </c>
      <c r="I143" s="1666">
        <f t="shared" si="24"/>
        <v>742220</v>
      </c>
      <c r="J143" s="1666">
        <f t="shared" si="24"/>
        <v>0</v>
      </c>
    </row>
    <row r="145" spans="1:10" ht="10.95" customHeight="1">
      <c r="A145" s="1461" t="s">
        <v>164</v>
      </c>
      <c r="B145" s="1461"/>
      <c r="C145" s="1461"/>
      <c r="D145" s="1665">
        <f>SUM(D10,D19,D44,D53,D59,D64,D77,D94,D111,D121,D143,D99)</f>
        <v>8254695.79</v>
      </c>
      <c r="E145" s="1664">
        <f>+E10+E19+E44+E48+E53+E59+E64+E68+E77+E81+E85+E94+E99+E103+E111+E121+E129+E136+E143+E125</f>
        <v>278613623.86000001</v>
      </c>
      <c r="F145" s="1664">
        <f>+F10+F19+F44+F48+F53+F59+F64+F68+F77+F81+F85+F94+F99+F103+F111+F121+F129+F136+F143+F125</f>
        <v>34717703.243000001</v>
      </c>
      <c r="G145" s="1664">
        <f t="shared" ref="G145:J145" si="25">+G10+G19+G44+G48+G53+G59+G64+G68+G77+G81+G85+G94+G99+G103+G111+G121+G129+G136+G143+G125</f>
        <v>32439213.800000001</v>
      </c>
      <c r="H145" s="1664">
        <f t="shared" si="25"/>
        <v>51103713.799999997</v>
      </c>
      <c r="I145" s="1664">
        <f t="shared" si="25"/>
        <v>63061933.799999997</v>
      </c>
      <c r="J145" s="1664">
        <f t="shared" si="25"/>
        <v>98919713.799999997</v>
      </c>
    </row>
    <row r="146" spans="1:10" ht="13.35" customHeight="1">
      <c r="D146" s="1663">
        <f t="shared" ref="D146:J146" si="26">SUM(D9:D143)/2</f>
        <v>8254695.7899999963</v>
      </c>
      <c r="E146" s="1663">
        <f t="shared" si="26"/>
        <v>278613623.86000013</v>
      </c>
      <c r="F146" s="1663">
        <f t="shared" si="26"/>
        <v>34717703.243000001</v>
      </c>
      <c r="G146" s="1663">
        <f t="shared" si="26"/>
        <v>32439213.799999997</v>
      </c>
      <c r="H146" s="1663">
        <f t="shared" si="26"/>
        <v>51103713.799999997</v>
      </c>
      <c r="I146" s="1663">
        <f t="shared" si="26"/>
        <v>63061933.799999997</v>
      </c>
      <c r="J146" s="1663">
        <f t="shared" si="26"/>
        <v>98919713.800000012</v>
      </c>
    </row>
    <row r="147" spans="1:10">
      <c r="D147" s="1662">
        <f t="shared" ref="D147:J147" si="27">+D145-D146</f>
        <v>0</v>
      </c>
      <c r="E147" s="1662">
        <f t="shared" si="27"/>
        <v>0</v>
      </c>
      <c r="F147" s="1662">
        <f t="shared" si="27"/>
        <v>0</v>
      </c>
      <c r="G147" s="1662">
        <f t="shared" si="27"/>
        <v>0</v>
      </c>
      <c r="H147" s="1662">
        <f t="shared" si="27"/>
        <v>0</v>
      </c>
      <c r="I147" s="1662">
        <f t="shared" si="27"/>
        <v>0</v>
      </c>
      <c r="J147" s="1662">
        <f t="shared" si="27"/>
        <v>0</v>
      </c>
    </row>
    <row r="148" spans="1:10">
      <c r="D148" s="1661"/>
      <c r="E148" s="1660"/>
      <c r="F148" s="1660">
        <f>SUM(F146:J146)</f>
        <v>280242278.44300002</v>
      </c>
      <c r="G148" s="1660">
        <f>+E145</f>
        <v>278613623.86000001</v>
      </c>
      <c r="H148" s="1660">
        <f>+F148-G148</f>
        <v>1628654.5830000043</v>
      </c>
      <c r="I148" s="1660"/>
      <c r="J148" s="1660"/>
    </row>
    <row r="149" spans="1:10">
      <c r="D149" s="1661"/>
      <c r="E149" s="1660"/>
      <c r="F149" s="1660">
        <f>SUM(F145:J145)</f>
        <v>280242278.44300002</v>
      </c>
      <c r="G149" s="1660">
        <f>+E146</f>
        <v>278613623.86000013</v>
      </c>
      <c r="H149" s="1660">
        <f>+F149-G149</f>
        <v>1628654.5829998851</v>
      </c>
      <c r="I149" s="1660"/>
      <c r="J149" s="1660"/>
    </row>
  </sheetData>
  <pageMargins left="0.7" right="0.7" top="0.75" bottom="0.75" header="0.3" footer="0.3"/>
  <pageSetup paperSize="9" fitToWidth="0" fitToHeight="0" orientation="portrait" horizontalDpi="0" verticalDpi="0"/>
  <legacyDrawing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FE39E-6886-462A-B115-75897D0AA24F}">
  <sheetPr>
    <tabColor theme="5" tint="0.79998168889431442"/>
  </sheetPr>
  <dimension ref="A1:V50"/>
  <sheetViews>
    <sheetView showGridLines="0" topLeftCell="A2" zoomScale="90" zoomScaleNormal="90" workbookViewId="0">
      <pane xSplit="7" ySplit="3" topLeftCell="H5" activePane="bottomRight" state="frozen"/>
      <selection pane="topRight" activeCell="H2" sqref="H2"/>
      <selection pane="bottomLeft" activeCell="A5" sqref="A5"/>
      <selection pane="bottomRight" activeCell="O25" sqref="O25"/>
    </sheetView>
  </sheetViews>
  <sheetFormatPr baseColWidth="10" defaultColWidth="11.44140625" defaultRowHeight="14.4"/>
  <cols>
    <col min="1" max="1" width="3.6640625" customWidth="1"/>
    <col min="2" max="2" width="27.109375" customWidth="1"/>
    <col min="3" max="5" width="18" hidden="1" customWidth="1"/>
    <col min="6" max="6" width="14.6640625" style="841" hidden="1" customWidth="1"/>
    <col min="7" max="7" width="17.6640625" style="841" customWidth="1"/>
    <col min="8" max="8" width="13.33203125" customWidth="1"/>
    <col min="9" max="9" width="16.33203125" customWidth="1"/>
    <col min="10" max="10" width="13.6640625" customWidth="1"/>
    <col min="11" max="11" width="13.6640625" hidden="1" customWidth="1"/>
    <col min="12" max="12" width="13.33203125" hidden="1" customWidth="1"/>
    <col min="13" max="13" width="15" hidden="1" customWidth="1"/>
    <col min="14" max="14" width="15.6640625" hidden="1" customWidth="1"/>
    <col min="15" max="15" width="15.5546875" customWidth="1"/>
    <col min="16" max="16" width="7.6640625" style="14" bestFit="1" customWidth="1"/>
    <col min="17" max="17" width="15.88671875" customWidth="1"/>
    <col min="18" max="18" width="16.5546875" customWidth="1"/>
    <col min="19" max="19" width="16.109375" customWidth="1"/>
    <col min="20" max="20" width="18.5546875" customWidth="1"/>
    <col min="21" max="21" width="17" customWidth="1"/>
    <col min="22" max="24" width="15.44140625" bestFit="1" customWidth="1"/>
    <col min="25" max="25" width="14.44140625" bestFit="1" customWidth="1"/>
  </cols>
  <sheetData>
    <row r="1" spans="1:22" ht="21.6" customHeight="1">
      <c r="E1" s="370"/>
      <c r="H1" s="370"/>
      <c r="J1" s="370"/>
      <c r="K1" s="370"/>
      <c r="O1" s="732"/>
      <c r="S1" s="2109" t="s">
        <v>185</v>
      </c>
      <c r="T1" s="2109"/>
      <c r="U1" s="2109"/>
      <c r="V1" s="2109"/>
    </row>
    <row r="2" spans="1:22" ht="15" thickBot="1">
      <c r="E2" s="509"/>
      <c r="F2" s="840"/>
      <c r="G2" s="840"/>
      <c r="H2" s="509"/>
      <c r="I2" s="181" t="s">
        <v>197</v>
      </c>
      <c r="J2" s="1621"/>
      <c r="K2" s="2148" t="s">
        <v>1611</v>
      </c>
      <c r="L2" s="2148"/>
      <c r="M2" s="2148"/>
      <c r="N2" s="2148"/>
      <c r="O2" s="1111"/>
      <c r="P2" s="13"/>
      <c r="Q2" s="181" t="s">
        <v>199</v>
      </c>
      <c r="R2" s="181" t="s">
        <v>225</v>
      </c>
      <c r="S2" s="2109"/>
      <c r="T2" s="2109"/>
      <c r="U2" s="2109"/>
      <c r="V2" s="2109"/>
    </row>
    <row r="3" spans="1:22" ht="15.6" customHeight="1" thickBot="1">
      <c r="B3" s="1033" t="s">
        <v>1445</v>
      </c>
      <c r="C3" s="1034"/>
      <c r="D3" s="1035"/>
      <c r="E3" s="1035"/>
      <c r="F3" s="1036"/>
      <c r="G3" s="1036"/>
      <c r="H3" s="1565">
        <v>61</v>
      </c>
      <c r="I3" s="2142" t="s">
        <v>145</v>
      </c>
      <c r="J3" s="2142" t="s">
        <v>650</v>
      </c>
      <c r="K3" s="2146" t="s">
        <v>2080</v>
      </c>
      <c r="L3" s="2146" t="s">
        <v>1541</v>
      </c>
      <c r="M3" s="2146" t="s">
        <v>1613</v>
      </c>
      <c r="N3" s="2146" t="s">
        <v>652</v>
      </c>
      <c r="O3" s="2179" t="s">
        <v>227</v>
      </c>
      <c r="P3" s="2179" t="s">
        <v>2356</v>
      </c>
      <c r="Q3" s="2142" t="s">
        <v>2357</v>
      </c>
      <c r="R3" s="2142" t="s">
        <v>146</v>
      </c>
      <c r="S3" s="183"/>
      <c r="T3" s="183"/>
      <c r="U3" s="183"/>
      <c r="V3" s="183"/>
    </row>
    <row r="4" spans="1:22" ht="25.2" customHeight="1" thickBot="1">
      <c r="A4" s="152"/>
      <c r="B4" s="1038" t="s">
        <v>29</v>
      </c>
      <c r="C4" s="1039" t="s">
        <v>762</v>
      </c>
      <c r="D4" s="1038" t="s">
        <v>763</v>
      </c>
      <c r="E4" s="1110" t="s">
        <v>1446</v>
      </c>
      <c r="F4" s="1110" t="s">
        <v>1614</v>
      </c>
      <c r="G4" s="1038" t="s">
        <v>1614</v>
      </c>
      <c r="H4" s="1038" t="s">
        <v>31</v>
      </c>
      <c r="I4" s="2143"/>
      <c r="J4" s="2143"/>
      <c r="K4" s="2147"/>
      <c r="L4" s="2147"/>
      <c r="M4" s="2147"/>
      <c r="N4" s="2147"/>
      <c r="O4" s="2180"/>
      <c r="P4" s="2180"/>
      <c r="Q4" s="2181"/>
      <c r="R4" s="2143"/>
      <c r="S4" s="183"/>
      <c r="T4" s="183"/>
      <c r="U4" s="183"/>
      <c r="V4" s="183"/>
    </row>
    <row r="5" spans="1:22">
      <c r="A5">
        <v>1</v>
      </c>
      <c r="B5" s="335" t="s">
        <v>33</v>
      </c>
      <c r="C5" s="1025">
        <f>SUM('budget (11)'!D2:D3)</f>
        <v>103385169</v>
      </c>
      <c r="D5" s="1053">
        <v>103385169</v>
      </c>
      <c r="E5" s="1053">
        <f>+'ADI 462 julio 25 '!D18</f>
        <v>105180000</v>
      </c>
      <c r="F5" s="1054">
        <f>+'ADI 462 AGO25'!D18</f>
        <v>106933000</v>
      </c>
      <c r="G5" s="1054">
        <f>+'ADI 09-25'!C18</f>
        <v>106933000</v>
      </c>
      <c r="H5" s="1053">
        <f>G5/H3</f>
        <v>1753000</v>
      </c>
      <c r="I5" s="1055">
        <f>+'Proc. 01-26'!C$2</f>
        <v>264445081.16</v>
      </c>
      <c r="J5" s="1055">
        <f>+'Proc. 01-26'!D$2</f>
        <v>264445081.16</v>
      </c>
      <c r="K5" s="1055">
        <f>+'Flujo y Ejecución 10-25'!H14</f>
        <v>0</v>
      </c>
      <c r="L5" s="1055"/>
      <c r="M5" s="1055"/>
      <c r="N5" s="1055"/>
      <c r="O5" s="1055">
        <f t="shared" ref="O5:O11" si="0">+J5-L5-M5+N5</f>
        <v>264445081.16</v>
      </c>
      <c r="P5" s="1718">
        <f>+O5/O24</f>
        <v>0.52551536875272398</v>
      </c>
      <c r="Q5" s="1056">
        <f>I5-O5</f>
        <v>0</v>
      </c>
      <c r="R5" s="1056">
        <f t="shared" ref="R5:R11" si="1">+G5-I5</f>
        <v>-157512081.16</v>
      </c>
      <c r="S5" s="183"/>
      <c r="T5" s="183"/>
      <c r="U5" s="183"/>
      <c r="V5" s="183"/>
    </row>
    <row r="6" spans="1:22">
      <c r="B6" s="1044" t="s">
        <v>35</v>
      </c>
      <c r="C6" s="1017">
        <f>SUM('budget (11)'!D11:D24)</f>
        <v>451758999.99999994</v>
      </c>
      <c r="D6" s="1057">
        <v>451758999.99999994</v>
      </c>
      <c r="E6" s="1057">
        <f>+'ADI 462 julio 25 '!D19</f>
        <v>461429397</v>
      </c>
      <c r="F6" s="1058">
        <f>+'ADI 462 AGO25'!D19</f>
        <v>469173666.60000002</v>
      </c>
      <c r="G6" s="1058">
        <f>+'ADI 09-25'!C19</f>
        <v>469173666.60000002</v>
      </c>
      <c r="H6" s="1057">
        <f>G6/$H$3</f>
        <v>7691371.5836065579</v>
      </c>
      <c r="I6" s="1059">
        <f>+'Proc. 01-26'!C$4</f>
        <v>36456870.020000003</v>
      </c>
      <c r="J6" s="1059">
        <f>+'Proc. 01-26'!D$4</f>
        <v>34234614.609999999</v>
      </c>
      <c r="K6" s="1059"/>
      <c r="L6" s="1059"/>
      <c r="M6" s="1059">
        <f>+'CXP 01-26 RES'!G8</f>
        <v>209740.90999999997</v>
      </c>
      <c r="N6" s="1059">
        <f>+'Anticipos 01-26'!D5</f>
        <v>131200</v>
      </c>
      <c r="O6" s="1059">
        <f t="shared" si="0"/>
        <v>34156073.700000003</v>
      </c>
      <c r="P6" s="1717">
        <f>+O6/$O$12</f>
        <v>0.51266082034557781</v>
      </c>
      <c r="Q6" s="1060">
        <f>I6-O6</f>
        <v>2300796.3200000003</v>
      </c>
      <c r="R6" s="1060">
        <f t="shared" si="1"/>
        <v>432716796.58000004</v>
      </c>
      <c r="S6" s="183"/>
      <c r="T6" s="184"/>
      <c r="U6" s="183"/>
      <c r="V6" s="183"/>
    </row>
    <row r="7" spans="1:22" ht="13.95" customHeight="1">
      <c r="B7" s="1044" t="s">
        <v>38</v>
      </c>
      <c r="C7" s="1020">
        <f>SUM('budget (11)'!D25:D39)</f>
        <v>1265953920</v>
      </c>
      <c r="D7" s="1057">
        <f>1447934796</f>
        <v>1447934796</v>
      </c>
      <c r="E7" s="1057">
        <f>+'ADI 462 julio 25 '!D22</f>
        <v>1521122757</v>
      </c>
      <c r="F7" s="1058">
        <f>+'ADI 462 AGO25'!D20</f>
        <v>1517166651</v>
      </c>
      <c r="G7" s="1058">
        <f>+'ADI 09-25'!C20</f>
        <v>1517166651</v>
      </c>
      <c r="H7" s="1057">
        <f t="shared" ref="H7:H11" si="2">G7/$H$3</f>
        <v>24871584.442622952</v>
      </c>
      <c r="I7" s="1061">
        <f>+'Proc. 01-26'!C$5</f>
        <v>79214265.310000002</v>
      </c>
      <c r="J7" s="1061">
        <f>+'Proc. 01-26'!D$5</f>
        <v>3123893.63</v>
      </c>
      <c r="K7" s="1061"/>
      <c r="L7" s="1061"/>
      <c r="M7" s="1061">
        <f>+'CXP 01-26 RES'!G9</f>
        <v>1726339.75</v>
      </c>
      <c r="N7" s="1061"/>
      <c r="O7" s="1061">
        <f t="shared" si="0"/>
        <v>1397553.88</v>
      </c>
      <c r="P7" s="1717">
        <f t="shared" ref="P7:P10" si="3">+O7/$O$12</f>
        <v>2.0976389876976552E-2</v>
      </c>
      <c r="Q7" s="1062">
        <f>I7-O7</f>
        <v>77816711.430000007</v>
      </c>
      <c r="R7" s="1062">
        <f t="shared" si="1"/>
        <v>1437952385.6900001</v>
      </c>
      <c r="S7" s="183"/>
      <c r="T7" s="184"/>
      <c r="U7" s="183"/>
      <c r="V7" s="183"/>
    </row>
    <row r="8" spans="1:22" ht="13.95" customHeight="1">
      <c r="B8" s="1044" t="s">
        <v>767</v>
      </c>
      <c r="C8" s="1020">
        <f>SUM('budget (11)'!D40:D41)</f>
        <v>171771292</v>
      </c>
      <c r="D8" s="1057">
        <v>189969380</v>
      </c>
      <c r="E8" s="1057">
        <f>+'ADI 462 julio 25 '!D23</f>
        <v>198255215.40000001</v>
      </c>
      <c r="F8" s="1058">
        <f>+'ADI 462 AGO25'!D21</f>
        <v>198634031.75999999</v>
      </c>
      <c r="G8" s="1058">
        <f>+'ADI 09-25'!C21</f>
        <v>234388157.47679996</v>
      </c>
      <c r="H8" s="1057">
        <f t="shared" si="2"/>
        <v>3842428.8110950813</v>
      </c>
      <c r="I8" s="1061">
        <f>+'Proc. 01-26'!C$6</f>
        <v>35537148.909999996</v>
      </c>
      <c r="J8" s="1061">
        <f>+'Proc. 01-26'!D$6</f>
        <v>28191306.359999999</v>
      </c>
      <c r="K8" s="1061"/>
      <c r="L8" s="1061"/>
      <c r="M8" s="1061"/>
      <c r="N8" s="1061"/>
      <c r="O8" s="1061">
        <f t="shared" si="0"/>
        <v>28191306.359999999</v>
      </c>
      <c r="P8" s="1717">
        <f t="shared" si="3"/>
        <v>0.42313347757916048</v>
      </c>
      <c r="Q8" s="1062">
        <f>I8-O8</f>
        <v>7345842.549999997</v>
      </c>
      <c r="R8" s="1062">
        <f t="shared" si="1"/>
        <v>198851008.56679997</v>
      </c>
      <c r="S8" s="183"/>
      <c r="T8" s="184"/>
      <c r="U8" s="183"/>
      <c r="V8" s="183"/>
    </row>
    <row r="9" spans="1:22" ht="13.95" customHeight="1">
      <c r="B9" s="1044" t="s">
        <v>1607</v>
      </c>
      <c r="C9" s="1114"/>
      <c r="D9" s="1057">
        <v>0</v>
      </c>
      <c r="E9" s="1057">
        <v>0</v>
      </c>
      <c r="F9" s="1058">
        <f>+'ADI 462 AGO25'!D22</f>
        <v>19863403.175999999</v>
      </c>
      <c r="G9" s="1058">
        <f>+'ADI 09-25'!C22</f>
        <v>19264643</v>
      </c>
      <c r="H9" s="1057">
        <f t="shared" si="2"/>
        <v>315813.81967213115</v>
      </c>
      <c r="I9" s="1061">
        <f>+'Proc. 01-26'!C$9</f>
        <v>8618393.0999999996</v>
      </c>
      <c r="J9" s="1061">
        <f>+'Proc. 01-26'!D$9</f>
        <v>2534821.5</v>
      </c>
      <c r="K9" s="1061"/>
      <c r="L9" s="1061"/>
      <c r="M9" s="1061">
        <f>+'CXP 01-26 RES'!G12</f>
        <v>506964.3</v>
      </c>
      <c r="N9" s="1061"/>
      <c r="O9" s="1061">
        <f t="shared" si="0"/>
        <v>2027857.2</v>
      </c>
      <c r="P9" s="1717">
        <f t="shared" si="3"/>
        <v>3.0436839574323974E-2</v>
      </c>
      <c r="Q9" s="1062"/>
      <c r="R9" s="1062">
        <f t="shared" si="1"/>
        <v>10646249.9</v>
      </c>
      <c r="S9" s="183"/>
      <c r="T9" s="184"/>
      <c r="U9" s="183"/>
      <c r="V9" s="183"/>
    </row>
    <row r="10" spans="1:22">
      <c r="B10" s="1044" t="s">
        <v>40</v>
      </c>
      <c r="C10" s="1020">
        <f>SUM('budget (11)'!D42)</f>
        <v>34354258</v>
      </c>
      <c r="D10" s="1057">
        <v>37993876</v>
      </c>
      <c r="E10" s="1057">
        <f>+'ADI 462 julio 25 '!D24/2</f>
        <v>39651043.079999998</v>
      </c>
      <c r="F10" s="1058">
        <f>+'ADI 462 AGO25'!D23</f>
        <v>47672167.622400001</v>
      </c>
      <c r="G10" s="1058">
        <f>+'ADI 09-25'!C23</f>
        <v>47672167.622400001</v>
      </c>
      <c r="H10" s="1057">
        <f t="shared" si="2"/>
        <v>781510.94462950819</v>
      </c>
      <c r="I10" s="1061">
        <f>+'Proc. 01-26'!C$7</f>
        <v>2085881.09</v>
      </c>
      <c r="J10" s="1061">
        <f>+'Proc. 01-26'!D$7</f>
        <v>1047858.69</v>
      </c>
      <c r="K10" s="1061"/>
      <c r="L10" s="1061"/>
      <c r="M10" s="1061">
        <f>+'CXP 01-26 RES'!G10+'CXP 01-26 RES'!G11</f>
        <v>195559.04000000001</v>
      </c>
      <c r="N10" s="1061"/>
      <c r="O10" s="1061">
        <f t="shared" si="0"/>
        <v>852299.64999999991</v>
      </c>
      <c r="P10" s="1717">
        <f t="shared" si="3"/>
        <v>1.279247262396113E-2</v>
      </c>
      <c r="Q10" s="1062">
        <f>I10-O10</f>
        <v>1233581.4400000002</v>
      </c>
      <c r="R10" s="1062">
        <f t="shared" si="1"/>
        <v>45586286.532399997</v>
      </c>
      <c r="S10" s="183"/>
      <c r="T10" s="184"/>
      <c r="U10" s="183"/>
      <c r="V10" s="183"/>
    </row>
    <row r="11" spans="1:22">
      <c r="B11" s="1044" t="s">
        <v>764</v>
      </c>
      <c r="C11" s="1020">
        <v>0</v>
      </c>
      <c r="D11" s="1057">
        <v>37993876</v>
      </c>
      <c r="E11" s="1057">
        <f>+'ADI 462 julio 25 '!D24/2</f>
        <v>39651043.079999998</v>
      </c>
      <c r="F11" s="1058">
        <f>+'ADI 462 AGO25'!D24</f>
        <v>39726806.351999998</v>
      </c>
      <c r="G11" s="1058">
        <f>+'ADI 09-25'!C24</f>
        <v>39726806.351999998</v>
      </c>
      <c r="H11" s="1057">
        <f t="shared" si="2"/>
        <v>651259.12052459014</v>
      </c>
      <c r="I11" s="1061">
        <f>+'Proc. 01-26'!C$8</f>
        <v>0</v>
      </c>
      <c r="J11" s="1061">
        <f>+'Proc. 01-26'!D$8</f>
        <v>0</v>
      </c>
      <c r="K11" s="1061"/>
      <c r="L11" s="1061"/>
      <c r="M11" s="1061"/>
      <c r="N11" s="1061"/>
      <c r="O11" s="1061">
        <f t="shared" si="0"/>
        <v>0</v>
      </c>
      <c r="P11" s="1719"/>
      <c r="Q11" s="1062">
        <f>I11-O11</f>
        <v>0</v>
      </c>
      <c r="R11" s="1062">
        <f t="shared" si="1"/>
        <v>39726806.351999998</v>
      </c>
      <c r="S11" s="183"/>
      <c r="T11" s="184"/>
      <c r="U11" s="183"/>
      <c r="V11" s="183"/>
    </row>
    <row r="12" spans="1:22">
      <c r="B12" s="254" t="s">
        <v>41</v>
      </c>
      <c r="C12" s="665">
        <f>SUM(C6:C10)</f>
        <v>1923838470</v>
      </c>
      <c r="D12" s="1063">
        <f t="shared" ref="D12:R12" si="4">SUM(D6:D11)</f>
        <v>2165650928</v>
      </c>
      <c r="E12" s="1063">
        <f t="shared" si="4"/>
        <v>2260109455.5599999</v>
      </c>
      <c r="F12" s="1063">
        <f t="shared" si="4"/>
        <v>2292236726.5103998</v>
      </c>
      <c r="G12" s="1063">
        <f t="shared" si="4"/>
        <v>2327392092.0511999</v>
      </c>
      <c r="H12" s="1063">
        <f t="shared" si="4"/>
        <v>38153968.722150818</v>
      </c>
      <c r="I12" s="1064">
        <f t="shared" si="4"/>
        <v>161912558.43000001</v>
      </c>
      <c r="J12" s="1064">
        <f t="shared" ref="J12" si="5">SUM(J6:J11)</f>
        <v>69132494.789999992</v>
      </c>
      <c r="K12" s="1064">
        <f t="shared" si="4"/>
        <v>0</v>
      </c>
      <c r="L12" s="1064">
        <f t="shared" si="4"/>
        <v>0</v>
      </c>
      <c r="M12" s="1064">
        <f>SUM(M6:M11)</f>
        <v>2638604</v>
      </c>
      <c r="N12" s="1064">
        <f t="shared" si="4"/>
        <v>131200</v>
      </c>
      <c r="O12" s="1064">
        <f t="shared" si="4"/>
        <v>66625090.790000007</v>
      </c>
      <c r="P12" s="1720">
        <f>+O12/O24</f>
        <v>0.13239992591696792</v>
      </c>
      <c r="Q12" s="1714">
        <f t="shared" si="4"/>
        <v>88696931.739999995</v>
      </c>
      <c r="R12" s="1064">
        <f t="shared" si="4"/>
        <v>2165479533.6211996</v>
      </c>
      <c r="S12" s="183"/>
      <c r="T12" s="184"/>
      <c r="U12" s="183"/>
      <c r="V12" s="183"/>
    </row>
    <row r="13" spans="1:22">
      <c r="B13" s="1044" t="s">
        <v>42</v>
      </c>
      <c r="C13" s="1023">
        <f>SUM('budget (11)'!D43)</f>
        <v>137417034</v>
      </c>
      <c r="D13" s="1065">
        <v>151975504</v>
      </c>
      <c r="E13" s="1057">
        <f>+'ADI 462 julio 25 '!D26</f>
        <v>158604172.31999999</v>
      </c>
      <c r="F13" s="1058">
        <f>+'ADI 462 AGO25'!D26</f>
        <v>158907225.40799999</v>
      </c>
      <c r="G13" s="1058">
        <f>+'ADI 09-25'!C26</f>
        <v>187510525.98143998</v>
      </c>
      <c r="H13" s="1057">
        <f>G13/$H$3</f>
        <v>3073943.0488760653</v>
      </c>
      <c r="I13" s="1066">
        <f>+'Proc. 01-26'!C$11</f>
        <v>17861175.969999999</v>
      </c>
      <c r="J13" s="1066">
        <f>+'Proc. 01-26'!D$11</f>
        <v>17861175.969999999</v>
      </c>
      <c r="K13" s="1066"/>
      <c r="L13" s="1066"/>
      <c r="M13" s="1066"/>
      <c r="N13" s="1066"/>
      <c r="O13" s="1066">
        <f>+J13-L13-M13+N13</f>
        <v>17861175.969999999</v>
      </c>
      <c r="P13" s="1717">
        <f>+O13/$O$18</f>
        <v>0.14388752084397965</v>
      </c>
      <c r="Q13" s="1715">
        <f>I13-O13</f>
        <v>0</v>
      </c>
      <c r="R13" s="1066">
        <f>+G13-I13</f>
        <v>169649350.01143998</v>
      </c>
      <c r="S13" s="183"/>
      <c r="T13" s="184"/>
      <c r="U13" s="183"/>
      <c r="V13" s="183"/>
    </row>
    <row r="14" spans="1:22">
      <c r="B14" s="1044" t="s">
        <v>43</v>
      </c>
      <c r="C14" s="1023">
        <f>SUM('budget (11)'!D45:D46)</f>
        <v>281704919</v>
      </c>
      <c r="D14" s="1065">
        <v>308130334</v>
      </c>
      <c r="E14" s="1065">
        <f>+'ADI 462 julio 25 '!D27</f>
        <v>356859387.71999997</v>
      </c>
      <c r="F14" s="1067">
        <f>+'ADI 462 AGO25'!D27</f>
        <v>365486618.43839997</v>
      </c>
      <c r="G14" s="1067">
        <f>+'ADI 09-25'!C27</f>
        <v>327746152.40399998</v>
      </c>
      <c r="H14" s="1057">
        <f>G14/$H$3</f>
        <v>5372887.7443278683</v>
      </c>
      <c r="I14" s="1066">
        <f>+'Proc. 01-26'!C$12</f>
        <v>82096028.680000007</v>
      </c>
      <c r="J14" s="1066">
        <f>+'Proc. 01-26'!D$12</f>
        <v>81268343.769999996</v>
      </c>
      <c r="K14" s="1066"/>
      <c r="L14" s="1066"/>
      <c r="M14" s="1066">
        <f>+'CXP 01-26 RES'!G13+'CXP 01-26 RES'!G14</f>
        <v>3313697.4699999997</v>
      </c>
      <c r="N14" s="1066"/>
      <c r="O14" s="1066">
        <f>+J14-L14-M14+N14</f>
        <v>77954646.299999997</v>
      </c>
      <c r="P14" s="1717">
        <f t="shared" ref="P14:P16" si="6">+O14/$O$18</f>
        <v>0.62799340946061533</v>
      </c>
      <c r="Q14" s="1715">
        <f>I14-O14</f>
        <v>4141382.3800000101</v>
      </c>
      <c r="R14" s="1066">
        <f>+G14-I14</f>
        <v>245650123.72399998</v>
      </c>
      <c r="S14" s="183"/>
      <c r="T14" s="184"/>
      <c r="U14" s="183"/>
      <c r="V14" s="183"/>
    </row>
    <row r="15" spans="1:22">
      <c r="B15" s="1044" t="s">
        <v>44</v>
      </c>
      <c r="C15" s="1023">
        <f>SUM('budget (11)'!D47)</f>
        <v>67334346</v>
      </c>
      <c r="D15" s="1065">
        <v>75797782</v>
      </c>
      <c r="E15" s="1065">
        <f>+'ADI 462 julio 25 '!D28</f>
        <v>79103830.944600001</v>
      </c>
      <c r="F15" s="1067">
        <f>+'ADI 462 AGO25'!D28</f>
        <v>80228285.427864</v>
      </c>
      <c r="G15" s="1067">
        <f>+'ADI 09-25'!C28</f>
        <v>81458723.221791998</v>
      </c>
      <c r="H15" s="1057">
        <f>G15/$H$3</f>
        <v>1335388.9052752787</v>
      </c>
      <c r="I15" s="1066">
        <f>+'Proc. 01-26'!C$13</f>
        <v>2673212.11</v>
      </c>
      <c r="J15" s="1066">
        <f>+'Proc. 01-26'!D$13</f>
        <v>2747226.9</v>
      </c>
      <c r="K15" s="1066"/>
      <c r="L15" s="1066"/>
      <c r="M15" s="1066">
        <f>+'CXP 01-26 RES'!G15</f>
        <v>74014.789999999994</v>
      </c>
      <c r="N15" s="1066"/>
      <c r="O15" s="1066">
        <f>+J15-L15-M15+N15</f>
        <v>2673212.11</v>
      </c>
      <c r="P15" s="1717">
        <f t="shared" si="6"/>
        <v>2.1535080548114878E-2</v>
      </c>
      <c r="Q15" s="1715">
        <f>I15-O15</f>
        <v>0</v>
      </c>
      <c r="R15" s="1066">
        <f>+G15-I15</f>
        <v>78785511.111791998</v>
      </c>
      <c r="S15" s="183"/>
      <c r="T15" s="184"/>
      <c r="U15" s="183"/>
      <c r="V15" s="183"/>
    </row>
    <row r="16" spans="1:22">
      <c r="A16">
        <v>1</v>
      </c>
      <c r="B16" s="1044" t="s">
        <v>45</v>
      </c>
      <c r="C16" s="1023">
        <f>SUM('budget (11)'!D48:D49)</f>
        <v>51531387.949999996</v>
      </c>
      <c r="D16" s="1065">
        <v>56990814</v>
      </c>
      <c r="E16" s="1065">
        <f>+'ADI 462 julio 25 '!D29</f>
        <v>59476564.619999997</v>
      </c>
      <c r="F16" s="1067">
        <f>+'ADI 462 AGO25'!D29</f>
        <v>69521911.115999997</v>
      </c>
      <c r="G16" s="1067">
        <f>+'ADI 09-25'!C29</f>
        <v>69521911.115999997</v>
      </c>
      <c r="H16" s="1057">
        <f>G16/$H$3</f>
        <v>1139703.4609180328</v>
      </c>
      <c r="I16" s="1066">
        <f>+'Proc. 01-26'!C$14</f>
        <v>27807157.140000001</v>
      </c>
      <c r="J16" s="1066">
        <f>+'Proc. 01-26'!D$14</f>
        <v>26326125.859999999</v>
      </c>
      <c r="K16" s="1066"/>
      <c r="L16" s="1066">
        <f>+'CXP MMHB 01-26'!E8+'CXP MMHB 01-26'!E12+'CXP MMHB 01-26'!E16</f>
        <v>268721.46999999997</v>
      </c>
      <c r="M16" s="1066">
        <f>+'CXP 01-26 RES'!G16+'CXP 01-26 RES'!G17</f>
        <v>429591.11</v>
      </c>
      <c r="N16" s="1066">
        <f>+'Anticipos 01-26'!D10</f>
        <v>16057.44</v>
      </c>
      <c r="O16" s="1066">
        <f>+J16-L16-M16+N16</f>
        <v>25643870.720000003</v>
      </c>
      <c r="P16" s="1717">
        <f t="shared" si="6"/>
        <v>0.2065839891472902</v>
      </c>
      <c r="Q16" s="1715">
        <f>I16-O16</f>
        <v>2163286.4199999981</v>
      </c>
      <c r="R16" s="1066">
        <f>+G16-I16</f>
        <v>41714753.975999996</v>
      </c>
      <c r="S16" s="183"/>
      <c r="T16" s="184"/>
      <c r="U16" s="183"/>
      <c r="V16" s="183"/>
    </row>
    <row r="17" spans="2:22">
      <c r="B17" s="1044" t="s">
        <v>46</v>
      </c>
      <c r="C17" s="1023">
        <f>SUM('budget (11)'!D50)</f>
        <v>19238385</v>
      </c>
      <c r="D17" s="1065">
        <v>21656506</v>
      </c>
      <c r="E17" s="1065">
        <f>+'ADI 462 julio 25 '!D30</f>
        <v>19825521.539999999</v>
      </c>
      <c r="F17" s="1067">
        <f>+'ADI 462 AGO25'!D30</f>
        <v>19863403.175999999</v>
      </c>
      <c r="G17" s="1067">
        <f>+'ADI 09-25'!C30</f>
        <v>19863403.175999999</v>
      </c>
      <c r="H17" s="1057">
        <f>G17/$H$3</f>
        <v>325629.56026229507</v>
      </c>
      <c r="I17" s="1066">
        <f>+'Proc. 12-25'!C14</f>
        <v>0</v>
      </c>
      <c r="J17" s="1066">
        <f>+'Proc. 12-25'!D14</f>
        <v>0</v>
      </c>
      <c r="K17" s="1066"/>
      <c r="L17" s="1066"/>
      <c r="M17" s="1066"/>
      <c r="N17" s="1066"/>
      <c r="O17" s="1066">
        <f>+J17-L17-M17+N17</f>
        <v>0</v>
      </c>
      <c r="P17" s="1721"/>
      <c r="Q17" s="1715">
        <f>I17-O17</f>
        <v>0</v>
      </c>
      <c r="R17" s="1066">
        <f>+G17-I17</f>
        <v>19863403.175999999</v>
      </c>
      <c r="S17" s="183"/>
      <c r="T17" s="184"/>
      <c r="U17" s="183"/>
      <c r="V17" s="183"/>
    </row>
    <row r="18" spans="2:22">
      <c r="B18" s="254" t="s">
        <v>47</v>
      </c>
      <c r="C18" s="665">
        <f t="shared" ref="C18:Q18" si="7">SUM(C13:C17)</f>
        <v>557226071.95000005</v>
      </c>
      <c r="D18" s="1063">
        <f t="shared" si="7"/>
        <v>614550940</v>
      </c>
      <c r="E18" s="1063">
        <f t="shared" ref="E18:G18" si="8">SUM(E13:E17)</f>
        <v>673869477.14459991</v>
      </c>
      <c r="F18" s="1063">
        <f t="shared" si="8"/>
        <v>694007443.56626403</v>
      </c>
      <c r="G18" s="1063">
        <f t="shared" si="8"/>
        <v>686100715.89923203</v>
      </c>
      <c r="H18" s="1063">
        <f>SUM(H13:H17)</f>
        <v>11247552.719659541</v>
      </c>
      <c r="I18" s="1064">
        <f>SUM(I13:I17)</f>
        <v>130437573.90000001</v>
      </c>
      <c r="J18" s="1064">
        <f>SUM(J13:J17)</f>
        <v>128202872.5</v>
      </c>
      <c r="K18" s="1064">
        <f t="shared" ref="K18:L18" si="9">SUM(K13:K17)</f>
        <v>0</v>
      </c>
      <c r="L18" s="1064">
        <f t="shared" si="9"/>
        <v>268721.46999999997</v>
      </c>
      <c r="M18" s="1064">
        <f>SUM(M13:M17)</f>
        <v>3817303.3699999996</v>
      </c>
      <c r="N18" s="1064">
        <f t="shared" si="7"/>
        <v>16057.44</v>
      </c>
      <c r="O18" s="1064">
        <f t="shared" si="7"/>
        <v>124132905.09999999</v>
      </c>
      <c r="P18" s="1720">
        <f>+O18/O24</f>
        <v>0.24668165167535985</v>
      </c>
      <c r="Q18" s="1714">
        <f t="shared" si="7"/>
        <v>6304668.8000000082</v>
      </c>
      <c r="R18" s="1064">
        <f t="shared" ref="R18" si="10">SUM(R13:R17)</f>
        <v>555663141.99923205</v>
      </c>
      <c r="S18" s="183"/>
      <c r="T18" s="184"/>
      <c r="U18" s="183"/>
      <c r="V18" s="183"/>
    </row>
    <row r="19" spans="2:22">
      <c r="B19" s="1044" t="s">
        <v>48</v>
      </c>
      <c r="C19" s="1023">
        <f>SUM('budget (11)'!D51:D52)</f>
        <v>15000000</v>
      </c>
      <c r="D19" s="1065">
        <v>30500000</v>
      </c>
      <c r="E19" s="1065">
        <f>+'ADI 462 julio 25 '!D32</f>
        <v>30500000</v>
      </c>
      <c r="F19" s="1067">
        <f>+'ADI 462 AGO25'!D32</f>
        <v>30500000</v>
      </c>
      <c r="G19" s="1067">
        <f>+'ADI 09-25'!C32</f>
        <v>30500000</v>
      </c>
      <c r="H19" s="1065">
        <f>G19/$H$3</f>
        <v>500000</v>
      </c>
      <c r="I19" s="1066">
        <f>+'Proc. 01-26'!C$17</f>
        <v>23749760.079999998</v>
      </c>
      <c r="J19" s="1066">
        <f>+'Proc. 01-26'!D$17</f>
        <v>21129357.760000002</v>
      </c>
      <c r="K19" s="1066"/>
      <c r="L19" s="1066">
        <f>+'CXP MMHB 01-26'!E20</f>
        <v>8500</v>
      </c>
      <c r="M19" s="1066">
        <f>+'CXP 01-26 RES'!G18</f>
        <v>371110</v>
      </c>
      <c r="N19" s="1066">
        <f>+'Anticipos 01-26'!D8</f>
        <v>15171.880000000001</v>
      </c>
      <c r="O19" s="1066">
        <f>+J19-L19-M19+N19</f>
        <v>20764919.640000001</v>
      </c>
      <c r="P19" s="1717">
        <f>+O19/$O$23</f>
        <v>0.4325316651694962</v>
      </c>
      <c r="Q19" s="1715">
        <f>I19-O19</f>
        <v>2984840.4399999976</v>
      </c>
      <c r="R19" s="1066">
        <f>+G19-I19</f>
        <v>6750239.9200000018</v>
      </c>
      <c r="S19" s="183"/>
      <c r="T19" s="184"/>
      <c r="U19" s="183"/>
      <c r="V19" s="185"/>
    </row>
    <row r="20" spans="2:22">
      <c r="B20" s="1044" t="s">
        <v>49</v>
      </c>
      <c r="C20" s="1023">
        <f>SUM('budget (11)'!D4:D10)</f>
        <v>20789999.999999996</v>
      </c>
      <c r="D20" s="1065">
        <v>20789999.999999996</v>
      </c>
      <c r="E20" s="1065">
        <f>+'ADI 462 julio 25 '!D33</f>
        <v>25000000</v>
      </c>
      <c r="F20" s="1067">
        <f>+'ADI 462 AGO25'!D33</f>
        <v>25000000</v>
      </c>
      <c r="G20" s="1067">
        <f>+'ADI 09-25'!C33</f>
        <v>25000000</v>
      </c>
      <c r="H20" s="1065">
        <f>G20/$H$3</f>
        <v>409836.06557377049</v>
      </c>
      <c r="I20" s="1066">
        <f>+'Proc. 01-26'!C$3</f>
        <v>24418753.809999999</v>
      </c>
      <c r="J20" s="1066">
        <f>+'Proc. 01-26'!D$3</f>
        <v>23983270.809999999</v>
      </c>
      <c r="K20" s="1066">
        <f>+'Proc. 12-25'!F3</f>
        <v>278099.52</v>
      </c>
      <c r="L20" s="1066"/>
      <c r="M20" s="1066">
        <f>+'CXP 01-26 RES'!G7</f>
        <v>1427678.42</v>
      </c>
      <c r="N20" s="1066">
        <f>+'Anticipos 01-26'!D3</f>
        <v>273000</v>
      </c>
      <c r="O20" s="1066">
        <f>+J20-L20-M20+N20</f>
        <v>22828592.390000001</v>
      </c>
      <c r="P20" s="1717">
        <f t="shared" ref="P20:P21" si="11">+O20/$O$23</f>
        <v>0.4755178084533338</v>
      </c>
      <c r="Q20" s="1715">
        <f>I20-O20</f>
        <v>1590161.4199999981</v>
      </c>
      <c r="R20" s="1066">
        <f>+G20-I20</f>
        <v>581246.19000000134</v>
      </c>
      <c r="S20" s="183"/>
      <c r="T20" s="184"/>
      <c r="U20" s="183"/>
      <c r="V20" s="183"/>
    </row>
    <row r="21" spans="2:22">
      <c r="B21" s="1044" t="s">
        <v>50</v>
      </c>
      <c r="C21" s="1023">
        <f>SUM('budget (11)'!D54)</f>
        <v>192383847</v>
      </c>
      <c r="D21" s="1065">
        <v>216565093</v>
      </c>
      <c r="E21" s="1065">
        <f>+'ADI 462 julio 25 '!D34</f>
        <v>226010945.55599999</v>
      </c>
      <c r="F21" s="1067">
        <f>+'ADI 462 AGO25'!D34</f>
        <v>229223672.65103999</v>
      </c>
      <c r="G21" s="1067">
        <f>+'ADI 09-25'!C34</f>
        <v>232739209.20512</v>
      </c>
      <c r="H21" s="1065">
        <f>G21/$H$3</f>
        <v>3815396.8722150819</v>
      </c>
      <c r="I21" s="1066">
        <f>+'Proc. 01-26'!C$18</f>
        <v>4414348</v>
      </c>
      <c r="J21" s="1066">
        <f>+'Proc. 01-26'!D$18</f>
        <v>4414348</v>
      </c>
      <c r="K21" s="1066"/>
      <c r="L21" s="1066"/>
      <c r="M21" s="1066"/>
      <c r="N21" s="1066"/>
      <c r="O21" s="1066">
        <f>+J21-L21-M21+N21</f>
        <v>4414348</v>
      </c>
      <c r="P21" s="1717">
        <f t="shared" si="11"/>
        <v>9.1950526377169994E-2</v>
      </c>
      <c r="Q21" s="1715">
        <f>I21-O21</f>
        <v>0</v>
      </c>
      <c r="R21" s="1066">
        <f>+G21-I21</f>
        <v>228324861.20512</v>
      </c>
      <c r="S21" s="183"/>
      <c r="T21" s="184"/>
      <c r="U21" s="183"/>
      <c r="V21" s="183"/>
    </row>
    <row r="22" spans="2:22">
      <c r="B22" s="1044" t="s">
        <v>51</v>
      </c>
      <c r="C22" s="1023">
        <f>SUM('budget (11)'!D53)</f>
        <v>19238385</v>
      </c>
      <c r="D22" s="1065">
        <v>21656509</v>
      </c>
      <c r="E22" s="1065">
        <f>+'ADI 462 julio 25 '!D35</f>
        <v>19825521.539999999</v>
      </c>
      <c r="F22" s="1067">
        <f>+'ADI 462 AGO25'!D35</f>
        <v>19863403.175999999</v>
      </c>
      <c r="G22" s="1067">
        <f>+'ADI 09-25'!C35</f>
        <v>19863403.175999999</v>
      </c>
      <c r="H22" s="1065">
        <f>G22/$H$3</f>
        <v>325629.56026229507</v>
      </c>
      <c r="I22" s="1066">
        <f>+'Proc. 01-26'!C$19</f>
        <v>0</v>
      </c>
      <c r="J22" s="1066">
        <f>+'Proc. 01-26'!D$19</f>
        <v>0</v>
      </c>
      <c r="K22" s="1066"/>
      <c r="L22" s="1066"/>
      <c r="M22" s="1066"/>
      <c r="N22" s="1066"/>
      <c r="O22" s="1066">
        <f>+J22-L22-M22+N22</f>
        <v>0</v>
      </c>
      <c r="P22" s="1721"/>
      <c r="Q22" s="1715">
        <f>I22-O22</f>
        <v>0</v>
      </c>
      <c r="R22" s="1066">
        <f>+G22-I22</f>
        <v>19863403.175999999</v>
      </c>
      <c r="S22" s="183"/>
      <c r="T22" s="184"/>
      <c r="U22" s="183"/>
      <c r="V22" s="183"/>
    </row>
    <row r="23" spans="2:22" ht="15" thickBot="1">
      <c r="B23" s="254" t="s">
        <v>52</v>
      </c>
      <c r="C23" s="665">
        <f t="shared" ref="C23:R23" si="12">SUM(C19:C22)</f>
        <v>247412232</v>
      </c>
      <c r="D23" s="1063">
        <f t="shared" si="12"/>
        <v>289511602</v>
      </c>
      <c r="E23" s="1063">
        <f t="shared" ref="E23" si="13">SUM(E19:E22)</f>
        <v>301336467.09600002</v>
      </c>
      <c r="F23" s="1063">
        <f>SUM(F19:F22)</f>
        <v>304587075.82703996</v>
      </c>
      <c r="G23" s="1063">
        <f>SUM(G19:G22)</f>
        <v>308102612.38111997</v>
      </c>
      <c r="H23" s="1063">
        <f>SUM(H19:H22)</f>
        <v>5050862.4980511479</v>
      </c>
      <c r="I23" s="1064">
        <f>SUM(I19:I22)</f>
        <v>52582861.890000001</v>
      </c>
      <c r="J23" s="1064">
        <f>SUM(J19:J22)</f>
        <v>49526976.57</v>
      </c>
      <c r="K23" s="1064">
        <f t="shared" ref="K23:L23" si="14">SUM(K19:K22)</f>
        <v>278099.52</v>
      </c>
      <c r="L23" s="1064">
        <f t="shared" si="14"/>
        <v>8500</v>
      </c>
      <c r="M23" s="1064">
        <f>SUM(M19:M22)</f>
        <v>1798788.42</v>
      </c>
      <c r="N23" s="1064">
        <f t="shared" si="12"/>
        <v>288171.88</v>
      </c>
      <c r="O23" s="1064">
        <f t="shared" si="12"/>
        <v>48007860.030000001</v>
      </c>
      <c r="P23" s="1720">
        <f>+O23/O24</f>
        <v>9.5403053654948194E-2</v>
      </c>
      <c r="Q23" s="1714">
        <f t="shared" si="12"/>
        <v>4575001.8599999957</v>
      </c>
      <c r="R23" s="1064">
        <f t="shared" si="12"/>
        <v>255519750.49112001</v>
      </c>
      <c r="S23" s="183"/>
      <c r="T23" s="184"/>
      <c r="U23" s="183"/>
      <c r="V23" s="183"/>
    </row>
    <row r="24" spans="2:22" ht="16.2" thickBot="1">
      <c r="B24" s="1041" t="s">
        <v>1156</v>
      </c>
      <c r="C24" s="1042">
        <f t="shared" ref="C24:H24" si="15">C5+C12+C18+C23</f>
        <v>2831861942.9499998</v>
      </c>
      <c r="D24" s="1068">
        <f t="shared" si="15"/>
        <v>3173098639</v>
      </c>
      <c r="E24" s="1043">
        <f t="shared" si="15"/>
        <v>3340495399.8006001</v>
      </c>
      <c r="F24" s="1043">
        <f t="shared" si="15"/>
        <v>3397764245.9037037</v>
      </c>
      <c r="G24" s="1043">
        <f t="shared" si="15"/>
        <v>3428528420.3315516</v>
      </c>
      <c r="H24" s="1043">
        <f t="shared" si="15"/>
        <v>56205383.939861506</v>
      </c>
      <c r="I24" s="1043">
        <f t="shared" ref="I24:R24" si="16">I23+I18+I12+I5</f>
        <v>609378075.38</v>
      </c>
      <c r="J24" s="1043">
        <f t="shared" ref="J24" si="17">J23+J18+J12+J5</f>
        <v>511307425.01999998</v>
      </c>
      <c r="K24" s="1043">
        <f t="shared" si="16"/>
        <v>278099.52</v>
      </c>
      <c r="L24" s="1043">
        <f t="shared" si="16"/>
        <v>277221.46999999997</v>
      </c>
      <c r="M24" s="1043">
        <f>M23+M18+M12+M5</f>
        <v>8254695.7899999991</v>
      </c>
      <c r="N24" s="1043">
        <f t="shared" si="16"/>
        <v>435429.32</v>
      </c>
      <c r="O24" s="1713">
        <f t="shared" si="16"/>
        <v>503210937.08000004</v>
      </c>
      <c r="P24" s="1722">
        <f>+P5+P12+P18+P23</f>
        <v>0.99999999999999989</v>
      </c>
      <c r="Q24" s="1716">
        <f t="shared" si="16"/>
        <v>99576602.400000006</v>
      </c>
      <c r="R24" s="1043">
        <f t="shared" si="16"/>
        <v>2819150344.9515519</v>
      </c>
      <c r="S24" s="183"/>
      <c r="T24" s="184"/>
      <c r="U24" s="183"/>
      <c r="V24" s="183"/>
    </row>
    <row r="25" spans="2:22" ht="15" thickBot="1">
      <c r="E25" s="509"/>
      <c r="H25" s="509"/>
      <c r="I25" s="369">
        <f>+'Proc. 01-26'!C21</f>
        <v>609378075.38</v>
      </c>
      <c r="J25" s="369">
        <f>+'Proc. 01-26'!D21</f>
        <v>511307425.01999998</v>
      </c>
      <c r="K25" s="369"/>
      <c r="L25" s="369"/>
      <c r="M25" s="369"/>
      <c r="N25" s="369"/>
      <c r="O25" s="730">
        <f>+'FLUJO 01-26'!C27</f>
        <v>502245501.16000003</v>
      </c>
      <c r="P25" s="1723"/>
      <c r="Q25" s="320"/>
      <c r="R25" s="320"/>
    </row>
    <row r="26" spans="2:22" ht="15" thickBot="1">
      <c r="D26" s="320"/>
      <c r="E26" s="320"/>
      <c r="H26" s="320"/>
      <c r="I26" s="368">
        <f>+I24-I25</f>
        <v>0</v>
      </c>
      <c r="J26" s="368">
        <f>+J24-J25</f>
        <v>0</v>
      </c>
      <c r="K26" s="368"/>
      <c r="L26" s="368"/>
      <c r="M26" s="434" t="s">
        <v>653</v>
      </c>
      <c r="N26" s="435">
        <f>+'BCE 07-25'!C45</f>
        <v>159695773.63999999</v>
      </c>
      <c r="O26" s="1016">
        <f>+O24-O25</f>
        <v>965435.92000001669</v>
      </c>
      <c r="Q26" s="142"/>
      <c r="R26" s="142"/>
      <c r="T26" s="186" t="s">
        <v>189</v>
      </c>
      <c r="U26" s="190">
        <v>2831861942.3920002</v>
      </c>
    </row>
    <row r="27" spans="2:22" ht="18.600000000000001" thickBot="1">
      <c r="B27" s="333" t="s">
        <v>1447</v>
      </c>
      <c r="C27" s="672">
        <v>3515158425</v>
      </c>
      <c r="D27" s="672">
        <f t="shared" ref="D27" si="18">+D14/0.08</f>
        <v>3851629175</v>
      </c>
      <c r="E27" s="672">
        <f>+E28*60</f>
        <v>3996000000</v>
      </c>
      <c r="H27" s="672"/>
      <c r="I27" s="368"/>
      <c r="J27" s="368"/>
      <c r="K27" s="368"/>
      <c r="L27" s="368"/>
      <c r="M27" s="586" t="s">
        <v>1157</v>
      </c>
      <c r="N27" s="587">
        <f>+'BCE 07-25'!C33</f>
        <v>48015000</v>
      </c>
      <c r="O27" s="1016"/>
      <c r="Q27" s="1098"/>
      <c r="R27" s="142"/>
      <c r="T27" s="186"/>
      <c r="U27" s="190"/>
    </row>
    <row r="28" spans="2:22" ht="15" thickBot="1">
      <c r="C28" s="370">
        <f>+C27/59</f>
        <v>59578956.355932206</v>
      </c>
      <c r="D28" s="370">
        <f>+D27/59</f>
        <v>65281850.423728816</v>
      </c>
      <c r="E28" s="370">
        <v>66600000</v>
      </c>
      <c r="H28" s="370"/>
      <c r="I28" s="368">
        <f>+I14/G14</f>
        <v>0.25048662837940328</v>
      </c>
      <c r="J28" s="368"/>
      <c r="M28" s="436" t="s">
        <v>654</v>
      </c>
      <c r="N28" s="437">
        <f>-'BCE 07-25'!C17</f>
        <v>-45448879.799999997</v>
      </c>
      <c r="O28" s="12"/>
      <c r="Q28" s="320"/>
      <c r="R28" s="320"/>
      <c r="T28" s="188" t="s">
        <v>190</v>
      </c>
      <c r="U28" s="189">
        <f>C24</f>
        <v>2831861942.9499998</v>
      </c>
    </row>
    <row r="29" spans="2:22" ht="15" thickBot="1">
      <c r="C29" s="489"/>
      <c r="D29" s="370"/>
      <c r="E29" s="370"/>
      <c r="H29" s="370"/>
      <c r="I29" s="474"/>
      <c r="M29" s="441" t="s">
        <v>655</v>
      </c>
      <c r="N29" s="442">
        <f>+'BCE 07-25'!C35+'BCE 07-25'!C36+'BCE 07-25'!C37+'BCE 07-25'!C38</f>
        <v>432311.75</v>
      </c>
      <c r="O29" s="445"/>
      <c r="P29" s="1723"/>
      <c r="Q29" s="320"/>
      <c r="R29" s="320"/>
      <c r="T29" s="187" t="s">
        <v>191</v>
      </c>
      <c r="U29" s="191">
        <f>U26-U28</f>
        <v>-0.55799961090087891</v>
      </c>
    </row>
    <row r="30" spans="2:22" ht="18.600000000000001" thickBot="1">
      <c r="B30" s="333" t="s">
        <v>1448</v>
      </c>
      <c r="C30" s="672">
        <f>+C27-C24</f>
        <v>683296482.05000019</v>
      </c>
      <c r="D30" s="672">
        <f t="shared" ref="D30" si="19">+D27-D24</f>
        <v>678530536</v>
      </c>
      <c r="E30" s="672">
        <f>+E27-E24</f>
        <v>655504600.19939995</v>
      </c>
      <c r="H30" s="672"/>
      <c r="I30" s="474"/>
      <c r="M30" s="441" t="s">
        <v>808</v>
      </c>
      <c r="N30" s="442">
        <f>+'BCE 07-25'!C34</f>
        <v>42907921.100000001</v>
      </c>
      <c r="O30" s="445"/>
      <c r="P30" s="1723"/>
      <c r="Q30" s="320"/>
      <c r="R30" s="320"/>
      <c r="T30" s="183"/>
      <c r="U30" s="508"/>
    </row>
    <row r="31" spans="2:22">
      <c r="C31" s="370">
        <f>+C30/59</f>
        <v>11581296.305932207</v>
      </c>
      <c r="D31" s="370">
        <f t="shared" ref="D31" si="20">+D30/59</f>
        <v>11500517.559322033</v>
      </c>
      <c r="E31" s="370">
        <f>+E30/60</f>
        <v>10925076.669989999</v>
      </c>
      <c r="H31" s="370"/>
      <c r="I31" s="474"/>
      <c r="M31" s="441"/>
      <c r="N31" s="442"/>
      <c r="O31" s="445"/>
      <c r="P31" s="1723"/>
      <c r="Q31" s="320"/>
      <c r="R31" s="320"/>
      <c r="T31" s="183"/>
      <c r="U31" s="508"/>
    </row>
    <row r="32" spans="2:22">
      <c r="C32" s="489"/>
      <c r="D32" s="370"/>
      <c r="E32" s="370"/>
      <c r="H32" s="370"/>
      <c r="I32" s="474"/>
      <c r="M32" s="441" t="s">
        <v>888</v>
      </c>
      <c r="N32" s="442">
        <f>+'CXP 07-25'!E13</f>
        <v>364684.38</v>
      </c>
      <c r="O32" s="445"/>
      <c r="P32" s="1723"/>
      <c r="Q32" s="320"/>
      <c r="R32" s="320"/>
      <c r="T32" s="183"/>
      <c r="U32" s="508"/>
    </row>
    <row r="33" spans="1:22" ht="15" thickBot="1">
      <c r="C33" s="369"/>
      <c r="D33" s="370"/>
      <c r="E33" s="370"/>
      <c r="H33" s="370"/>
      <c r="M33" s="438" t="s">
        <v>656</v>
      </c>
      <c r="N33" s="439">
        <f>SUM(N26:N32)</f>
        <v>205966811.06999996</v>
      </c>
      <c r="O33" s="445"/>
      <c r="P33" s="1723"/>
    </row>
    <row r="34" spans="1:22">
      <c r="C34" s="161"/>
      <c r="D34" s="370"/>
      <c r="E34" s="370"/>
      <c r="H34" s="370"/>
      <c r="M34" s="440" t="s">
        <v>657</v>
      </c>
      <c r="N34" s="445">
        <f>+O24</f>
        <v>503210937.08000004</v>
      </c>
    </row>
    <row r="35" spans="1:22">
      <c r="M35" s="443" t="s">
        <v>658</v>
      </c>
      <c r="N35" s="443">
        <f>+N33-N34</f>
        <v>-297244126.01000011</v>
      </c>
      <c r="O35" s="444">
        <f>+'BCE 07-25'!C46+'BCE 07-25'!C47</f>
        <v>953438.13</v>
      </c>
      <c r="P35" s="1724"/>
      <c r="Q35" s="444">
        <f>+N35+O35</f>
        <v>-296290687.88000011</v>
      </c>
      <c r="R35" s="444"/>
    </row>
    <row r="36" spans="1:22">
      <c r="A36" s="192"/>
      <c r="B36" s="192"/>
      <c r="C36" s="192"/>
      <c r="D36" s="192"/>
      <c r="E36" s="192"/>
      <c r="F36" s="843"/>
      <c r="G36" s="843"/>
      <c r="H36" s="192"/>
      <c r="I36" s="192"/>
      <c r="J36" s="192"/>
      <c r="K36" s="192"/>
      <c r="L36" s="192"/>
      <c r="M36" s="192"/>
      <c r="N36" s="192"/>
      <c r="O36" s="192"/>
      <c r="P36" s="1725"/>
      <c r="Q36" s="192"/>
      <c r="R36" s="192"/>
      <c r="S36" s="192"/>
      <c r="T36" s="192"/>
      <c r="U36" s="192"/>
      <c r="V36" s="192"/>
    </row>
    <row r="38" spans="1:22">
      <c r="B38" s="254" t="s">
        <v>47</v>
      </c>
    </row>
    <row r="39" spans="1:22">
      <c r="B39" s="112" t="s">
        <v>48</v>
      </c>
    </row>
    <row r="40" spans="1:22">
      <c r="B40" s="115" t="s">
        <v>49</v>
      </c>
    </row>
    <row r="41" spans="1:22">
      <c r="B41" s="112" t="s">
        <v>50</v>
      </c>
    </row>
    <row r="42" spans="1:22">
      <c r="B42" s="115" t="s">
        <v>51</v>
      </c>
    </row>
    <row r="43" spans="1:22">
      <c r="B43" s="254" t="s">
        <v>52</v>
      </c>
    </row>
    <row r="44" spans="1:22" ht="18.600000000000001" thickBot="1">
      <c r="B44" s="333" t="s">
        <v>229</v>
      </c>
    </row>
    <row r="46" spans="1:22" ht="15" thickBot="1"/>
    <row r="47" spans="1:22">
      <c r="B47" s="335" t="s">
        <v>234</v>
      </c>
      <c r="C47" s="336">
        <v>160000000</v>
      </c>
      <c r="D47" s="336"/>
      <c r="E47" s="336"/>
      <c r="F47" s="844"/>
      <c r="G47" s="844"/>
      <c r="H47" s="336"/>
    </row>
    <row r="48" spans="1:22">
      <c r="B48" s="588" t="s">
        <v>1158</v>
      </c>
      <c r="C48" s="589">
        <v>22200000</v>
      </c>
      <c r="D48" s="589"/>
      <c r="E48" s="589"/>
      <c r="F48" s="845"/>
      <c r="G48" s="845"/>
      <c r="H48" s="589"/>
    </row>
    <row r="49" spans="2:8">
      <c r="B49" s="112" t="s">
        <v>153</v>
      </c>
      <c r="C49" s="403">
        <f>+O24+Q24</f>
        <v>602787539.48000002</v>
      </c>
      <c r="D49" s="403"/>
      <c r="E49" s="403"/>
      <c r="F49" s="846"/>
      <c r="G49" s="846"/>
      <c r="H49" s="403">
        <f>C49/C47</f>
        <v>3.7674221217500001</v>
      </c>
    </row>
    <row r="50" spans="2:8" ht="15" thickBot="1">
      <c r="B50" s="339" t="s">
        <v>154</v>
      </c>
      <c r="C50" s="340">
        <f>+C47+C48-C49</f>
        <v>-420587539.48000002</v>
      </c>
      <c r="D50" s="340"/>
      <c r="E50" s="340"/>
      <c r="F50" s="847"/>
      <c r="G50" s="847"/>
      <c r="H50" s="340">
        <f>C50/C47</f>
        <v>-2.6286721217500002</v>
      </c>
    </row>
  </sheetData>
  <mergeCells count="12">
    <mergeCell ref="R3:R4"/>
    <mergeCell ref="S1:V2"/>
    <mergeCell ref="K2:N2"/>
    <mergeCell ref="I3:I4"/>
    <mergeCell ref="J3:J4"/>
    <mergeCell ref="K3:K4"/>
    <mergeCell ref="L3:L4"/>
    <mergeCell ref="M3:M4"/>
    <mergeCell ref="N3:N4"/>
    <mergeCell ref="O3:O4"/>
    <mergeCell ref="Q3:Q4"/>
    <mergeCell ref="P3:P4"/>
  </mergeCells>
  <conditionalFormatting sqref="S6:S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S8:S9">
    <cfRule type="iconSet" priority="1">
      <iconSet iconSet="3Arrows">
        <cfvo type="percent" val="0"/>
        <cfvo type="percent" val="45"/>
        <cfvo type="percent" val="80"/>
      </iconSet>
    </cfRule>
  </conditionalFormatting>
  <conditionalFormatting sqref="S14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S16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S20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S22">
    <cfRule type="iconSet" priority="2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ignoredErrors>
    <ignoredError sqref="Q12:R12 Q18:R18 H18:O18 H12:O12 P5:P24" formula="1"/>
  </ignoredErrors>
  <drawing r:id="rId2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A22D1-F99D-48C2-9F27-06C6DE79E3FB}">
  <dimension ref="B3:K45"/>
  <sheetViews>
    <sheetView showGridLines="0" topLeftCell="A15" zoomScale="80" zoomScaleNormal="80" workbookViewId="0">
      <selection activeCell="C29" sqref="C29"/>
    </sheetView>
  </sheetViews>
  <sheetFormatPr baseColWidth="10" defaultColWidth="11.44140625" defaultRowHeight="14.4"/>
  <cols>
    <col min="1" max="1" width="2.44140625" customWidth="1"/>
    <col min="2" max="2" width="34.109375" bestFit="1" customWidth="1"/>
    <col min="3" max="3" width="20.6640625" style="731" customWidth="1"/>
    <col min="4" max="4" width="16.6640625" style="730" bestFit="1" customWidth="1"/>
    <col min="5" max="8" width="14.109375" style="730" bestFit="1" customWidth="1"/>
    <col min="9" max="9" width="14.5546875" style="731" bestFit="1" customWidth="1"/>
    <col min="10" max="10" width="20.6640625" bestFit="1" customWidth="1"/>
    <col min="11" max="11" width="14.5546875" style="370" bestFit="1" customWidth="1"/>
    <col min="12" max="12" width="13.5546875" bestFit="1" customWidth="1"/>
  </cols>
  <sheetData>
    <row r="3" spans="2:9" hidden="1">
      <c r="B3" s="142">
        <v>160000000</v>
      </c>
    </row>
    <row r="4" spans="2:9" ht="15" hidden="1" thickBot="1">
      <c r="B4" s="284" t="s">
        <v>259</v>
      </c>
    </row>
    <row r="5" spans="2:9" ht="15" hidden="1" thickBot="1">
      <c r="B5" s="284" t="s">
        <v>260</v>
      </c>
    </row>
    <row r="6" spans="2:9" ht="15.6" hidden="1" thickTop="1" thickBot="1">
      <c r="B6" s="285" t="s">
        <v>261</v>
      </c>
    </row>
    <row r="7" spans="2:9" ht="15.6" hidden="1" thickTop="1" thickBot="1">
      <c r="B7" s="285" t="s">
        <v>149</v>
      </c>
    </row>
    <row r="8" spans="2:9" ht="15.6" hidden="1" thickTop="1" thickBot="1">
      <c r="B8" s="285" t="s">
        <v>262</v>
      </c>
    </row>
    <row r="9" spans="2:9" hidden="1"/>
    <row r="10" spans="2:9" hidden="1"/>
    <row r="11" spans="2:9" hidden="1"/>
    <row r="12" spans="2:9" hidden="1"/>
    <row r="13" spans="2:9" hidden="1"/>
    <row r="14" spans="2:9" hidden="1"/>
    <row r="15" spans="2:9" ht="15" thickBot="1">
      <c r="C15" s="1154" t="s">
        <v>1286</v>
      </c>
      <c r="F15" s="733"/>
      <c r="G15" s="733"/>
    </row>
    <row r="16" spans="2:9" ht="16.2" thickBot="1">
      <c r="B16" s="676"/>
      <c r="C16" s="734" t="s">
        <v>2358</v>
      </c>
      <c r="D16" s="735">
        <v>46054</v>
      </c>
      <c r="E16" s="735">
        <v>46082</v>
      </c>
      <c r="F16" s="735">
        <v>46113</v>
      </c>
      <c r="G16" s="735">
        <v>46143</v>
      </c>
      <c r="H16" s="735">
        <v>46174</v>
      </c>
      <c r="I16" s="807" t="s">
        <v>1290</v>
      </c>
    </row>
    <row r="17" spans="2:9" ht="16.2" thickBot="1">
      <c r="B17" s="736" t="s">
        <v>1291</v>
      </c>
      <c r="C17" s="737">
        <f>+'BCE 01-26'!C35+'BCE 01-26'!C34+'BCE 01-26'!E34</f>
        <v>134179041.16</v>
      </c>
      <c r="D17" s="737">
        <f>+'Proyección VTA 01-26'!F9</f>
        <v>15000000</v>
      </c>
      <c r="E17" s="737">
        <f>+'Proyección VTA 01-26'!G9</f>
        <v>18000000</v>
      </c>
      <c r="F17" s="737">
        <f>+'Proyección VTA 01-26'!H9</f>
        <v>20000000</v>
      </c>
      <c r="G17" s="737">
        <f>+'Proyección VTA 01-26'!I9</f>
        <v>20000000</v>
      </c>
      <c r="H17" s="737">
        <f>+'Proyección VTA 01-26'!J9</f>
        <v>21000000</v>
      </c>
      <c r="I17" s="808">
        <f>SUM(C17:H17)</f>
        <v>228179041.16</v>
      </c>
    </row>
    <row r="18" spans="2:9" ht="15.6" hidden="1">
      <c r="B18" s="681" t="s">
        <v>2097</v>
      </c>
      <c r="C18" s="738"/>
      <c r="D18" s="738">
        <f>+C17+D17</f>
        <v>149179041.16</v>
      </c>
      <c r="E18" s="738">
        <f>+D18+E17</f>
        <v>167179041.16</v>
      </c>
      <c r="F18" s="738">
        <f t="shared" ref="F18:H18" si="0">+E18+F17</f>
        <v>187179041.16</v>
      </c>
      <c r="G18" s="738">
        <f t="shared" si="0"/>
        <v>207179041.16</v>
      </c>
      <c r="H18" s="738">
        <f t="shared" si="0"/>
        <v>228179041.16</v>
      </c>
      <c r="I18" s="809"/>
    </row>
    <row r="19" spans="2:9" ht="15.6" hidden="1">
      <c r="B19" s="681"/>
      <c r="C19" s="738"/>
      <c r="D19" s="738"/>
      <c r="E19" s="738">
        <f>+E18+E26</f>
        <v>186983619.71586663</v>
      </c>
      <c r="F19" s="738">
        <f>+F18+F26</f>
        <v>204390322.5825333</v>
      </c>
      <c r="G19" s="738">
        <f>+G18+G26</f>
        <v>219380472.11586663</v>
      </c>
      <c r="H19" s="738">
        <f>+H18+H26</f>
        <v>190169091.64919996</v>
      </c>
      <c r="I19" s="809"/>
    </row>
    <row r="20" spans="2:9" ht="15.6">
      <c r="B20" s="681" t="s">
        <v>1616</v>
      </c>
      <c r="C20" s="738">
        <v>330000000</v>
      </c>
      <c r="D20" s="739"/>
      <c r="E20" s="739"/>
      <c r="F20" s="739"/>
      <c r="G20" s="739"/>
      <c r="H20" s="739"/>
      <c r="I20" s="809">
        <f>SUM(C20:H20)</f>
        <v>330000000</v>
      </c>
    </row>
    <row r="21" spans="2:9" ht="15.6">
      <c r="B21" s="1692" t="s">
        <v>2005</v>
      </c>
      <c r="C21" s="1693">
        <f>+'Préstamos 12-25'!H6</f>
        <v>100000000</v>
      </c>
      <c r="D21" s="1694"/>
      <c r="E21" s="1694"/>
      <c r="F21" s="1694"/>
      <c r="G21" s="1694"/>
      <c r="H21" s="1694"/>
      <c r="I21" s="1695">
        <f t="shared" ref="I21:I25" si="1">SUM(C21:H21)</f>
        <v>100000000</v>
      </c>
    </row>
    <row r="22" spans="2:9" ht="15.6">
      <c r="B22" s="1730" t="s">
        <v>2359</v>
      </c>
      <c r="C22" s="738"/>
      <c r="D22" s="739"/>
      <c r="E22" s="739">
        <v>-100000000</v>
      </c>
      <c r="F22" s="739"/>
      <c r="G22" s="739"/>
      <c r="H22" s="739"/>
      <c r="I22" s="809">
        <f t="shared" si="1"/>
        <v>-100000000</v>
      </c>
    </row>
    <row r="23" spans="2:9" ht="15.6" hidden="1">
      <c r="B23" s="681" t="s">
        <v>1617</v>
      </c>
      <c r="C23" s="738">
        <f>+'Préstamos 12-25'!H4+'Préstamos 12-25'!H5</f>
        <v>49200000</v>
      </c>
      <c r="D23" s="739"/>
      <c r="E23" s="739"/>
      <c r="F23" s="739"/>
      <c r="G23" s="738"/>
      <c r="H23" s="739"/>
      <c r="I23" s="809">
        <f t="shared" si="1"/>
        <v>49200000</v>
      </c>
    </row>
    <row r="24" spans="2:9" ht="15.6" hidden="1">
      <c r="B24" s="681" t="s">
        <v>2253</v>
      </c>
      <c r="C24" s="738">
        <f>+'Préstamos 12-25'!J4+'Préstamos 12-25'!J5</f>
        <v>-49200000</v>
      </c>
      <c r="D24" s="739"/>
      <c r="E24" s="739"/>
      <c r="F24" s="739"/>
      <c r="G24" s="738"/>
      <c r="H24" s="739"/>
      <c r="I24" s="809">
        <f t="shared" si="1"/>
        <v>-49200000</v>
      </c>
    </row>
    <row r="25" spans="2:9" ht="15.6">
      <c r="B25" s="1730" t="s">
        <v>2360</v>
      </c>
      <c r="C25" s="738"/>
      <c r="D25" s="739">
        <v>100000000</v>
      </c>
      <c r="E25" s="739"/>
      <c r="F25" s="739">
        <v>30000000</v>
      </c>
      <c r="G25" s="739">
        <v>40000000</v>
      </c>
      <c r="H25" s="739">
        <v>30000000</v>
      </c>
      <c r="I25" s="809">
        <f t="shared" si="1"/>
        <v>200000000</v>
      </c>
    </row>
    <row r="26" spans="2:9" ht="18" customHeight="1">
      <c r="B26" s="681" t="s">
        <v>266</v>
      </c>
      <c r="C26" s="738">
        <f>+C20+C21+C23-C27+C24+C17+C25</f>
        <v>61933539.99999997</v>
      </c>
      <c r="D26" s="739">
        <f>+C26+D21+D24-D27+D17+D25+D22</f>
        <v>142215836.75699997</v>
      </c>
      <c r="E26" s="739">
        <f>+D26+E21+E24-E27+E17+E25+E22</f>
        <v>19804578.555866629</v>
      </c>
      <c r="F26" s="739">
        <f t="shared" ref="F26:H26" si="2">+E26+F21+F24-F27+F17+F25+F22</f>
        <v>17211281.422533296</v>
      </c>
      <c r="G26" s="739">
        <f t="shared" si="2"/>
        <v>12201430.955866635</v>
      </c>
      <c r="H26" s="739">
        <f t="shared" si="2"/>
        <v>-38009949.510800034</v>
      </c>
      <c r="I26" s="809">
        <f>+H26</f>
        <v>-38009949.510800034</v>
      </c>
    </row>
    <row r="27" spans="2:9" ht="15.6">
      <c r="B27" s="740" t="s">
        <v>267</v>
      </c>
      <c r="C27" s="741">
        <f>SUM(C28:C45)</f>
        <v>502245501.16000003</v>
      </c>
      <c r="D27" s="741">
        <f>SUM(D30:D45)</f>
        <v>34717703.243000001</v>
      </c>
      <c r="E27" s="741">
        <f>SUM(E30:E45)</f>
        <v>40411258.201133333</v>
      </c>
      <c r="F27" s="741">
        <f t="shared" ref="F27:H27" si="3">SUM(F30:F45)</f>
        <v>52593297.133333333</v>
      </c>
      <c r="G27" s="741">
        <f>SUM(G30:G45)</f>
        <v>65009850.466666661</v>
      </c>
      <c r="H27" s="741">
        <f t="shared" si="3"/>
        <v>101211380.46666667</v>
      </c>
      <c r="I27" s="810">
        <f>SUM(C27:H27)</f>
        <v>796188990.67080009</v>
      </c>
    </row>
    <row r="28" spans="2:9" ht="15.6">
      <c r="B28" s="1635" t="s">
        <v>2255</v>
      </c>
      <c r="C28" s="738">
        <f>-'BCE 01-26'!C46-'BCE 01-26'!C47</f>
        <v>-2768778.73</v>
      </c>
      <c r="D28" s="738"/>
      <c r="E28" s="738"/>
      <c r="F28" s="738"/>
      <c r="G28" s="738"/>
      <c r="H28" s="738"/>
      <c r="I28" s="809"/>
    </row>
    <row r="29" spans="2:9" ht="15.6">
      <c r="B29" s="1635" t="s">
        <v>655</v>
      </c>
      <c r="C29" s="738">
        <f>-'BCE Resumido 01-26'!C17</f>
        <v>-584091.9</v>
      </c>
      <c r="D29" s="738"/>
      <c r="E29" s="738"/>
      <c r="F29" s="738"/>
      <c r="G29" s="738"/>
      <c r="H29" s="738"/>
      <c r="I29" s="809"/>
    </row>
    <row r="30" spans="2:9" ht="15.6">
      <c r="B30" s="1635" t="s">
        <v>2256</v>
      </c>
      <c r="C30" s="738">
        <f>+'BCE 01-26'!C18+'CXP MMHB 01-26'!E22</f>
        <v>2389096.12</v>
      </c>
      <c r="D30" s="739"/>
      <c r="E30" s="738"/>
      <c r="F30" s="738"/>
      <c r="G30" s="738"/>
      <c r="H30" s="738"/>
      <c r="I30" s="809"/>
    </row>
    <row r="31" spans="2:9" ht="15.6">
      <c r="B31" s="694" t="s">
        <v>33</v>
      </c>
      <c r="C31" s="743">
        <f>+'PRESENTACIÓN 01-26'!O5</f>
        <v>264445081.16</v>
      </c>
      <c r="D31" s="742">
        <v>0</v>
      </c>
      <c r="E31" s="742">
        <v>0</v>
      </c>
      <c r="F31" s="742">
        <v>0</v>
      </c>
      <c r="G31" s="742">
        <v>0</v>
      </c>
      <c r="H31" s="742">
        <v>0</v>
      </c>
      <c r="I31" s="811">
        <f t="shared" ref="I31:I44" si="4">SUM(C31:H31)</f>
        <v>264445081.16</v>
      </c>
    </row>
    <row r="32" spans="2:9" ht="15.6">
      <c r="B32" s="697" t="s">
        <v>49</v>
      </c>
      <c r="C32" s="738">
        <f>+'PRESENTACIÓN 01-26'!O20</f>
        <v>22828592.390000001</v>
      </c>
      <c r="D32" s="739">
        <f>+'Compromisos 01-26'!F10</f>
        <v>1427678.42</v>
      </c>
      <c r="E32" s="739">
        <f>+'Compromisos 01-26'!G10</f>
        <v>0</v>
      </c>
      <c r="F32" s="739">
        <f>+'Compromisos 01-26'!H10</f>
        <v>0</v>
      </c>
      <c r="G32" s="739">
        <f>+'Compromisos 01-26'!I10</f>
        <v>0</v>
      </c>
      <c r="H32" s="739">
        <f>+'Compromisos 01-26'!J10</f>
        <v>0</v>
      </c>
      <c r="I32" s="809">
        <f t="shared" si="4"/>
        <v>24256270.810000002</v>
      </c>
    </row>
    <row r="33" spans="2:9" ht="15.6">
      <c r="B33" s="697" t="s">
        <v>717</v>
      </c>
      <c r="C33" s="743">
        <f>+'PRESENTACIÓN 01-26'!O19</f>
        <v>20764919.640000001</v>
      </c>
      <c r="D33" s="742">
        <f>+'Compromisos 01-26'!F143</f>
        <v>2863678.99</v>
      </c>
      <c r="E33" s="742">
        <f>+'Compromisos 01-26'!G143</f>
        <v>29500</v>
      </c>
      <c r="F33" s="742">
        <f>+'Compromisos 01-26'!H143</f>
        <v>0</v>
      </c>
      <c r="G33" s="742">
        <f>+'Compromisos 01-26'!I143</f>
        <v>742220</v>
      </c>
      <c r="H33" s="742">
        <f>+'Compromisos 01-26'!J143</f>
        <v>0</v>
      </c>
      <c r="I33" s="811">
        <f t="shared" si="4"/>
        <v>24400318.630000003</v>
      </c>
    </row>
    <row r="34" spans="2:9" ht="15.6">
      <c r="B34" s="697" t="s">
        <v>1764</v>
      </c>
      <c r="C34" s="738">
        <f>+'PRESENTACIÓN 01-26'!O6</f>
        <v>34156073.700000003</v>
      </c>
      <c r="D34" s="739">
        <f>+'Compromisos 01-26'!F19</f>
        <v>6075509.5039999997</v>
      </c>
      <c r="E34" s="739">
        <f>+'Compromisos 01-26'!G19</f>
        <v>860000</v>
      </c>
      <c r="F34" s="739">
        <f>+'Compromisos 01-26'!H19</f>
        <v>2070000</v>
      </c>
      <c r="G34" s="739">
        <f>+'Compromisos 01-26'!I19</f>
        <v>4770000</v>
      </c>
      <c r="H34" s="739">
        <f>+'Compromisos 01-26'!J19</f>
        <v>11370000</v>
      </c>
      <c r="I34" s="809">
        <f t="shared" si="4"/>
        <v>59301583.204000004</v>
      </c>
    </row>
    <row r="35" spans="2:9" ht="15.6">
      <c r="B35" s="697" t="s">
        <v>1765</v>
      </c>
      <c r="C35" s="738">
        <f>+'PRESENTACIÓN 01-26'!O7</f>
        <v>1397553.88</v>
      </c>
      <c r="D35" s="739">
        <f>+'Compromisos 01-26'!F44</f>
        <v>5839414.1260000002</v>
      </c>
      <c r="E35" s="739">
        <f>+'Compromisos 01-26'!G44</f>
        <v>12780000</v>
      </c>
      <c r="F35" s="739">
        <f>+'Compromisos 01-26'!H44</f>
        <v>29880000</v>
      </c>
      <c r="G35" s="739">
        <f>+'Compromisos 01-26'!I44</f>
        <v>38780000</v>
      </c>
      <c r="H35" s="739">
        <f>+'Compromisos 01-26'!J44</f>
        <v>68780000</v>
      </c>
      <c r="I35" s="809">
        <f t="shared" si="4"/>
        <v>157456968.00599998</v>
      </c>
    </row>
    <row r="36" spans="2:9" ht="15.6">
      <c r="B36" s="697" t="s">
        <v>40</v>
      </c>
      <c r="C36" s="743">
        <f>+'PRESENTACIÓN 01-26'!O10</f>
        <v>852299.64999999991</v>
      </c>
      <c r="D36" s="742">
        <f>+'Compromisos 01-26'!F53+'Compromisos 01-26'!F59</f>
        <v>2353664.9299999997</v>
      </c>
      <c r="E36" s="742">
        <f>+'Compromisos 01-26'!G53+'Compromisos 01-26'!G59</f>
        <v>750000</v>
      </c>
      <c r="F36" s="742">
        <f>+'Compromisos 01-26'!H53+'Compromisos 01-26'!H59</f>
        <v>750000</v>
      </c>
      <c r="G36" s="742">
        <f>+'Compromisos 01-26'!I53+'Compromisos 01-26'!I59</f>
        <v>750000</v>
      </c>
      <c r="H36" s="742">
        <f>+'Compromisos 01-26'!J53+'Compromisos 01-26'!J59</f>
        <v>750000</v>
      </c>
      <c r="I36" s="811">
        <f>SUM(C36:H36)</f>
        <v>6205964.5800000001</v>
      </c>
    </row>
    <row r="37" spans="2:9" ht="15.6">
      <c r="B37" s="697" t="s">
        <v>2016</v>
      </c>
      <c r="C37" s="743">
        <f>+'PRESENTACIÓN 01-26'!O16</f>
        <v>25643870.720000003</v>
      </c>
      <c r="D37" s="742">
        <f>+'Compromisos 01-26'!F103+'Compromisos 01-26'!F111+'Compromisos 01-26'!F121+'Compromisos 01-26'!F129+'Compromisos 01-26'!F136+'Compromisos 01-26'!F125</f>
        <v>4353292.8099999996</v>
      </c>
      <c r="E37" s="742">
        <f>+'Compromisos 01-26'!G103+'Compromisos 01-26'!G111+'Compromisos 01-26'!G121+'Compromisos 01-26'!G129+'Compromisos 01-26'!G136+'Compromisos 01-26'!G125</f>
        <v>1587274.5</v>
      </c>
      <c r="F37" s="742">
        <f>+'Compromisos 01-26'!H103+'Compromisos 01-26'!H111+'Compromisos 01-26'!H121+'Compromisos 01-26'!H129+'Compromisos 01-26'!H136+'Compromisos 01-26'!H125</f>
        <v>1971274.5</v>
      </c>
      <c r="G37" s="742">
        <f>+'Compromisos 01-26'!I103+'Compromisos 01-26'!I111+'Compromisos 01-26'!I121+'Compromisos 01-26'!I129+'Compromisos 01-26'!I136+'Compromisos 01-26'!I125</f>
        <v>1587274.5</v>
      </c>
      <c r="H37" s="742">
        <f>+'Compromisos 01-26'!J103+'Compromisos 01-26'!J111+'Compromisos 01-26'!J121+'Compromisos 01-26'!J129+'Compromisos 01-26'!J136+'Compromisos 01-26'!J125</f>
        <v>1587274.5</v>
      </c>
      <c r="I37" s="811">
        <f t="shared" si="4"/>
        <v>36730261.530000001</v>
      </c>
    </row>
    <row r="38" spans="2:9" ht="15.6">
      <c r="B38" s="744" t="s">
        <v>672</v>
      </c>
      <c r="C38" s="1646">
        <f>+'PRESENTACIÓN 01-26'!O15</f>
        <v>2673212.11</v>
      </c>
      <c r="D38" s="1647">
        <f>+'Compromisos 01-26'!F99</f>
        <v>324014.78999999998</v>
      </c>
      <c r="E38" s="1647">
        <f>+'Compromisos 01-26'!G99</f>
        <v>250000</v>
      </c>
      <c r="F38" s="1647">
        <f>+'Compromisos 01-26'!H99</f>
        <v>250000</v>
      </c>
      <c r="G38" s="1647">
        <f>+'Compromisos 01-26'!I99</f>
        <v>250000</v>
      </c>
      <c r="H38" s="1647">
        <f>+'Compromisos 01-26'!J99</f>
        <v>250000</v>
      </c>
      <c r="I38" s="1648">
        <f t="shared" si="4"/>
        <v>3997226.9</v>
      </c>
    </row>
    <row r="39" spans="2:9" s="747" customFormat="1" ht="15.6">
      <c r="B39" s="703" t="s">
        <v>767</v>
      </c>
      <c r="C39" s="749">
        <f>+'PRESENTACIÓN 01-26'!O8</f>
        <v>28191306.359999999</v>
      </c>
      <c r="D39" s="750">
        <f>+'Compromisos 01-26'!F48</f>
        <v>2360000</v>
      </c>
      <c r="E39" s="750">
        <f>+'Compromisos 01-26'!G48</f>
        <v>2360000</v>
      </c>
      <c r="F39" s="750">
        <f>+'Compromisos 01-26'!H48</f>
        <v>2360000</v>
      </c>
      <c r="G39" s="750">
        <f>+'Compromisos 01-26'!I48</f>
        <v>2360000</v>
      </c>
      <c r="H39" s="750">
        <f>+'Compromisos 01-26'!J48</f>
        <v>2360000</v>
      </c>
      <c r="I39" s="813">
        <f t="shared" si="4"/>
        <v>39991306.359999999</v>
      </c>
    </row>
    <row r="40" spans="2:9" s="747" customFormat="1" ht="15.6">
      <c r="B40" s="703" t="s">
        <v>1607</v>
      </c>
      <c r="C40" s="749">
        <f>+'PRESENTACIÓN 01-26'!O9</f>
        <v>2027857.2</v>
      </c>
      <c r="D40" s="750">
        <f>+'Compromisos 01-26'!F64</f>
        <v>506964.3</v>
      </c>
      <c r="E40" s="750">
        <f>+'Compromisos 01-26'!G64</f>
        <v>506964.3</v>
      </c>
      <c r="F40" s="750">
        <f>+'Compromisos 01-26'!H64</f>
        <v>506964.3</v>
      </c>
      <c r="G40" s="750">
        <f>+'Compromisos 01-26'!I64</f>
        <v>506964.3</v>
      </c>
      <c r="H40" s="750">
        <f>+'Compromisos 01-26'!J64</f>
        <v>506964.3</v>
      </c>
      <c r="I40" s="814">
        <f>SUM(C40:H40)</f>
        <v>4562678.6999999993</v>
      </c>
    </row>
    <row r="41" spans="2:9" s="747" customFormat="1" ht="15.6">
      <c r="B41" s="703" t="s">
        <v>768</v>
      </c>
      <c r="C41" s="748">
        <f>+'PRESENTACIÓN 01-26'!O13</f>
        <v>17861175.969999999</v>
      </c>
      <c r="D41" s="751">
        <f>+'Compromisos 01-26'!F68</f>
        <v>1770000</v>
      </c>
      <c r="E41" s="751">
        <f>+'Compromisos 01-26'!G68</f>
        <v>1770000</v>
      </c>
      <c r="F41" s="751">
        <f>+'Compromisos 01-26'!H68</f>
        <v>1770000</v>
      </c>
      <c r="G41" s="751">
        <f>+'Compromisos 01-26'!I68</f>
        <v>1770000</v>
      </c>
      <c r="H41" s="751">
        <f>+'Compromisos 01-26'!J68</f>
        <v>1770000</v>
      </c>
      <c r="I41" s="814">
        <f t="shared" si="4"/>
        <v>26711175.969999999</v>
      </c>
    </row>
    <row r="42" spans="2:9" s="747" customFormat="1" ht="15.6">
      <c r="B42" s="703" t="s">
        <v>1451</v>
      </c>
      <c r="C42" s="749">
        <f>+'Costos a Ene-26'!P29+'Costos a Ene-26'!P30-'CXP 01-26 RES'!G14</f>
        <v>12618126.35</v>
      </c>
      <c r="D42" s="750">
        <f>+'Compromisos 01-26'!F85+'Compromisos 01-26'!F94</f>
        <v>1117592.8</v>
      </c>
      <c r="E42" s="750">
        <f>+'Compromisos 01-26'!G85+'Compromisos 01-26'!G94</f>
        <v>1455000</v>
      </c>
      <c r="F42" s="750">
        <f>+'Compromisos 01-26'!H85+'Compromisos 01-26'!H94</f>
        <v>1455000</v>
      </c>
      <c r="G42" s="750">
        <f>+'Compromisos 01-26'!I85+'Compromisos 01-26'!I94</f>
        <v>1455000</v>
      </c>
      <c r="H42" s="750">
        <f>+'Compromisos 01-26'!J85+'Compromisos 01-26'!J94</f>
        <v>1455000</v>
      </c>
      <c r="I42" s="813">
        <f t="shared" si="4"/>
        <v>19555719.149999999</v>
      </c>
    </row>
    <row r="43" spans="2:9" s="747" customFormat="1" ht="15.6">
      <c r="B43" s="752" t="s">
        <v>962</v>
      </c>
      <c r="C43" s="748">
        <f>+'Costos a Ene-26'!P28</f>
        <v>7670000</v>
      </c>
      <c r="D43" s="751">
        <f>+'Compromisos 01-26'!F81</f>
        <v>767000</v>
      </c>
      <c r="E43" s="751">
        <f>+'Compromisos 01-26'!G81</f>
        <v>767000</v>
      </c>
      <c r="F43" s="751">
        <f>+'Compromisos 01-26'!H81</f>
        <v>767000</v>
      </c>
      <c r="G43" s="751">
        <f>+'Compromisos 01-26'!I81</f>
        <v>767000</v>
      </c>
      <c r="H43" s="751">
        <f>+'Compromisos 01-26'!J81</f>
        <v>767000</v>
      </c>
      <c r="I43" s="814">
        <f t="shared" si="4"/>
        <v>11505000</v>
      </c>
    </row>
    <row r="44" spans="2:9" ht="15.6">
      <c r="B44" s="752" t="s">
        <v>770</v>
      </c>
      <c r="C44" s="743">
        <f>+'Costos a Ene-26'!P27-'CXP 01-26 RES'!G13</f>
        <v>57664858.540000007</v>
      </c>
      <c r="D44" s="742">
        <f>+'Compromisos 01-26'!F77</f>
        <v>4958892.5729999999</v>
      </c>
      <c r="E44" s="742">
        <f>+'Compromisos 01-26'!G77</f>
        <v>9323475</v>
      </c>
      <c r="F44" s="742">
        <f>+'Compromisos 01-26'!H77</f>
        <v>9323475</v>
      </c>
      <c r="G44" s="742">
        <f>+'Compromisos 01-26'!I77</f>
        <v>9323475</v>
      </c>
      <c r="H44" s="742">
        <f>+'Compromisos 01-26'!J77</f>
        <v>9323475</v>
      </c>
      <c r="I44" s="811">
        <f t="shared" si="4"/>
        <v>99917651.113000005</v>
      </c>
    </row>
    <row r="45" spans="2:9" ht="16.2" thickBot="1">
      <c r="B45" s="756" t="s">
        <v>50</v>
      </c>
      <c r="C45" s="1600">
        <f>+'PRESENTACIÓN 01-26'!O21</f>
        <v>4414348</v>
      </c>
      <c r="D45" s="1397"/>
      <c r="E45" s="1397">
        <f>+'Intereses 01-26'!U29+'Intereses 01-26'!V29+'Intereses 01-26'!W29+'Intereses 01-26'!X29</f>
        <v>7972044.4011333324</v>
      </c>
      <c r="F45" s="1397">
        <f>+'Intereses 01-26'!Y29</f>
        <v>1489583.3333333335</v>
      </c>
      <c r="G45" s="1397">
        <f>+'Intereses 01-26'!Z29</f>
        <v>1947916.6666666667</v>
      </c>
      <c r="H45" s="1397">
        <f>+'Intereses 01-26'!AA29</f>
        <v>2291666.666666667</v>
      </c>
      <c r="I45" s="1599">
        <f>SUM(C45:G45)</f>
        <v>15823892.401133332</v>
      </c>
    </row>
  </sheetData>
  <pageMargins left="0.7" right="0.7" top="0.75" bottom="0.75" header="0.3" footer="0.3"/>
  <ignoredErrors>
    <ignoredError sqref="I26" formula="1"/>
  </ignoredErrors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FB19F-99C5-43B4-9F94-78C5D8398F7C}">
  <dimension ref="A1:M25"/>
  <sheetViews>
    <sheetView showGridLines="0" zoomScaleNormal="100" workbookViewId="0">
      <selection activeCell="J14" sqref="J14"/>
    </sheetView>
  </sheetViews>
  <sheetFormatPr baseColWidth="10" defaultColWidth="8" defaultRowHeight="11.4"/>
  <cols>
    <col min="1" max="1" width="13.88671875" style="408" customWidth="1"/>
    <col min="2" max="2" width="30.5546875" style="528" customWidth="1"/>
    <col min="3" max="3" width="12" style="408" bestFit="1" customWidth="1"/>
    <col min="4" max="4" width="11.88671875" style="408" bestFit="1" customWidth="1"/>
    <col min="5" max="5" width="13.6640625" style="408" customWidth="1"/>
    <col min="6" max="6" width="29.33203125" style="408" bestFit="1" customWidth="1"/>
    <col min="7" max="7" width="13.44140625" style="408" bestFit="1" customWidth="1"/>
    <col min="8" max="8" width="11" style="408" bestFit="1" customWidth="1"/>
    <col min="9" max="9" width="11.33203125" style="408" bestFit="1" customWidth="1"/>
    <col min="10" max="10" width="13" style="408" bestFit="1" customWidth="1"/>
    <col min="11" max="11" width="11.6640625" style="408" bestFit="1" customWidth="1"/>
    <col min="12" max="12" width="8" style="408"/>
    <col min="13" max="13" width="9.6640625" style="408" bestFit="1" customWidth="1"/>
    <col min="14" max="16384" width="8" style="408"/>
  </cols>
  <sheetData>
    <row r="1" spans="1:13" s="405" customFormat="1" ht="16.649999999999999" customHeight="1">
      <c r="A1" s="404" t="s">
        <v>1771</v>
      </c>
      <c r="B1" s="526"/>
      <c r="C1" s="404"/>
      <c r="D1" s="404"/>
      <c r="E1" s="404"/>
      <c r="F1" s="408"/>
      <c r="G1" s="408"/>
      <c r="H1" s="408"/>
      <c r="I1" s="408"/>
      <c r="J1" s="408"/>
      <c r="K1" s="408"/>
      <c r="L1" s="408"/>
      <c r="M1" s="408"/>
    </row>
    <row r="2" spans="1:13" s="407" customFormat="1" ht="14.4" customHeight="1">
      <c r="A2" s="406" t="s">
        <v>236</v>
      </c>
      <c r="B2" s="527"/>
      <c r="C2" s="406"/>
      <c r="D2" s="406"/>
      <c r="E2" s="406"/>
      <c r="F2" s="408"/>
      <c r="G2" s="408"/>
      <c r="H2" s="408"/>
      <c r="I2" s="408"/>
      <c r="J2" s="408"/>
      <c r="K2" s="408"/>
      <c r="L2" s="408"/>
      <c r="M2" s="408"/>
    </row>
    <row r="3" spans="1:13" ht="13.35" customHeight="1">
      <c r="F3" s="1256" t="s">
        <v>1772</v>
      </c>
      <c r="G3" s="1249" t="s">
        <v>1773</v>
      </c>
      <c r="H3" s="1249" t="s">
        <v>1774</v>
      </c>
      <c r="I3" s="1249" t="s">
        <v>1775</v>
      </c>
      <c r="J3" s="1249" t="s">
        <v>1776</v>
      </c>
      <c r="K3" s="1249" t="s">
        <v>1777</v>
      </c>
      <c r="L3" s="1249" t="s">
        <v>1298</v>
      </c>
      <c r="M3" s="1249" t="s">
        <v>1778</v>
      </c>
    </row>
    <row r="4" spans="1:13" ht="13.35" customHeight="1">
      <c r="F4" s="1250" t="s">
        <v>1779</v>
      </c>
      <c r="G4" s="1251">
        <v>34200000</v>
      </c>
      <c r="H4" s="1251">
        <f>+E15+E16+E17</f>
        <v>34200000</v>
      </c>
      <c r="I4" s="1251">
        <f>+G4-H4</f>
        <v>0</v>
      </c>
      <c r="J4" s="1251">
        <f>-H4</f>
        <v>-34200000</v>
      </c>
      <c r="K4" s="1251">
        <f>+H4+J4</f>
        <v>0</v>
      </c>
      <c r="L4" s="1253">
        <v>0.1595</v>
      </c>
      <c r="M4" s="1254">
        <v>45923</v>
      </c>
    </row>
    <row r="5" spans="1:13" ht="13.35" customHeight="1">
      <c r="A5" s="410" t="s">
        <v>1485</v>
      </c>
      <c r="B5" s="529" t="s">
        <v>817</v>
      </c>
      <c r="C5" s="410" t="s">
        <v>691</v>
      </c>
      <c r="D5" s="411" t="s">
        <v>665</v>
      </c>
      <c r="E5" s="411" t="s">
        <v>666</v>
      </c>
      <c r="F5" s="1250" t="s">
        <v>1779</v>
      </c>
      <c r="G5" s="1251">
        <v>15000000</v>
      </c>
      <c r="H5" s="1251">
        <f>+E19+E20+E18</f>
        <v>15000000</v>
      </c>
      <c r="I5" s="1251"/>
      <c r="J5" s="1251">
        <f>-H5</f>
        <v>-15000000</v>
      </c>
      <c r="K5" s="1251">
        <f>+H5+J5</f>
        <v>0</v>
      </c>
      <c r="L5" s="1253">
        <v>0.19</v>
      </c>
      <c r="M5" s="1254">
        <v>45939</v>
      </c>
    </row>
    <row r="6" spans="1:13" ht="13.35" customHeight="1">
      <c r="F6" s="1250" t="s">
        <v>1780</v>
      </c>
      <c r="G6" s="1251">
        <v>100000000</v>
      </c>
      <c r="H6" s="1251">
        <f>+E12</f>
        <v>100000000</v>
      </c>
      <c r="I6" s="1251">
        <f>+G6-H6</f>
        <v>0</v>
      </c>
      <c r="J6" s="1251">
        <v>0</v>
      </c>
      <c r="K6" s="1251">
        <f>+H6+J6</f>
        <v>100000000</v>
      </c>
      <c r="L6" s="1253">
        <v>0.18</v>
      </c>
      <c r="M6" s="1254">
        <v>46274</v>
      </c>
    </row>
    <row r="7" spans="1:13" ht="13.35" customHeight="1">
      <c r="A7" s="409" t="s">
        <v>1782</v>
      </c>
      <c r="B7" s="530"/>
      <c r="C7" s="409"/>
      <c r="D7" s="409"/>
      <c r="E7" s="409"/>
      <c r="F7" s="1248" t="s">
        <v>1781</v>
      </c>
      <c r="G7" s="1255">
        <f>SUM(G4:G6)</f>
        <v>149200000</v>
      </c>
      <c r="H7" s="1255">
        <f t="shared" ref="H7:K7" si="0">SUM(H4:H6)</f>
        <v>149200000</v>
      </c>
      <c r="I7" s="1255">
        <f t="shared" si="0"/>
        <v>0</v>
      </c>
      <c r="J7" s="1255">
        <f t="shared" si="0"/>
        <v>-49200000</v>
      </c>
      <c r="K7" s="1255">
        <f t="shared" si="0"/>
        <v>100000000</v>
      </c>
      <c r="L7" s="1255"/>
      <c r="M7" s="1255"/>
    </row>
    <row r="8" spans="1:13" ht="13.35" customHeight="1">
      <c r="A8" s="429">
        <v>45909</v>
      </c>
      <c r="B8" s="531" t="s">
        <v>1783</v>
      </c>
      <c r="C8" s="421" t="s">
        <v>1784</v>
      </c>
      <c r="D8" s="422">
        <v>0</v>
      </c>
      <c r="E8" s="422">
        <v>25000000</v>
      </c>
      <c r="J8" s="1623">
        <f>-D23</f>
        <v>-49200000</v>
      </c>
    </row>
    <row r="9" spans="1:13" s="412" customFormat="1" ht="12.15" customHeight="1">
      <c r="A9" s="430">
        <v>45926</v>
      </c>
      <c r="B9" s="533" t="s">
        <v>1783</v>
      </c>
      <c r="C9" s="414" t="s">
        <v>1784</v>
      </c>
      <c r="D9" s="415">
        <v>0</v>
      </c>
      <c r="E9" s="415">
        <v>30184227.399999999</v>
      </c>
      <c r="F9" s="408"/>
      <c r="G9" s="408"/>
      <c r="H9" s="408"/>
      <c r="I9" s="408"/>
      <c r="J9" s="1623">
        <f>+J7-J8</f>
        <v>0</v>
      </c>
      <c r="K9" s="408"/>
      <c r="L9" s="408"/>
      <c r="M9" s="408"/>
    </row>
    <row r="10" spans="1:13" ht="13.35" customHeight="1">
      <c r="A10" s="430">
        <v>45966</v>
      </c>
      <c r="B10" s="533" t="s">
        <v>1783</v>
      </c>
      <c r="C10" s="414" t="s">
        <v>1784</v>
      </c>
      <c r="D10" s="415">
        <v>0</v>
      </c>
      <c r="E10" s="415">
        <v>22000000</v>
      </c>
    </row>
    <row r="11" spans="1:13" s="412" customFormat="1" ht="12.15" customHeight="1">
      <c r="A11" s="430">
        <v>45989</v>
      </c>
      <c r="B11" s="533" t="s">
        <v>1783</v>
      </c>
      <c r="C11" s="414" t="s">
        <v>1784</v>
      </c>
      <c r="D11" s="415">
        <v>0</v>
      </c>
      <c r="E11" s="415">
        <v>22815772.600000001</v>
      </c>
    </row>
    <row r="12" spans="1:13" ht="12">
      <c r="A12" s="416" t="s">
        <v>1785</v>
      </c>
      <c r="B12" s="532"/>
      <c r="C12" s="416"/>
      <c r="D12" s="417">
        <f>SUM(D8:D9)</f>
        <v>0</v>
      </c>
      <c r="E12" s="417">
        <f>SUM(E8:E11)</f>
        <v>100000000</v>
      </c>
    </row>
    <row r="13" spans="1:13" ht="13.2">
      <c r="F13" s="412"/>
      <c r="G13" s="412"/>
      <c r="H13" s="412"/>
      <c r="I13" s="412"/>
      <c r="J13" s="412"/>
      <c r="K13" s="412"/>
      <c r="L13" s="412"/>
      <c r="M13" s="412"/>
    </row>
    <row r="14" spans="1:13" ht="13.2">
      <c r="A14" s="409" t="s">
        <v>1786</v>
      </c>
      <c r="B14" s="530"/>
      <c r="C14" s="409"/>
      <c r="D14" s="409"/>
      <c r="E14" s="409"/>
      <c r="F14" s="412"/>
      <c r="G14" s="412"/>
      <c r="H14" s="412"/>
      <c r="I14" s="412"/>
      <c r="J14" s="412"/>
      <c r="K14" s="412"/>
      <c r="L14" s="412"/>
      <c r="M14" s="412"/>
    </row>
    <row r="15" spans="1:13" ht="13.2">
      <c r="A15" s="429">
        <v>45761</v>
      </c>
      <c r="B15" s="531" t="s">
        <v>1787</v>
      </c>
      <c r="C15" s="414" t="s">
        <v>1788</v>
      </c>
      <c r="D15" s="422">
        <v>0</v>
      </c>
      <c r="E15" s="422">
        <v>15000000</v>
      </c>
      <c r="F15" s="412"/>
      <c r="G15" s="412"/>
      <c r="H15" s="412"/>
      <c r="I15" s="412"/>
      <c r="J15" s="412"/>
      <c r="K15" s="412"/>
      <c r="L15" s="412"/>
      <c r="M15" s="412"/>
    </row>
    <row r="16" spans="1:13" ht="10.95" customHeight="1">
      <c r="A16" s="430">
        <v>45792</v>
      </c>
      <c r="B16" s="531" t="s">
        <v>1787</v>
      </c>
      <c r="C16" s="414" t="s">
        <v>1788</v>
      </c>
      <c r="D16" s="415">
        <v>0</v>
      </c>
      <c r="E16" s="415">
        <v>7200000</v>
      </c>
    </row>
    <row r="17" spans="1:5" ht="13.35" customHeight="1">
      <c r="A17" s="430">
        <v>45820</v>
      </c>
      <c r="B17" s="531" t="s">
        <v>1787</v>
      </c>
      <c r="C17" s="414" t="s">
        <v>1788</v>
      </c>
      <c r="D17" s="415">
        <v>0</v>
      </c>
      <c r="E17" s="415">
        <v>12000000</v>
      </c>
    </row>
    <row r="18" spans="1:5" s="412" customFormat="1" ht="34.200000000000003">
      <c r="A18" s="430">
        <v>45853</v>
      </c>
      <c r="B18" s="533" t="s">
        <v>1789</v>
      </c>
      <c r="C18" s="414" t="s">
        <v>1788</v>
      </c>
      <c r="D18" s="415">
        <v>0</v>
      </c>
      <c r="E18" s="415">
        <v>1185000</v>
      </c>
    </row>
    <row r="19" spans="1:5" ht="10.95" customHeight="1">
      <c r="A19" s="430">
        <v>45854</v>
      </c>
      <c r="B19" s="531" t="s">
        <v>1787</v>
      </c>
      <c r="C19" s="414" t="s">
        <v>1788</v>
      </c>
      <c r="D19" s="415">
        <v>0</v>
      </c>
      <c r="E19" s="415">
        <v>11000000</v>
      </c>
    </row>
    <row r="20" spans="1:5" ht="10.95" customHeight="1">
      <c r="A20" s="430">
        <v>45862</v>
      </c>
      <c r="B20" s="531" t="s">
        <v>1787</v>
      </c>
      <c r="C20" s="414" t="s">
        <v>1788</v>
      </c>
      <c r="D20" s="415">
        <v>0</v>
      </c>
      <c r="E20" s="415">
        <v>2815000</v>
      </c>
    </row>
    <row r="21" spans="1:5" ht="10.95" customHeight="1">
      <c r="A21" s="430">
        <v>45937</v>
      </c>
      <c r="B21" s="531" t="s">
        <v>2017</v>
      </c>
      <c r="C21" s="414" t="s">
        <v>1788</v>
      </c>
      <c r="D21" s="415">
        <v>5000000</v>
      </c>
      <c r="E21" s="415">
        <v>0</v>
      </c>
    </row>
    <row r="22" spans="1:5" ht="22.8">
      <c r="A22" s="430">
        <v>46020</v>
      </c>
      <c r="B22" s="531" t="s">
        <v>2201</v>
      </c>
      <c r="C22" s="414" t="s">
        <v>1788</v>
      </c>
      <c r="D22" s="415">
        <v>44200000</v>
      </c>
      <c r="E22" s="415">
        <v>0</v>
      </c>
    </row>
    <row r="23" spans="1:5" ht="10.95" customHeight="1">
      <c r="A23" s="416" t="s">
        <v>1790</v>
      </c>
      <c r="B23" s="532"/>
      <c r="C23" s="416"/>
      <c r="D23" s="417">
        <f>SUM(D15:D22)</f>
        <v>49200000</v>
      </c>
      <c r="E23" s="417">
        <f>SUM(E15:E21)</f>
        <v>49200000</v>
      </c>
    </row>
    <row r="24" spans="1:5" ht="10.95" customHeight="1"/>
    <row r="25" spans="1:5" ht="10.95" customHeight="1">
      <c r="A25" s="419" t="s">
        <v>164</v>
      </c>
      <c r="B25" s="534"/>
      <c r="C25" s="419"/>
      <c r="D25" s="420">
        <f>SUM(D12,D23)</f>
        <v>49200000</v>
      </c>
      <c r="E25" s="420">
        <f>SUM(E12,E23)</f>
        <v>149200000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8AD86-A564-4E81-940B-685C7D8FFF63}">
  <dimension ref="A1:G13"/>
  <sheetViews>
    <sheetView workbookViewId="0">
      <selection activeCell="A11" sqref="A11"/>
    </sheetView>
  </sheetViews>
  <sheetFormatPr baseColWidth="10" defaultColWidth="11.44140625" defaultRowHeight="14.4"/>
  <cols>
    <col min="1" max="1" width="26" bestFit="1" customWidth="1"/>
    <col min="2" max="2" width="11" bestFit="1" customWidth="1"/>
    <col min="3" max="3" width="14" style="370" bestFit="1" customWidth="1"/>
    <col min="4" max="4" width="14.5546875" style="370" customWidth="1"/>
    <col min="5" max="5" width="32.5546875" customWidth="1"/>
    <col min="6" max="6" width="20" bestFit="1" customWidth="1"/>
    <col min="7" max="7" width="28.6640625" bestFit="1" customWidth="1"/>
  </cols>
  <sheetData>
    <row r="1" spans="1:7">
      <c r="A1" t="s">
        <v>707</v>
      </c>
      <c r="B1" t="s">
        <v>708</v>
      </c>
      <c r="C1" s="370" t="s">
        <v>164</v>
      </c>
      <c r="D1" s="370" t="s">
        <v>709</v>
      </c>
      <c r="E1" t="s">
        <v>817</v>
      </c>
      <c r="F1" t="s">
        <v>710</v>
      </c>
      <c r="G1" t="s">
        <v>852</v>
      </c>
    </row>
    <row r="2" spans="1:7">
      <c r="A2" t="s">
        <v>369</v>
      </c>
      <c r="B2" s="193">
        <v>45266</v>
      </c>
      <c r="C2" s="370">
        <v>273000</v>
      </c>
      <c r="D2" s="370">
        <v>273000</v>
      </c>
      <c r="E2" t="s">
        <v>911</v>
      </c>
      <c r="F2" t="s">
        <v>853</v>
      </c>
      <c r="G2" t="s">
        <v>853</v>
      </c>
    </row>
    <row r="3" spans="1:7">
      <c r="B3" s="193"/>
      <c r="C3" s="432">
        <f>SUM(C2)</f>
        <v>273000</v>
      </c>
      <c r="D3" s="432">
        <f>SUM(D2)</f>
        <v>273000</v>
      </c>
    </row>
    <row r="4" spans="1:7">
      <c r="A4" t="s">
        <v>2361</v>
      </c>
      <c r="B4" s="193">
        <v>46076</v>
      </c>
      <c r="C4" s="370">
        <v>422919.6</v>
      </c>
      <c r="D4" s="370">
        <v>422919.6</v>
      </c>
      <c r="E4" t="s">
        <v>2362</v>
      </c>
      <c r="F4" t="s">
        <v>1024</v>
      </c>
      <c r="G4" t="s">
        <v>1025</v>
      </c>
    </row>
    <row r="5" spans="1:7">
      <c r="B5" s="193"/>
      <c r="C5" s="432">
        <f>SUM(C4)</f>
        <v>422919.6</v>
      </c>
      <c r="D5" s="432">
        <f>SUM(D4)</f>
        <v>422919.6</v>
      </c>
    </row>
    <row r="6" spans="1:7">
      <c r="A6" t="s">
        <v>1821</v>
      </c>
      <c r="B6" s="193">
        <v>45936</v>
      </c>
      <c r="C6" s="370">
        <v>6671.88</v>
      </c>
      <c r="D6" s="370">
        <v>6671.88</v>
      </c>
      <c r="E6" t="s">
        <v>2018</v>
      </c>
      <c r="F6" t="s">
        <v>1822</v>
      </c>
      <c r="G6" t="s">
        <v>1660</v>
      </c>
    </row>
    <row r="7" spans="1:7">
      <c r="A7" s="459" t="s">
        <v>2259</v>
      </c>
      <c r="B7" s="193">
        <v>46042</v>
      </c>
      <c r="C7" s="370">
        <v>8500</v>
      </c>
      <c r="D7" s="370">
        <v>8500</v>
      </c>
      <c r="E7" t="s">
        <v>2260</v>
      </c>
      <c r="F7" t="s">
        <v>1822</v>
      </c>
      <c r="G7" t="s">
        <v>1660</v>
      </c>
    </row>
    <row r="8" spans="1:7">
      <c r="A8" s="459" t="s">
        <v>2259</v>
      </c>
      <c r="B8" s="193">
        <v>46073</v>
      </c>
      <c r="C8" s="370">
        <v>47500</v>
      </c>
      <c r="D8" s="370">
        <v>47500</v>
      </c>
      <c r="E8" t="s">
        <v>2363</v>
      </c>
      <c r="F8" t="s">
        <v>1822</v>
      </c>
      <c r="G8" t="s">
        <v>1660</v>
      </c>
    </row>
    <row r="9" spans="1:7">
      <c r="A9" s="459" t="s">
        <v>735</v>
      </c>
      <c r="B9" s="193">
        <v>46078</v>
      </c>
      <c r="C9" s="370">
        <v>22500</v>
      </c>
      <c r="D9" s="370">
        <v>22500</v>
      </c>
      <c r="E9" t="s">
        <v>2364</v>
      </c>
      <c r="F9" t="s">
        <v>1822</v>
      </c>
      <c r="G9" t="s">
        <v>1660</v>
      </c>
    </row>
    <row r="10" spans="1:7">
      <c r="B10" s="193"/>
      <c r="C10" s="432">
        <f>SUM(C6:C7)</f>
        <v>15171.880000000001</v>
      </c>
      <c r="D10" s="432">
        <f>SUM(D6:D9)</f>
        <v>85171.88</v>
      </c>
    </row>
    <row r="11" spans="1:7">
      <c r="A11" t="s">
        <v>740</v>
      </c>
      <c r="B11" s="193">
        <v>45999</v>
      </c>
      <c r="C11" s="370">
        <v>16057.44</v>
      </c>
      <c r="D11" s="370">
        <v>16057.44</v>
      </c>
      <c r="E11" t="s">
        <v>2206</v>
      </c>
      <c r="F11" t="s">
        <v>2131</v>
      </c>
      <c r="G11" t="s">
        <v>2062</v>
      </c>
    </row>
    <row r="12" spans="1:7">
      <c r="B12" s="193"/>
      <c r="C12" s="432">
        <f>SUM(C11:C11)</f>
        <v>16057.44</v>
      </c>
      <c r="D12" s="432">
        <f>SUM(D11:D11)</f>
        <v>16057.44</v>
      </c>
    </row>
    <row r="13" spans="1:7">
      <c r="C13" s="1178">
        <f>+C3+C5+C10+C12</f>
        <v>727148.91999999993</v>
      </c>
      <c r="D13" s="1178">
        <f>+D3+D5+D10+D12</f>
        <v>797148.91999999993</v>
      </c>
    </row>
  </sheetData>
  <autoFilter ref="A1:G1" xr:uid="{8F833D8D-E3A2-49C0-BA28-FAE8897AAB0B}">
    <sortState xmlns:xlrd2="http://schemas.microsoft.com/office/spreadsheetml/2017/richdata2" ref="A2:G11">
      <sortCondition ref="G1"/>
    </sortState>
  </autoFilter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632E5-A4D2-460F-B05E-1CC58DA665AE}">
  <dimension ref="A1:H131"/>
  <sheetViews>
    <sheetView showGridLines="0" topLeftCell="A107" zoomScaleNormal="100" workbookViewId="0">
      <selection activeCell="F133" sqref="F133"/>
    </sheetView>
  </sheetViews>
  <sheetFormatPr baseColWidth="10" defaultColWidth="8" defaultRowHeight="11.4"/>
  <cols>
    <col min="1" max="1" width="61.44140625" style="1440" customWidth="1"/>
    <col min="2" max="2" width="12.6640625" style="1440" customWidth="1"/>
    <col min="3" max="3" width="22.44140625" style="1440" bestFit="1" customWidth="1"/>
    <col min="4" max="4" width="9.88671875" style="1440" customWidth="1"/>
    <col min="5" max="6" width="11.44140625" style="1440" customWidth="1"/>
    <col min="7" max="7" width="4.88671875" style="1440" customWidth="1"/>
    <col min="8" max="8" width="11.44140625" style="1440" customWidth="1"/>
    <col min="9" max="9" width="8.6640625" style="1440" bestFit="1" customWidth="1"/>
    <col min="10" max="16384" width="8" style="1440"/>
  </cols>
  <sheetData>
    <row r="1" spans="1:8" s="1437" customFormat="1" ht="16.649999999999999" customHeight="1">
      <c r="A1" s="1436" t="s">
        <v>771</v>
      </c>
      <c r="B1" s="1436"/>
      <c r="C1" s="1436"/>
      <c r="D1" s="1436"/>
      <c r="E1" s="1436"/>
      <c r="F1" s="1436"/>
      <c r="G1" s="1436"/>
      <c r="H1" s="1436"/>
    </row>
    <row r="2" spans="1:8" s="1439" customFormat="1" ht="14.4" customHeight="1">
      <c r="A2" s="1438" t="s">
        <v>236</v>
      </c>
      <c r="B2" s="1438"/>
      <c r="C2" s="1438"/>
      <c r="D2" s="1438"/>
      <c r="E2" s="1438"/>
      <c r="F2" s="1438"/>
      <c r="G2" s="1438"/>
      <c r="H2" s="1438"/>
    </row>
    <row r="3" spans="1:8" s="1439" customFormat="1" ht="14.4" customHeight="1">
      <c r="A3" s="1438" t="s">
        <v>2365</v>
      </c>
      <c r="B3" s="1438"/>
      <c r="C3" s="1438"/>
      <c r="D3" s="1438"/>
      <c r="E3" s="1438"/>
      <c r="F3" s="1438"/>
      <c r="G3" s="1438"/>
      <c r="H3" s="1438"/>
    </row>
    <row r="4" spans="1:8" s="1439" customFormat="1" ht="14.4" customHeight="1">
      <c r="A4" s="1438" t="s">
        <v>724</v>
      </c>
      <c r="B4" s="1438"/>
      <c r="C4" s="1438"/>
      <c r="D4" s="1438"/>
      <c r="E4" s="1438"/>
      <c r="F4" s="1438"/>
      <c r="G4" s="1438"/>
      <c r="H4" s="1438"/>
    </row>
    <row r="5" spans="1:8" ht="13.35" customHeight="1"/>
    <row r="6" spans="1:8" s="1444" customFormat="1" ht="12.15" customHeight="1">
      <c r="A6" s="1441" t="s">
        <v>690</v>
      </c>
      <c r="B6" s="1441" t="s">
        <v>689</v>
      </c>
      <c r="C6" s="1441" t="s">
        <v>773</v>
      </c>
      <c r="D6" s="1442" t="s">
        <v>861</v>
      </c>
      <c r="E6" s="1442" t="s">
        <v>824</v>
      </c>
      <c r="F6" s="1442" t="s">
        <v>828</v>
      </c>
      <c r="G6" s="1442"/>
      <c r="H6" s="1442" t="s">
        <v>164</v>
      </c>
    </row>
    <row r="7" spans="1:8" ht="13.35" customHeight="1"/>
    <row r="8" spans="1:8" s="1444" customFormat="1" ht="12.15" customHeight="1">
      <c r="A8" s="1445" t="s">
        <v>2132</v>
      </c>
      <c r="B8" s="1445"/>
      <c r="C8" s="1445"/>
      <c r="D8" s="1445"/>
      <c r="E8" s="1445"/>
      <c r="F8" s="1445"/>
      <c r="G8" s="1445"/>
      <c r="H8" s="1445"/>
    </row>
    <row r="9" spans="1:8" ht="10.95" customHeight="1">
      <c r="A9" s="1446" t="s">
        <v>301</v>
      </c>
      <c r="B9" s="1447">
        <v>45888</v>
      </c>
      <c r="C9" s="1446" t="s">
        <v>1629</v>
      </c>
      <c r="D9" s="1448">
        <v>0</v>
      </c>
      <c r="E9" s="1448">
        <v>0</v>
      </c>
      <c r="F9" s="1448">
        <v>1427678.42</v>
      </c>
      <c r="G9" s="1446"/>
      <c r="H9" s="1448">
        <v>1427678.42</v>
      </c>
    </row>
    <row r="10" spans="1:8" ht="10.95" customHeight="1">
      <c r="A10" s="1450" t="s">
        <v>327</v>
      </c>
      <c r="B10" s="1451">
        <v>46076</v>
      </c>
      <c r="C10" s="1450" t="s">
        <v>2366</v>
      </c>
      <c r="D10" s="1452">
        <v>0</v>
      </c>
      <c r="E10" s="1452">
        <v>416685.22</v>
      </c>
      <c r="F10" s="1452">
        <v>0</v>
      </c>
      <c r="G10" s="1450"/>
      <c r="H10" s="1452">
        <v>416685.22</v>
      </c>
    </row>
    <row r="11" spans="1:8" ht="10.95" customHeight="1">
      <c r="A11" s="1454" t="s">
        <v>2133</v>
      </c>
      <c r="B11" s="1454"/>
      <c r="C11" s="1454"/>
      <c r="D11" s="1455">
        <f>SUM(D9:D10)</f>
        <v>0</v>
      </c>
      <c r="E11" s="1455">
        <f>SUM(E9:E10)</f>
        <v>416685.22</v>
      </c>
      <c r="F11" s="1455">
        <f>SUM(F9:F10)</f>
        <v>1427678.42</v>
      </c>
      <c r="G11" s="1454"/>
      <c r="H11" s="1455">
        <f>SUM(H9:H10)</f>
        <v>1844363.64</v>
      </c>
    </row>
    <row r="12" spans="1:8" ht="13.35" customHeight="1"/>
    <row r="13" spans="1:8" s="1444" customFormat="1" ht="12.15" customHeight="1">
      <c r="A13" s="1445" t="s">
        <v>1030</v>
      </c>
      <c r="B13" s="1445"/>
      <c r="C13" s="1445"/>
      <c r="D13" s="1445"/>
      <c r="E13" s="1445"/>
      <c r="F13" s="1445"/>
      <c r="G13" s="1445"/>
      <c r="H13" s="1445"/>
    </row>
    <row r="14" spans="1:8" ht="10.95" customHeight="1">
      <c r="A14" s="1446" t="s">
        <v>1116</v>
      </c>
      <c r="B14" s="1447">
        <v>46060</v>
      </c>
      <c r="C14" s="1446" t="s">
        <v>2367</v>
      </c>
      <c r="D14" s="1448">
        <v>0</v>
      </c>
      <c r="E14" s="1448">
        <v>48000</v>
      </c>
      <c r="F14" s="1448">
        <v>0</v>
      </c>
      <c r="G14" s="1446"/>
      <c r="H14" s="1448">
        <v>48000</v>
      </c>
    </row>
    <row r="15" spans="1:8" ht="10.95" customHeight="1">
      <c r="A15" s="1450" t="s">
        <v>2210</v>
      </c>
      <c r="B15" s="1451">
        <v>46063</v>
      </c>
      <c r="C15" s="1450" t="s">
        <v>2368</v>
      </c>
      <c r="D15" s="1452">
        <v>0</v>
      </c>
      <c r="E15" s="1452">
        <v>1104.01</v>
      </c>
      <c r="F15" s="1452">
        <v>0</v>
      </c>
      <c r="G15" s="1450"/>
      <c r="H15" s="1452">
        <v>1104.01</v>
      </c>
    </row>
    <row r="16" spans="1:8" ht="10.95" customHeight="1">
      <c r="A16" s="1450" t="s">
        <v>1116</v>
      </c>
      <c r="B16" s="1451">
        <v>46069</v>
      </c>
      <c r="C16" s="1450" t="s">
        <v>2369</v>
      </c>
      <c r="D16" s="1452">
        <v>6840</v>
      </c>
      <c r="E16" s="1452">
        <v>0</v>
      </c>
      <c r="F16" s="1452">
        <v>0</v>
      </c>
      <c r="G16" s="1450"/>
      <c r="H16" s="1452">
        <v>6840</v>
      </c>
    </row>
    <row r="17" spans="1:8" ht="10.95" customHeight="1">
      <c r="A17" s="1450" t="s">
        <v>2257</v>
      </c>
      <c r="B17" s="1451">
        <v>46071</v>
      </c>
      <c r="C17" s="1450" t="s">
        <v>2370</v>
      </c>
      <c r="D17" s="1452">
        <v>0</v>
      </c>
      <c r="E17" s="1452">
        <v>153504</v>
      </c>
      <c r="F17" s="1452">
        <v>0</v>
      </c>
      <c r="G17" s="1450"/>
      <c r="H17" s="1452">
        <v>153504</v>
      </c>
    </row>
    <row r="18" spans="1:8" ht="10.95" customHeight="1">
      <c r="A18" s="1450" t="s">
        <v>1084</v>
      </c>
      <c r="B18" s="1451">
        <v>46076</v>
      </c>
      <c r="C18" s="1450" t="s">
        <v>2371</v>
      </c>
      <c r="D18" s="1452">
        <v>0</v>
      </c>
      <c r="E18" s="1452">
        <v>7669</v>
      </c>
      <c r="F18" s="1452">
        <v>0</v>
      </c>
      <c r="G18" s="1450"/>
      <c r="H18" s="1452">
        <v>7669</v>
      </c>
    </row>
    <row r="19" spans="1:8" ht="10.95" customHeight="1">
      <c r="A19" s="1446" t="s">
        <v>1116</v>
      </c>
      <c r="B19" s="1447">
        <v>46059</v>
      </c>
      <c r="C19" s="1446" t="s">
        <v>2372</v>
      </c>
      <c r="D19" s="1448">
        <v>52800</v>
      </c>
      <c r="E19" s="1448">
        <v>0</v>
      </c>
      <c r="F19" s="1448">
        <v>0</v>
      </c>
      <c r="G19" s="1446"/>
      <c r="H19" s="1448">
        <v>52800</v>
      </c>
    </row>
    <row r="20" spans="1:8" ht="10.95" customHeight="1">
      <c r="A20" s="1450" t="s">
        <v>1116</v>
      </c>
      <c r="B20" s="1451">
        <v>46059</v>
      </c>
      <c r="C20" s="1450" t="s">
        <v>2373</v>
      </c>
      <c r="D20" s="1452">
        <v>195</v>
      </c>
      <c r="E20" s="1452">
        <v>0</v>
      </c>
      <c r="F20" s="1452">
        <v>0</v>
      </c>
      <c r="G20" s="1450"/>
      <c r="H20" s="1452">
        <v>195</v>
      </c>
    </row>
    <row r="21" spans="1:8" ht="10.95" customHeight="1">
      <c r="A21" s="1450" t="s">
        <v>1116</v>
      </c>
      <c r="B21" s="1451">
        <v>46060</v>
      </c>
      <c r="C21" s="1450" t="s">
        <v>2374</v>
      </c>
      <c r="D21" s="1452">
        <v>91200</v>
      </c>
      <c r="E21" s="1452">
        <v>0</v>
      </c>
      <c r="F21" s="1452">
        <v>0</v>
      </c>
      <c r="G21" s="1450"/>
      <c r="H21" s="1452">
        <v>91200</v>
      </c>
    </row>
    <row r="22" spans="1:8" ht="10.95" customHeight="1">
      <c r="A22" s="1450" t="s">
        <v>1116</v>
      </c>
      <c r="B22" s="1451">
        <v>46069</v>
      </c>
      <c r="C22" s="1450" t="s">
        <v>2375</v>
      </c>
      <c r="D22" s="1452">
        <v>16269.5</v>
      </c>
      <c r="E22" s="1452">
        <v>0</v>
      </c>
      <c r="F22" s="1452">
        <v>0</v>
      </c>
      <c r="G22" s="1450"/>
      <c r="H22" s="1452">
        <v>16269.5</v>
      </c>
    </row>
    <row r="23" spans="1:8" ht="10.95" customHeight="1">
      <c r="A23" s="1450" t="s">
        <v>2210</v>
      </c>
      <c r="B23" s="1451">
        <v>46069</v>
      </c>
      <c r="C23" s="1450" t="s">
        <v>2376</v>
      </c>
      <c r="D23" s="1452">
        <v>54204.98</v>
      </c>
      <c r="E23" s="1452">
        <v>0</v>
      </c>
      <c r="F23" s="1452">
        <v>0</v>
      </c>
      <c r="G23" s="1450"/>
      <c r="H23" s="1452">
        <v>54204.98</v>
      </c>
    </row>
    <row r="24" spans="1:8" ht="10.95" customHeight="1">
      <c r="A24" s="1450" t="s">
        <v>1084</v>
      </c>
      <c r="B24" s="1451">
        <v>46070</v>
      </c>
      <c r="C24" s="1450" t="s">
        <v>2377</v>
      </c>
      <c r="D24" s="1452">
        <v>9500</v>
      </c>
      <c r="E24" s="1452">
        <v>0</v>
      </c>
      <c r="F24" s="1452">
        <v>0</v>
      </c>
      <c r="G24" s="1450"/>
      <c r="H24" s="1452">
        <v>9500</v>
      </c>
    </row>
    <row r="25" spans="1:8" ht="10.95" customHeight="1">
      <c r="A25" s="1450" t="s">
        <v>2210</v>
      </c>
      <c r="B25" s="1451">
        <v>46071</v>
      </c>
      <c r="C25" s="1450" t="s">
        <v>2378</v>
      </c>
      <c r="D25" s="1452">
        <v>21999.919999999998</v>
      </c>
      <c r="E25" s="1452">
        <v>0</v>
      </c>
      <c r="F25" s="1452">
        <v>0</v>
      </c>
      <c r="G25" s="1450"/>
      <c r="H25" s="1452">
        <v>21999.919999999998</v>
      </c>
    </row>
    <row r="26" spans="1:8" ht="10.95" customHeight="1">
      <c r="A26" s="1450" t="s">
        <v>2210</v>
      </c>
      <c r="B26" s="1451">
        <v>46072</v>
      </c>
      <c r="C26" s="1450" t="s">
        <v>2379</v>
      </c>
      <c r="D26" s="1452">
        <v>12690.84</v>
      </c>
      <c r="E26" s="1452">
        <v>0</v>
      </c>
      <c r="F26" s="1452">
        <v>0</v>
      </c>
      <c r="G26" s="1450"/>
      <c r="H26" s="1452">
        <v>12690.84</v>
      </c>
    </row>
    <row r="27" spans="1:8" ht="10.95" customHeight="1">
      <c r="A27" s="1450" t="s">
        <v>1116</v>
      </c>
      <c r="B27" s="1451">
        <v>46077</v>
      </c>
      <c r="C27" s="1450" t="s">
        <v>2380</v>
      </c>
      <c r="D27" s="1452">
        <v>3358.42</v>
      </c>
      <c r="E27" s="1452">
        <v>0</v>
      </c>
      <c r="F27" s="1452">
        <v>0</v>
      </c>
      <c r="G27" s="1450"/>
      <c r="H27" s="1452">
        <v>3358.42</v>
      </c>
    </row>
    <row r="28" spans="1:8" ht="10.95" customHeight="1">
      <c r="A28" s="1450" t="s">
        <v>1337</v>
      </c>
      <c r="B28" s="1451">
        <v>46077</v>
      </c>
      <c r="C28" s="1450" t="s">
        <v>2381</v>
      </c>
      <c r="D28" s="1452">
        <v>0</v>
      </c>
      <c r="E28" s="1452">
        <v>4838</v>
      </c>
      <c r="F28" s="1452">
        <v>0</v>
      </c>
      <c r="G28" s="1450"/>
      <c r="H28" s="1452">
        <v>4838</v>
      </c>
    </row>
    <row r="29" spans="1:8" ht="10.95" customHeight="1">
      <c r="A29" s="1454" t="s">
        <v>1831</v>
      </c>
      <c r="B29" s="1454"/>
      <c r="C29" s="1454"/>
      <c r="D29" s="1455">
        <f>SUM(D14:D28)</f>
        <v>269058.66000000003</v>
      </c>
      <c r="E29" s="1455">
        <f>SUM(E14:E28)</f>
        <v>215115.01</v>
      </c>
      <c r="F29" s="1455">
        <f>SUM(F14:F28)</f>
        <v>0</v>
      </c>
      <c r="G29" s="1455">
        <f>SUM(G14:G28)</f>
        <v>0</v>
      </c>
      <c r="H29" s="1455">
        <f>SUM(H14:H28)</f>
        <v>484173.67</v>
      </c>
    </row>
    <row r="30" spans="1:8" ht="13.35" customHeight="1"/>
    <row r="31" spans="1:8" s="1444" customFormat="1" ht="12.15" customHeight="1">
      <c r="A31" s="1445" t="s">
        <v>2056</v>
      </c>
      <c r="B31" s="1445"/>
      <c r="C31" s="1445"/>
      <c r="D31" s="1445"/>
      <c r="E31" s="1445"/>
      <c r="F31" s="1445"/>
      <c r="G31" s="1445"/>
      <c r="H31" s="1445"/>
    </row>
    <row r="32" spans="1:8" ht="10.95" customHeight="1">
      <c r="A32" s="1446" t="s">
        <v>2220</v>
      </c>
      <c r="B32" s="1447">
        <v>46051</v>
      </c>
      <c r="C32" s="1446" t="s">
        <v>2282</v>
      </c>
      <c r="D32" s="1448">
        <v>0</v>
      </c>
      <c r="E32" s="1448">
        <v>23425.1</v>
      </c>
      <c r="F32" s="1448">
        <v>0</v>
      </c>
      <c r="G32" s="1446"/>
      <c r="H32" s="1448">
        <v>23425.1</v>
      </c>
    </row>
    <row r="33" spans="1:8" ht="10.95" customHeight="1">
      <c r="A33" s="1450" t="s">
        <v>1116</v>
      </c>
      <c r="B33" s="1451">
        <v>46052</v>
      </c>
      <c r="C33" s="1450" t="s">
        <v>2285</v>
      </c>
      <c r="D33" s="1452">
        <v>0</v>
      </c>
      <c r="E33" s="1452">
        <v>66195.34</v>
      </c>
      <c r="F33" s="1452">
        <v>0</v>
      </c>
      <c r="G33" s="1450"/>
      <c r="H33" s="1452">
        <v>66195.34</v>
      </c>
    </row>
    <row r="34" spans="1:8" ht="10.95" customHeight="1">
      <c r="A34" s="1450" t="s">
        <v>1116</v>
      </c>
      <c r="B34" s="1451">
        <v>46052</v>
      </c>
      <c r="C34" s="1450" t="s">
        <v>2283</v>
      </c>
      <c r="D34" s="1452">
        <v>0</v>
      </c>
      <c r="E34" s="1452">
        <v>45592.49</v>
      </c>
      <c r="F34" s="1452">
        <v>0</v>
      </c>
      <c r="G34" s="1450"/>
      <c r="H34" s="1452">
        <v>45592.49</v>
      </c>
    </row>
    <row r="35" spans="1:8" ht="10.95" customHeight="1">
      <c r="A35" s="1450" t="s">
        <v>1116</v>
      </c>
      <c r="B35" s="1451">
        <v>46052</v>
      </c>
      <c r="C35" s="1450" t="s">
        <v>2284</v>
      </c>
      <c r="D35" s="1452">
        <v>0</v>
      </c>
      <c r="E35" s="1452">
        <v>2240.1999999999998</v>
      </c>
      <c r="F35" s="1452">
        <v>0</v>
      </c>
      <c r="G35" s="1450"/>
      <c r="H35" s="1452">
        <v>2240.1999999999998</v>
      </c>
    </row>
    <row r="36" spans="1:8" ht="10.95" customHeight="1">
      <c r="A36" s="1450" t="s">
        <v>1116</v>
      </c>
      <c r="B36" s="1451">
        <v>46052</v>
      </c>
      <c r="C36" s="1450" t="s">
        <v>2286</v>
      </c>
      <c r="D36" s="1452">
        <v>0</v>
      </c>
      <c r="E36" s="1452">
        <v>5800</v>
      </c>
      <c r="F36" s="1452">
        <v>0</v>
      </c>
      <c r="G36" s="1450"/>
      <c r="H36" s="1452">
        <v>5800</v>
      </c>
    </row>
    <row r="37" spans="1:8" ht="10.95" customHeight="1">
      <c r="A37" s="1450" t="s">
        <v>2210</v>
      </c>
      <c r="B37" s="1451">
        <v>46053</v>
      </c>
      <c r="C37" s="1450" t="s">
        <v>2287</v>
      </c>
      <c r="D37" s="1452">
        <v>0</v>
      </c>
      <c r="E37" s="1452">
        <v>1834.83</v>
      </c>
      <c r="F37" s="1452">
        <v>0</v>
      </c>
      <c r="G37" s="1450"/>
      <c r="H37" s="1452">
        <v>1834.83</v>
      </c>
    </row>
    <row r="38" spans="1:8" ht="10.95" customHeight="1">
      <c r="A38" s="1450" t="s">
        <v>2210</v>
      </c>
      <c r="B38" s="1451">
        <v>46055</v>
      </c>
      <c r="C38" s="1450" t="s">
        <v>2382</v>
      </c>
      <c r="D38" s="1452">
        <v>5603.56</v>
      </c>
      <c r="E38" s="1452">
        <v>0</v>
      </c>
      <c r="F38" s="1452">
        <v>0</v>
      </c>
      <c r="G38" s="1450"/>
      <c r="H38" s="1452">
        <v>5603.56</v>
      </c>
    </row>
    <row r="39" spans="1:8" ht="10.95" customHeight="1">
      <c r="A39" s="1450" t="s">
        <v>2210</v>
      </c>
      <c r="B39" s="1451">
        <v>46057</v>
      </c>
      <c r="C39" s="1450" t="s">
        <v>2383</v>
      </c>
      <c r="D39" s="1452">
        <v>170434.85</v>
      </c>
      <c r="E39" s="1452">
        <v>0</v>
      </c>
      <c r="F39" s="1452">
        <v>0</v>
      </c>
      <c r="G39" s="1450"/>
      <c r="H39" s="1452">
        <v>170434.85</v>
      </c>
    </row>
    <row r="40" spans="1:8" ht="10.95" customHeight="1">
      <c r="A40" s="1450" t="s">
        <v>2210</v>
      </c>
      <c r="B40" s="1451">
        <v>46057</v>
      </c>
      <c r="C40" s="1450" t="s">
        <v>2384</v>
      </c>
      <c r="D40" s="1452">
        <v>4005.51</v>
      </c>
      <c r="E40" s="1452">
        <v>0</v>
      </c>
      <c r="F40" s="1452">
        <v>0</v>
      </c>
      <c r="G40" s="1450"/>
      <c r="H40" s="1452">
        <v>4005.51</v>
      </c>
    </row>
    <row r="41" spans="1:8" ht="10.95" customHeight="1">
      <c r="A41" s="1450" t="s">
        <v>2220</v>
      </c>
      <c r="B41" s="1451">
        <v>46058</v>
      </c>
      <c r="C41" s="1450" t="s">
        <v>2385</v>
      </c>
      <c r="D41" s="1452">
        <v>803.18</v>
      </c>
      <c r="E41" s="1452">
        <v>0</v>
      </c>
      <c r="F41" s="1452">
        <v>0</v>
      </c>
      <c r="G41" s="1450"/>
      <c r="H41" s="1452">
        <v>803.18</v>
      </c>
    </row>
    <row r="42" spans="1:8" ht="10.95" customHeight="1">
      <c r="A42" s="1450" t="s">
        <v>2220</v>
      </c>
      <c r="B42" s="1451">
        <v>46058</v>
      </c>
      <c r="C42" s="1450" t="s">
        <v>2386</v>
      </c>
      <c r="D42" s="1452">
        <v>75253.929999999993</v>
      </c>
      <c r="E42" s="1452">
        <v>0</v>
      </c>
      <c r="F42" s="1452">
        <v>0</v>
      </c>
      <c r="G42" s="1450"/>
      <c r="H42" s="1452">
        <v>75253.929999999993</v>
      </c>
    </row>
    <row r="43" spans="1:8" ht="10.95" customHeight="1">
      <c r="A43" s="1450" t="s">
        <v>1116</v>
      </c>
      <c r="B43" s="1451">
        <v>46059</v>
      </c>
      <c r="C43" s="1450" t="s">
        <v>2387</v>
      </c>
      <c r="D43" s="1452">
        <v>0</v>
      </c>
      <c r="E43" s="1452">
        <v>340000.56</v>
      </c>
      <c r="F43" s="1452">
        <v>0</v>
      </c>
      <c r="G43" s="1450"/>
      <c r="H43" s="1452">
        <v>340000.56</v>
      </c>
    </row>
    <row r="44" spans="1:8" ht="10.95" customHeight="1">
      <c r="A44" s="1450" t="s">
        <v>1116</v>
      </c>
      <c r="B44" s="1451">
        <v>46059</v>
      </c>
      <c r="C44" s="1450" t="s">
        <v>2388</v>
      </c>
      <c r="D44" s="1452">
        <v>117600</v>
      </c>
      <c r="E44" s="1452">
        <v>0</v>
      </c>
      <c r="F44" s="1452">
        <v>0</v>
      </c>
      <c r="G44" s="1450"/>
      <c r="H44" s="1452">
        <v>117600</v>
      </c>
    </row>
    <row r="45" spans="1:8" ht="10.95" customHeight="1">
      <c r="A45" s="1450" t="s">
        <v>2210</v>
      </c>
      <c r="B45" s="1451">
        <v>46059</v>
      </c>
      <c r="C45" s="1450" t="s">
        <v>2389</v>
      </c>
      <c r="D45" s="1452">
        <v>10259.379999999999</v>
      </c>
      <c r="E45" s="1452">
        <v>0</v>
      </c>
      <c r="F45" s="1452">
        <v>0</v>
      </c>
      <c r="G45" s="1450"/>
      <c r="H45" s="1452">
        <v>10259.379999999999</v>
      </c>
    </row>
    <row r="46" spans="1:8" ht="10.95" customHeight="1">
      <c r="A46" s="1450" t="s">
        <v>2210</v>
      </c>
      <c r="B46" s="1451">
        <v>46063</v>
      </c>
      <c r="C46" s="1450" t="s">
        <v>2390</v>
      </c>
      <c r="D46" s="1452">
        <v>2621.82</v>
      </c>
      <c r="E46" s="1452">
        <v>0</v>
      </c>
      <c r="F46" s="1452">
        <v>0</v>
      </c>
      <c r="G46" s="1450"/>
      <c r="H46" s="1452">
        <v>2621.82</v>
      </c>
    </row>
    <row r="47" spans="1:8" ht="10.95" customHeight="1">
      <c r="A47" s="1450" t="s">
        <v>1116</v>
      </c>
      <c r="B47" s="1451">
        <v>46064</v>
      </c>
      <c r="C47" s="1450" t="s">
        <v>2391</v>
      </c>
      <c r="D47" s="1452">
        <v>0</v>
      </c>
      <c r="E47" s="1452">
        <v>294000</v>
      </c>
      <c r="F47" s="1452">
        <v>0</v>
      </c>
      <c r="G47" s="1450"/>
      <c r="H47" s="1452">
        <v>294000</v>
      </c>
    </row>
    <row r="48" spans="1:8" ht="10.95" customHeight="1">
      <c r="A48" s="1450" t="s">
        <v>1116</v>
      </c>
      <c r="B48" s="1451">
        <v>46064</v>
      </c>
      <c r="C48" s="1450" t="s">
        <v>2392</v>
      </c>
      <c r="D48" s="1452">
        <v>13552</v>
      </c>
      <c r="E48" s="1452">
        <v>0</v>
      </c>
      <c r="F48" s="1452">
        <v>0</v>
      </c>
      <c r="G48" s="1450"/>
      <c r="H48" s="1452">
        <v>13552</v>
      </c>
    </row>
    <row r="49" spans="1:8" ht="10.95" customHeight="1">
      <c r="A49" s="1450" t="s">
        <v>1116</v>
      </c>
      <c r="B49" s="1451">
        <v>46064</v>
      </c>
      <c r="C49" s="1450" t="s">
        <v>2393</v>
      </c>
      <c r="D49" s="1452">
        <v>0</v>
      </c>
      <c r="E49" s="1452">
        <v>612000.88</v>
      </c>
      <c r="F49" s="1452">
        <v>0</v>
      </c>
      <c r="G49" s="1450"/>
      <c r="H49" s="1452">
        <v>612000.88</v>
      </c>
    </row>
    <row r="50" spans="1:8" ht="10.95" customHeight="1">
      <c r="A50" s="1450" t="s">
        <v>2394</v>
      </c>
      <c r="B50" s="1451">
        <v>46065</v>
      </c>
      <c r="C50" s="1450" t="s">
        <v>2395</v>
      </c>
      <c r="D50" s="1452">
        <v>0</v>
      </c>
      <c r="E50" s="1452">
        <v>217296</v>
      </c>
      <c r="F50" s="1452">
        <v>0</v>
      </c>
      <c r="G50" s="1450"/>
      <c r="H50" s="1452">
        <v>217296</v>
      </c>
    </row>
    <row r="51" spans="1:8" ht="10.95" customHeight="1">
      <c r="A51" s="1450" t="s">
        <v>1116</v>
      </c>
      <c r="B51" s="1451">
        <v>46067</v>
      </c>
      <c r="C51" s="1450" t="s">
        <v>2396</v>
      </c>
      <c r="D51" s="1452">
        <v>40791.599999999999</v>
      </c>
      <c r="E51" s="1452">
        <v>0</v>
      </c>
      <c r="F51" s="1452">
        <v>0</v>
      </c>
      <c r="G51" s="1450"/>
      <c r="H51" s="1452">
        <v>40791.599999999999</v>
      </c>
    </row>
    <row r="52" spans="1:8" ht="10.95" customHeight="1">
      <c r="A52" s="1450" t="s">
        <v>2265</v>
      </c>
      <c r="B52" s="1451">
        <v>46067</v>
      </c>
      <c r="C52" s="1450" t="s">
        <v>2397</v>
      </c>
      <c r="D52" s="1452">
        <v>0</v>
      </c>
      <c r="E52" s="1452">
        <v>83100.2</v>
      </c>
      <c r="F52" s="1452">
        <v>0</v>
      </c>
      <c r="G52" s="1450"/>
      <c r="H52" s="1452">
        <v>83100.2</v>
      </c>
    </row>
    <row r="53" spans="1:8" ht="10.95" customHeight="1">
      <c r="A53" s="1450" t="s">
        <v>1116</v>
      </c>
      <c r="B53" s="1451">
        <v>46069</v>
      </c>
      <c r="C53" s="1450" t="s">
        <v>2398</v>
      </c>
      <c r="D53" s="1452">
        <v>384</v>
      </c>
      <c r="E53" s="1452">
        <v>0</v>
      </c>
      <c r="F53" s="1452">
        <v>0</v>
      </c>
      <c r="G53" s="1450"/>
      <c r="H53" s="1452">
        <v>384</v>
      </c>
    </row>
    <row r="54" spans="1:8" ht="10.95" customHeight="1">
      <c r="A54" s="1450" t="s">
        <v>1116</v>
      </c>
      <c r="B54" s="1451">
        <v>46069</v>
      </c>
      <c r="C54" s="1450" t="s">
        <v>2399</v>
      </c>
      <c r="D54" s="1452">
        <v>176162</v>
      </c>
      <c r="E54" s="1452">
        <v>0</v>
      </c>
      <c r="F54" s="1452">
        <v>0</v>
      </c>
      <c r="G54" s="1450"/>
      <c r="H54" s="1452">
        <v>176162</v>
      </c>
    </row>
    <row r="55" spans="1:8" ht="10.95" customHeight="1">
      <c r="A55" s="1450" t="s">
        <v>2400</v>
      </c>
      <c r="B55" s="1451">
        <v>46069</v>
      </c>
      <c r="C55" s="1450" t="s">
        <v>2401</v>
      </c>
      <c r="D55" s="1452">
        <v>243582.06</v>
      </c>
      <c r="E55" s="1452">
        <v>0</v>
      </c>
      <c r="F55" s="1452">
        <v>0</v>
      </c>
      <c r="G55" s="1450"/>
      <c r="H55" s="1452">
        <v>243582.06</v>
      </c>
    </row>
    <row r="56" spans="1:8" ht="10.95" customHeight="1">
      <c r="A56" s="1450" t="s">
        <v>2220</v>
      </c>
      <c r="B56" s="1451">
        <v>46069</v>
      </c>
      <c r="C56" s="1450" t="s">
        <v>2402</v>
      </c>
      <c r="D56" s="1452">
        <v>30238.04</v>
      </c>
      <c r="E56" s="1452">
        <v>0</v>
      </c>
      <c r="F56" s="1452">
        <v>0</v>
      </c>
      <c r="G56" s="1450"/>
      <c r="H56" s="1452">
        <v>30238.04</v>
      </c>
    </row>
    <row r="57" spans="1:8" ht="10.95" customHeight="1">
      <c r="A57" s="1450" t="s">
        <v>2220</v>
      </c>
      <c r="B57" s="1451">
        <v>46069</v>
      </c>
      <c r="C57" s="1450" t="s">
        <v>2403</v>
      </c>
      <c r="D57" s="1452">
        <v>3508.4</v>
      </c>
      <c r="E57" s="1452">
        <v>0</v>
      </c>
      <c r="F57" s="1452">
        <v>0</v>
      </c>
      <c r="G57" s="1450"/>
      <c r="H57" s="1452">
        <v>3508.4</v>
      </c>
    </row>
    <row r="58" spans="1:8" ht="10.95" customHeight="1">
      <c r="A58" s="1450" t="s">
        <v>1116</v>
      </c>
      <c r="B58" s="1451">
        <v>46070</v>
      </c>
      <c r="C58" s="1450" t="s">
        <v>2404</v>
      </c>
      <c r="D58" s="1452">
        <v>3150</v>
      </c>
      <c r="E58" s="1452">
        <v>0</v>
      </c>
      <c r="F58" s="1452">
        <v>0</v>
      </c>
      <c r="G58" s="1450"/>
      <c r="H58" s="1452">
        <v>3150</v>
      </c>
    </row>
    <row r="59" spans="1:8" ht="10.95" customHeight="1">
      <c r="A59" s="1450" t="s">
        <v>2400</v>
      </c>
      <c r="B59" s="1451">
        <v>46070</v>
      </c>
      <c r="C59" s="1450" t="s">
        <v>2405</v>
      </c>
      <c r="D59" s="1452">
        <v>240141.36</v>
      </c>
      <c r="E59" s="1452">
        <v>0</v>
      </c>
      <c r="F59" s="1452">
        <v>0</v>
      </c>
      <c r="G59" s="1450"/>
      <c r="H59" s="1452">
        <v>240141.36</v>
      </c>
    </row>
    <row r="60" spans="1:8" ht="10.95" customHeight="1">
      <c r="A60" s="1450" t="s">
        <v>2406</v>
      </c>
      <c r="B60" s="1451">
        <v>46071</v>
      </c>
      <c r="C60" s="1450" t="s">
        <v>2407</v>
      </c>
      <c r="D60" s="1452">
        <v>0</v>
      </c>
      <c r="E60" s="1452">
        <v>18644</v>
      </c>
      <c r="F60" s="1452">
        <v>0</v>
      </c>
      <c r="G60" s="1450"/>
      <c r="H60" s="1452">
        <v>18644</v>
      </c>
    </row>
    <row r="61" spans="1:8" ht="10.95" customHeight="1">
      <c r="A61" s="1450" t="s">
        <v>1116</v>
      </c>
      <c r="B61" s="1451">
        <v>46072</v>
      </c>
      <c r="C61" s="1450" t="s">
        <v>2408</v>
      </c>
      <c r="D61" s="1452">
        <v>12200</v>
      </c>
      <c r="E61" s="1452">
        <v>0</v>
      </c>
      <c r="F61" s="1452">
        <v>0</v>
      </c>
      <c r="G61" s="1450"/>
      <c r="H61" s="1452">
        <v>12200</v>
      </c>
    </row>
    <row r="62" spans="1:8" ht="10.95" customHeight="1">
      <c r="A62" s="1450" t="s">
        <v>1116</v>
      </c>
      <c r="B62" s="1451">
        <v>46072</v>
      </c>
      <c r="C62" s="1450" t="s">
        <v>2409</v>
      </c>
      <c r="D62" s="1452">
        <v>4524</v>
      </c>
      <c r="E62" s="1452">
        <v>0</v>
      </c>
      <c r="F62" s="1452">
        <v>0</v>
      </c>
      <c r="G62" s="1450"/>
      <c r="H62" s="1452">
        <v>4524</v>
      </c>
    </row>
    <row r="63" spans="1:8" ht="10.95" customHeight="1">
      <c r="A63" s="1450" t="s">
        <v>1116</v>
      </c>
      <c r="B63" s="1451">
        <v>46072</v>
      </c>
      <c r="C63" s="1450" t="s">
        <v>2410</v>
      </c>
      <c r="D63" s="1452">
        <v>614000.34</v>
      </c>
      <c r="E63" s="1452">
        <v>0</v>
      </c>
      <c r="F63" s="1452">
        <v>0</v>
      </c>
      <c r="G63" s="1450"/>
      <c r="H63" s="1452">
        <v>614000.34</v>
      </c>
    </row>
    <row r="64" spans="1:8" ht="10.95" customHeight="1">
      <c r="A64" s="1450" t="s">
        <v>2400</v>
      </c>
      <c r="B64" s="1451">
        <v>46072</v>
      </c>
      <c r="C64" s="1450" t="s">
        <v>2411</v>
      </c>
      <c r="D64" s="1452">
        <v>240141.37</v>
      </c>
      <c r="E64" s="1452">
        <v>0</v>
      </c>
      <c r="F64" s="1452">
        <v>0</v>
      </c>
      <c r="G64" s="1450"/>
      <c r="H64" s="1452">
        <v>240141.37</v>
      </c>
    </row>
    <row r="65" spans="1:8" ht="10.95" customHeight="1">
      <c r="A65" s="1450" t="s">
        <v>2400</v>
      </c>
      <c r="B65" s="1451">
        <v>46072</v>
      </c>
      <c r="C65" s="1450" t="s">
        <v>2412</v>
      </c>
      <c r="D65" s="1452">
        <v>240141.36</v>
      </c>
      <c r="E65" s="1452">
        <v>0</v>
      </c>
      <c r="F65" s="1452">
        <v>0</v>
      </c>
      <c r="G65" s="1450"/>
      <c r="H65" s="1452">
        <v>240141.36</v>
      </c>
    </row>
    <row r="66" spans="1:8" ht="10.95" customHeight="1">
      <c r="A66" s="1450" t="s">
        <v>1116</v>
      </c>
      <c r="B66" s="1451">
        <v>46073</v>
      </c>
      <c r="C66" s="1450" t="s">
        <v>2413</v>
      </c>
      <c r="D66" s="1452">
        <v>16769.46</v>
      </c>
      <c r="E66" s="1452">
        <v>0</v>
      </c>
      <c r="F66" s="1452">
        <v>0</v>
      </c>
      <c r="G66" s="1450"/>
      <c r="H66" s="1452">
        <v>16769.46</v>
      </c>
    </row>
    <row r="67" spans="1:8" ht="10.95" customHeight="1">
      <c r="A67" s="1450" t="s">
        <v>1116</v>
      </c>
      <c r="B67" s="1451">
        <v>46073</v>
      </c>
      <c r="C67" s="1450" t="s">
        <v>2414</v>
      </c>
      <c r="D67" s="1452">
        <v>23796</v>
      </c>
      <c r="E67" s="1452">
        <v>0</v>
      </c>
      <c r="F67" s="1452">
        <v>0</v>
      </c>
      <c r="G67" s="1450"/>
      <c r="H67" s="1452">
        <v>23796</v>
      </c>
    </row>
    <row r="68" spans="1:8" ht="10.95" customHeight="1">
      <c r="A68" s="1450" t="s">
        <v>2210</v>
      </c>
      <c r="B68" s="1451">
        <v>46073</v>
      </c>
      <c r="C68" s="1450" t="s">
        <v>2415</v>
      </c>
      <c r="D68" s="1452">
        <v>60171.69</v>
      </c>
      <c r="E68" s="1452">
        <v>0</v>
      </c>
      <c r="F68" s="1452">
        <v>0</v>
      </c>
      <c r="G68" s="1450"/>
      <c r="H68" s="1452">
        <v>60171.69</v>
      </c>
    </row>
    <row r="69" spans="1:8" ht="10.95" customHeight="1">
      <c r="A69" s="1450" t="s">
        <v>1116</v>
      </c>
      <c r="B69" s="1451">
        <v>46076</v>
      </c>
      <c r="C69" s="1450" t="s">
        <v>2416</v>
      </c>
      <c r="D69" s="1452">
        <v>2975</v>
      </c>
      <c r="E69" s="1452">
        <v>0</v>
      </c>
      <c r="F69" s="1452">
        <v>0</v>
      </c>
      <c r="G69" s="1450"/>
      <c r="H69" s="1452">
        <v>2975</v>
      </c>
    </row>
    <row r="70" spans="1:8" ht="10.95" customHeight="1">
      <c r="A70" s="1450" t="s">
        <v>2267</v>
      </c>
      <c r="B70" s="1451">
        <v>46077</v>
      </c>
      <c r="C70" s="1450" t="s">
        <v>2417</v>
      </c>
      <c r="D70" s="1452">
        <v>14124.6</v>
      </c>
      <c r="E70" s="1452">
        <v>0</v>
      </c>
      <c r="F70" s="1452">
        <v>0</v>
      </c>
      <c r="G70" s="1450"/>
      <c r="H70" s="1452">
        <v>14124.6</v>
      </c>
    </row>
    <row r="71" spans="1:8" ht="10.95" customHeight="1">
      <c r="A71" s="1450" t="s">
        <v>2220</v>
      </c>
      <c r="B71" s="1451">
        <v>46078</v>
      </c>
      <c r="C71" s="1450" t="s">
        <v>2418</v>
      </c>
      <c r="D71" s="1452">
        <v>110830.86</v>
      </c>
      <c r="E71" s="1452">
        <v>0</v>
      </c>
      <c r="F71" s="1452">
        <v>0</v>
      </c>
      <c r="G71" s="1450"/>
      <c r="H71" s="1452">
        <v>110830.86</v>
      </c>
    </row>
    <row r="72" spans="1:8" ht="10.95" customHeight="1">
      <c r="A72" s="1450" t="s">
        <v>1116</v>
      </c>
      <c r="B72" s="1451">
        <v>46079</v>
      </c>
      <c r="C72" s="1450" t="s">
        <v>2419</v>
      </c>
      <c r="D72" s="1452">
        <v>342500.12</v>
      </c>
      <c r="E72" s="1452">
        <v>0</v>
      </c>
      <c r="F72" s="1452">
        <v>0</v>
      </c>
      <c r="G72" s="1450"/>
      <c r="H72" s="1452">
        <v>342500.12</v>
      </c>
    </row>
    <row r="73" spans="1:8" ht="10.95" customHeight="1">
      <c r="A73" s="1450" t="s">
        <v>1116</v>
      </c>
      <c r="B73" s="1451">
        <v>46081</v>
      </c>
      <c r="C73" s="1450" t="s">
        <v>2420</v>
      </c>
      <c r="D73" s="1452">
        <v>28950</v>
      </c>
      <c r="E73" s="1452">
        <v>0</v>
      </c>
      <c r="F73" s="1452">
        <v>0</v>
      </c>
      <c r="G73" s="1450"/>
      <c r="H73" s="1452">
        <v>28950</v>
      </c>
    </row>
    <row r="74" spans="1:8" ht="10.95" customHeight="1">
      <c r="A74" s="1446" t="s">
        <v>1116</v>
      </c>
      <c r="B74" s="1447">
        <v>46059</v>
      </c>
      <c r="C74" s="1446" t="s">
        <v>2372</v>
      </c>
      <c r="D74" s="1448">
        <v>16696</v>
      </c>
      <c r="E74" s="1448">
        <v>0</v>
      </c>
      <c r="F74" s="1448">
        <v>0</v>
      </c>
      <c r="G74" s="1446"/>
      <c r="H74" s="1448">
        <v>16696</v>
      </c>
    </row>
    <row r="75" spans="1:8" ht="10.95" customHeight="1">
      <c r="A75" s="1450" t="s">
        <v>1116</v>
      </c>
      <c r="B75" s="1451">
        <v>46059</v>
      </c>
      <c r="C75" s="1450" t="s">
        <v>2373</v>
      </c>
      <c r="D75" s="1452">
        <v>9674</v>
      </c>
      <c r="E75" s="1452">
        <v>0</v>
      </c>
      <c r="F75" s="1452">
        <v>0</v>
      </c>
      <c r="G75" s="1450"/>
      <c r="H75" s="1452">
        <v>9674</v>
      </c>
    </row>
    <row r="76" spans="1:8" ht="10.95" customHeight="1">
      <c r="A76" s="1450" t="s">
        <v>1116</v>
      </c>
      <c r="B76" s="1451">
        <v>46060</v>
      </c>
      <c r="C76" s="1450" t="s">
        <v>2374</v>
      </c>
      <c r="D76" s="1452">
        <v>8850</v>
      </c>
      <c r="E76" s="1452">
        <v>0</v>
      </c>
      <c r="F76" s="1452">
        <v>0</v>
      </c>
      <c r="G76" s="1450"/>
      <c r="H76" s="1452">
        <v>8850</v>
      </c>
    </row>
    <row r="77" spans="1:8" ht="10.95" customHeight="1">
      <c r="A77" s="1450" t="s">
        <v>1116</v>
      </c>
      <c r="B77" s="1451">
        <v>46069</v>
      </c>
      <c r="C77" s="1450" t="s">
        <v>2375</v>
      </c>
      <c r="D77" s="1452">
        <v>26825</v>
      </c>
      <c r="E77" s="1452">
        <v>0</v>
      </c>
      <c r="F77" s="1452">
        <v>0</v>
      </c>
      <c r="G77" s="1450"/>
      <c r="H77" s="1452">
        <v>26825</v>
      </c>
    </row>
    <row r="78" spans="1:8" ht="10.95" customHeight="1">
      <c r="A78" s="1450" t="s">
        <v>2210</v>
      </c>
      <c r="B78" s="1451">
        <v>46069</v>
      </c>
      <c r="C78" s="1450" t="s">
        <v>2376</v>
      </c>
      <c r="D78" s="1452">
        <v>36699.980000000003</v>
      </c>
      <c r="E78" s="1452">
        <v>0</v>
      </c>
      <c r="F78" s="1452">
        <v>0</v>
      </c>
      <c r="G78" s="1450"/>
      <c r="H78" s="1452">
        <v>36699.980000000003</v>
      </c>
    </row>
    <row r="79" spans="1:8" ht="10.95" customHeight="1">
      <c r="A79" s="1450" t="s">
        <v>1084</v>
      </c>
      <c r="B79" s="1451">
        <v>46070</v>
      </c>
      <c r="C79" s="1450" t="s">
        <v>2377</v>
      </c>
      <c r="D79" s="1452">
        <v>27157</v>
      </c>
      <c r="E79" s="1452">
        <v>0</v>
      </c>
      <c r="F79" s="1452">
        <v>0</v>
      </c>
      <c r="G79" s="1450"/>
      <c r="H79" s="1452">
        <v>27157</v>
      </c>
    </row>
    <row r="80" spans="1:8" ht="10.95" customHeight="1">
      <c r="A80" s="1450" t="s">
        <v>2210</v>
      </c>
      <c r="B80" s="1451">
        <v>46071</v>
      </c>
      <c r="C80" s="1450" t="s">
        <v>2378</v>
      </c>
      <c r="D80" s="1452">
        <v>61653.2</v>
      </c>
      <c r="E80" s="1452">
        <v>0</v>
      </c>
      <c r="F80" s="1452">
        <v>0</v>
      </c>
      <c r="G80" s="1450"/>
      <c r="H80" s="1452">
        <v>61653.2</v>
      </c>
    </row>
    <row r="81" spans="1:8" ht="10.95" customHeight="1">
      <c r="A81" s="1450" t="s">
        <v>2210</v>
      </c>
      <c r="B81" s="1451">
        <v>46072</v>
      </c>
      <c r="C81" s="1450" t="s">
        <v>2379</v>
      </c>
      <c r="D81" s="1452">
        <v>19012</v>
      </c>
      <c r="E81" s="1452">
        <v>0</v>
      </c>
      <c r="F81" s="1452">
        <v>0</v>
      </c>
      <c r="G81" s="1450"/>
      <c r="H81" s="1452">
        <v>19012</v>
      </c>
    </row>
    <row r="82" spans="1:8" ht="10.95" customHeight="1">
      <c r="A82" s="1450" t="s">
        <v>1116</v>
      </c>
      <c r="B82" s="1451">
        <v>46077</v>
      </c>
      <c r="C82" s="1450" t="s">
        <v>2380</v>
      </c>
      <c r="D82" s="1452">
        <v>96</v>
      </c>
      <c r="E82" s="1452">
        <v>0</v>
      </c>
      <c r="F82" s="1452">
        <v>0</v>
      </c>
      <c r="G82" s="1450"/>
      <c r="H82" s="1452">
        <v>96</v>
      </c>
    </row>
    <row r="83" spans="1:8" ht="10.95" customHeight="1">
      <c r="A83" s="1450" t="s">
        <v>1337</v>
      </c>
      <c r="B83" s="1451">
        <v>46077</v>
      </c>
      <c r="C83" s="1450" t="s">
        <v>2381</v>
      </c>
      <c r="D83" s="1452">
        <v>0</v>
      </c>
      <c r="E83" s="1452">
        <v>6136</v>
      </c>
      <c r="F83" s="1452">
        <v>0</v>
      </c>
      <c r="G83" s="1450"/>
      <c r="H83" s="1452">
        <v>6136</v>
      </c>
    </row>
    <row r="84" spans="1:8" ht="10.95" customHeight="1">
      <c r="A84" s="1454" t="s">
        <v>2057</v>
      </c>
      <c r="B84" s="1454"/>
      <c r="C84" s="1454"/>
      <c r="D84" s="1455">
        <f>SUM(D32:D83)</f>
        <v>3055879.6700000004</v>
      </c>
      <c r="E84" s="1455">
        <f>SUM(E32:E83)</f>
        <v>1716265.5999999999</v>
      </c>
      <c r="F84" s="1455">
        <f>SUM(F32:F83)</f>
        <v>0</v>
      </c>
      <c r="G84" s="1455">
        <f>SUM(G32:G83)</f>
        <v>0</v>
      </c>
      <c r="H84" s="1455">
        <f>SUM(H32:H83)</f>
        <v>4772145.2700000005</v>
      </c>
    </row>
    <row r="85" spans="1:8" ht="13.35" customHeight="1"/>
    <row r="86" spans="1:8" s="1444" customFormat="1" ht="12.15" customHeight="1">
      <c r="A86" s="1445" t="s">
        <v>2288</v>
      </c>
      <c r="B86" s="1445"/>
      <c r="C86" s="1445"/>
      <c r="D86" s="1445"/>
      <c r="E86" s="1445"/>
      <c r="F86" s="1445"/>
      <c r="G86" s="1445"/>
      <c r="H86" s="1445"/>
    </row>
    <row r="87" spans="1:8" ht="10.95" customHeight="1">
      <c r="A87" s="1446" t="s">
        <v>2289</v>
      </c>
      <c r="B87" s="1447">
        <v>46056</v>
      </c>
      <c r="C87" s="1446" t="s">
        <v>2421</v>
      </c>
      <c r="D87" s="1448">
        <v>0</v>
      </c>
      <c r="E87" s="1448">
        <v>8105.89</v>
      </c>
      <c r="F87" s="1448">
        <v>0</v>
      </c>
      <c r="G87" s="1446"/>
      <c r="H87" s="1448">
        <v>8105.89</v>
      </c>
    </row>
    <row r="88" spans="1:8" ht="10.95" customHeight="1">
      <c r="A88" s="1454" t="s">
        <v>2141</v>
      </c>
      <c r="B88" s="1454"/>
      <c r="C88" s="1454"/>
      <c r="D88" s="1455">
        <f>D87</f>
        <v>0</v>
      </c>
      <c r="E88" s="1455">
        <f>E87</f>
        <v>8105.89</v>
      </c>
      <c r="F88" s="1455">
        <f>F87</f>
        <v>0</v>
      </c>
      <c r="G88" s="1454"/>
      <c r="H88" s="1455">
        <f>H87</f>
        <v>8105.89</v>
      </c>
    </row>
    <row r="89" spans="1:8" ht="13.35" customHeight="1"/>
    <row r="90" spans="1:8" s="1444" customFormat="1" ht="12.15" customHeight="1">
      <c r="A90" s="1445" t="s">
        <v>1308</v>
      </c>
      <c r="B90" s="1445"/>
      <c r="C90" s="1445"/>
      <c r="D90" s="1445"/>
      <c r="E90" s="1445"/>
      <c r="F90" s="1445"/>
      <c r="G90" s="1445"/>
      <c r="H90" s="1445"/>
    </row>
    <row r="91" spans="1:8" ht="10.95" customHeight="1">
      <c r="A91" s="1446" t="s">
        <v>1045</v>
      </c>
      <c r="B91" s="1447">
        <v>46053</v>
      </c>
      <c r="C91" s="1446" t="s">
        <v>2291</v>
      </c>
      <c r="D91" s="1448">
        <v>0</v>
      </c>
      <c r="E91" s="1448">
        <v>94777.600000000006</v>
      </c>
      <c r="F91" s="1448">
        <v>0</v>
      </c>
      <c r="G91" s="1446"/>
      <c r="H91" s="1448">
        <v>94777.600000000006</v>
      </c>
    </row>
    <row r="92" spans="1:8" ht="10.95" customHeight="1">
      <c r="A92" s="1450" t="s">
        <v>1045</v>
      </c>
      <c r="B92" s="1451">
        <v>46081</v>
      </c>
      <c r="C92" s="1450" t="s">
        <v>2422</v>
      </c>
      <c r="D92" s="1452">
        <v>85337.600000000006</v>
      </c>
      <c r="E92" s="1452">
        <v>0</v>
      </c>
      <c r="F92" s="1452">
        <v>0</v>
      </c>
      <c r="G92" s="1450"/>
      <c r="H92" s="1452">
        <v>85337.600000000006</v>
      </c>
    </row>
    <row r="93" spans="1:8" ht="10.95" customHeight="1">
      <c r="A93" s="1454" t="s">
        <v>1835</v>
      </c>
      <c r="B93" s="1454"/>
      <c r="C93" s="1454"/>
      <c r="D93" s="1455">
        <f>SUM(D91:D92)</f>
        <v>85337.600000000006</v>
      </c>
      <c r="E93" s="1455">
        <f>SUM(E91:E92)</f>
        <v>94777.600000000006</v>
      </c>
      <c r="F93" s="1455">
        <f>SUM(F91:F92)</f>
        <v>0</v>
      </c>
      <c r="G93" s="1454"/>
      <c r="H93" s="1455">
        <f>SUM(H91:H92)</f>
        <v>180115.20000000001</v>
      </c>
    </row>
    <row r="94" spans="1:8" ht="13.35" customHeight="1"/>
    <row r="95" spans="1:8" s="1444" customFormat="1" ht="12.15" customHeight="1">
      <c r="A95" s="1445" t="s">
        <v>2022</v>
      </c>
      <c r="B95" s="1445"/>
      <c r="C95" s="1445"/>
      <c r="D95" s="1445"/>
      <c r="E95" s="1445"/>
      <c r="F95" s="1445"/>
      <c r="G95" s="1445"/>
      <c r="H95" s="1445"/>
    </row>
    <row r="96" spans="1:8" ht="10.95" customHeight="1">
      <c r="A96" s="1446" t="s">
        <v>2023</v>
      </c>
      <c r="B96" s="1447">
        <v>46051</v>
      </c>
      <c r="C96" s="1446" t="s">
        <v>2292</v>
      </c>
      <c r="D96" s="1448">
        <v>0</v>
      </c>
      <c r="E96" s="1448">
        <v>0</v>
      </c>
      <c r="F96" s="1448">
        <v>506964.3</v>
      </c>
      <c r="G96" s="1446"/>
      <c r="H96" s="1448">
        <v>506964.3</v>
      </c>
    </row>
    <row r="97" spans="1:8" ht="10.95" customHeight="1">
      <c r="A97" s="1450" t="s">
        <v>2023</v>
      </c>
      <c r="B97" s="1451">
        <v>46078</v>
      </c>
      <c r="C97" s="1450" t="s">
        <v>2423</v>
      </c>
      <c r="D97" s="1452">
        <v>506964.3</v>
      </c>
      <c r="E97" s="1452">
        <v>0</v>
      </c>
      <c r="F97" s="1452">
        <v>0</v>
      </c>
      <c r="G97" s="1450"/>
      <c r="H97" s="1452">
        <v>506964.3</v>
      </c>
    </row>
    <row r="98" spans="1:8" ht="10.95" customHeight="1">
      <c r="A98" s="1454" t="s">
        <v>2024</v>
      </c>
      <c r="B98" s="1454"/>
      <c r="C98" s="1454"/>
      <c r="D98" s="1455">
        <f>SUM(D96:D97)</f>
        <v>506964.3</v>
      </c>
      <c r="E98" s="1455">
        <f>SUM(E96:E97)</f>
        <v>0</v>
      </c>
      <c r="F98" s="1455">
        <f>SUM(F96:F97)</f>
        <v>506964.3</v>
      </c>
      <c r="G98" s="1454"/>
      <c r="H98" s="1455">
        <f>SUM(H96:H97)</f>
        <v>1013928.6</v>
      </c>
    </row>
    <row r="99" spans="1:8" ht="13.35" customHeight="1"/>
    <row r="100" spans="1:8" s="1444" customFormat="1" ht="12.15" customHeight="1">
      <c r="A100" s="1445" t="s">
        <v>1475</v>
      </c>
      <c r="B100" s="1445"/>
      <c r="C100" s="1445"/>
      <c r="D100" s="1445"/>
      <c r="E100" s="1445"/>
      <c r="F100" s="1445"/>
      <c r="G100" s="1445"/>
      <c r="H100" s="1445"/>
    </row>
    <row r="101" spans="1:8" ht="10.95" customHeight="1">
      <c r="A101" s="1446" t="s">
        <v>1569</v>
      </c>
      <c r="B101" s="1447">
        <v>46066</v>
      </c>
      <c r="C101" s="1446" t="s">
        <v>2424</v>
      </c>
      <c r="D101" s="1448">
        <v>0</v>
      </c>
      <c r="E101" s="1448">
        <v>1502710.18</v>
      </c>
      <c r="F101" s="1448">
        <v>0</v>
      </c>
      <c r="G101" s="1446"/>
      <c r="H101" s="1448">
        <v>1502710.18</v>
      </c>
    </row>
    <row r="102" spans="1:8" ht="10.95" customHeight="1">
      <c r="A102" s="1454" t="s">
        <v>1841</v>
      </c>
      <c r="B102" s="1454"/>
      <c r="C102" s="1454"/>
      <c r="D102" s="1455">
        <f>D101</f>
        <v>0</v>
      </c>
      <c r="E102" s="1455">
        <f>E101</f>
        <v>1502710.18</v>
      </c>
      <c r="F102" s="1455">
        <f>F101</f>
        <v>0</v>
      </c>
      <c r="G102" s="1454"/>
      <c r="H102" s="1455">
        <f>H101</f>
        <v>1502710.18</v>
      </c>
    </row>
    <row r="103" spans="1:8" ht="13.35" customHeight="1"/>
    <row r="104" spans="1:8" s="1444" customFormat="1" ht="12.15" customHeight="1">
      <c r="A104" s="1445" t="s">
        <v>1847</v>
      </c>
      <c r="B104" s="1445"/>
      <c r="C104" s="1445"/>
      <c r="D104" s="1445"/>
      <c r="E104" s="1445"/>
      <c r="F104" s="1445"/>
      <c r="G104" s="1445"/>
      <c r="H104" s="1445"/>
    </row>
    <row r="105" spans="1:8" ht="10.95" customHeight="1">
      <c r="A105" s="1446" t="s">
        <v>2297</v>
      </c>
      <c r="B105" s="1447">
        <v>46053</v>
      </c>
      <c r="C105" s="1446" t="s">
        <v>2298</v>
      </c>
      <c r="D105" s="1448">
        <v>0</v>
      </c>
      <c r="E105" s="1448">
        <v>0</v>
      </c>
      <c r="F105" s="1448">
        <v>14000</v>
      </c>
      <c r="G105" s="1446"/>
      <c r="H105" s="1448">
        <v>14000</v>
      </c>
    </row>
    <row r="106" spans="1:8" ht="10.95" customHeight="1">
      <c r="A106" s="1450" t="s">
        <v>1045</v>
      </c>
      <c r="B106" s="1451">
        <v>46053</v>
      </c>
      <c r="C106" s="1450" t="s">
        <v>2299</v>
      </c>
      <c r="D106" s="1452">
        <v>0</v>
      </c>
      <c r="E106" s="1452">
        <v>70233.600000000006</v>
      </c>
      <c r="F106" s="1452">
        <v>0</v>
      </c>
      <c r="G106" s="1450"/>
      <c r="H106" s="1452">
        <v>70233.600000000006</v>
      </c>
    </row>
    <row r="107" spans="1:8" ht="10.95" customHeight="1">
      <c r="A107" s="1450" t="s">
        <v>1043</v>
      </c>
      <c r="B107" s="1451">
        <v>46070</v>
      </c>
      <c r="C107" s="1450" t="s">
        <v>2425</v>
      </c>
      <c r="D107" s="1452">
        <v>0</v>
      </c>
      <c r="E107" s="1452">
        <v>15388.38</v>
      </c>
      <c r="F107" s="1452">
        <v>0</v>
      </c>
      <c r="G107" s="1450"/>
      <c r="H107" s="1452">
        <v>15388.38</v>
      </c>
    </row>
    <row r="108" spans="1:8" ht="10.95" customHeight="1">
      <c r="A108" s="1450" t="s">
        <v>1045</v>
      </c>
      <c r="B108" s="1451">
        <v>46081</v>
      </c>
      <c r="C108" s="1450" t="s">
        <v>2426</v>
      </c>
      <c r="D108" s="1452">
        <v>63436.800000000003</v>
      </c>
      <c r="E108" s="1452">
        <v>0</v>
      </c>
      <c r="F108" s="1452">
        <v>0</v>
      </c>
      <c r="G108" s="1450"/>
      <c r="H108" s="1452">
        <v>63436.800000000003</v>
      </c>
    </row>
    <row r="109" spans="1:8" ht="10.95" customHeight="1">
      <c r="A109" s="1454" t="s">
        <v>1850</v>
      </c>
      <c r="B109" s="1454"/>
      <c r="C109" s="1454"/>
      <c r="D109" s="1455">
        <f>SUM(D105:D108)</f>
        <v>63436.800000000003</v>
      </c>
      <c r="E109" s="1455">
        <f>SUM(E105:E108)</f>
        <v>85621.98000000001</v>
      </c>
      <c r="F109" s="1455">
        <f>SUM(F105:F108)</f>
        <v>14000</v>
      </c>
      <c r="G109" s="1454"/>
      <c r="H109" s="1455">
        <f>SUM(H105:H108)</f>
        <v>163058.78000000003</v>
      </c>
    </row>
    <row r="110" spans="1:8" ht="13.35" customHeight="1"/>
    <row r="111" spans="1:8" s="1444" customFormat="1" ht="12.15" customHeight="1">
      <c r="A111" s="1445" t="s">
        <v>2027</v>
      </c>
      <c r="B111" s="1445"/>
      <c r="C111" s="1445"/>
      <c r="D111" s="1445"/>
      <c r="E111" s="1445"/>
      <c r="F111" s="1445"/>
      <c r="G111" s="1445"/>
      <c r="H111" s="1445"/>
    </row>
    <row r="112" spans="1:8" ht="10.95" customHeight="1">
      <c r="A112" s="1446" t="s">
        <v>740</v>
      </c>
      <c r="B112" s="1447">
        <v>45947</v>
      </c>
      <c r="C112" s="1446"/>
      <c r="D112" s="1448">
        <v>0</v>
      </c>
      <c r="E112" s="1448">
        <v>0</v>
      </c>
      <c r="F112" s="1448">
        <v>-14787.5</v>
      </c>
      <c r="G112" s="1446" t="s">
        <v>641</v>
      </c>
      <c r="H112" s="1448">
        <v>-14787.5</v>
      </c>
    </row>
    <row r="113" spans="1:8" ht="10.95" customHeight="1">
      <c r="A113" s="1454" t="s">
        <v>2028</v>
      </c>
      <c r="B113" s="1454"/>
      <c r="C113" s="1454"/>
      <c r="D113" s="1455">
        <f>D112</f>
        <v>0</v>
      </c>
      <c r="E113" s="1455">
        <f>E112</f>
        <v>0</v>
      </c>
      <c r="F113" s="1455">
        <f>F112</f>
        <v>-14787.5</v>
      </c>
      <c r="G113" s="1454"/>
      <c r="H113" s="1455">
        <f>H112</f>
        <v>-14787.5</v>
      </c>
    </row>
    <row r="114" spans="1:8" ht="13.35" customHeight="1"/>
    <row r="115" spans="1:8" s="1444" customFormat="1" ht="12.15" customHeight="1">
      <c r="A115" s="1445" t="s">
        <v>2160</v>
      </c>
      <c r="B115" s="1445"/>
      <c r="C115" s="1445"/>
      <c r="D115" s="1445"/>
      <c r="E115" s="1445"/>
      <c r="F115" s="1445"/>
      <c r="G115" s="1445"/>
      <c r="H115" s="1445"/>
    </row>
    <row r="116" spans="1:8" ht="10.95" customHeight="1">
      <c r="A116" s="1446" t="s">
        <v>1631</v>
      </c>
      <c r="B116" s="1447">
        <v>46045</v>
      </c>
      <c r="C116" s="1446" t="s">
        <v>782</v>
      </c>
      <c r="D116" s="1448">
        <v>0</v>
      </c>
      <c r="E116" s="1448">
        <v>74464.61</v>
      </c>
      <c r="F116" s="1448">
        <v>0</v>
      </c>
      <c r="G116" s="1446"/>
      <c r="H116" s="1448">
        <v>74464.61</v>
      </c>
    </row>
    <row r="117" spans="1:8" ht="10.95" customHeight="1">
      <c r="A117" s="1450" t="s">
        <v>1855</v>
      </c>
      <c r="B117" s="1451">
        <v>46055</v>
      </c>
      <c r="C117" s="1450" t="s">
        <v>2427</v>
      </c>
      <c r="D117" s="1452">
        <v>94400</v>
      </c>
      <c r="E117" s="1452">
        <v>0</v>
      </c>
      <c r="F117" s="1452">
        <v>0</v>
      </c>
      <c r="G117" s="1450"/>
      <c r="H117" s="1452">
        <v>94400</v>
      </c>
    </row>
    <row r="118" spans="1:8" ht="10.95" customHeight="1">
      <c r="A118" s="1454" t="s">
        <v>2164</v>
      </c>
      <c r="B118" s="1454"/>
      <c r="C118" s="1454"/>
      <c r="D118" s="1455">
        <f>SUM(D116:D117)</f>
        <v>94400</v>
      </c>
      <c r="E118" s="1455">
        <f>SUM(E116:E117)</f>
        <v>74464.61</v>
      </c>
      <c r="F118" s="1455">
        <f>SUM(F116:F117)</f>
        <v>0</v>
      </c>
      <c r="G118" s="1454"/>
      <c r="H118" s="1455">
        <f>SUM(H116:H117)</f>
        <v>168864.61</v>
      </c>
    </row>
    <row r="119" spans="1:8" ht="13.35" customHeight="1"/>
    <row r="120" spans="1:8" s="1444" customFormat="1" ht="12.15" customHeight="1">
      <c r="A120" s="1445" t="s">
        <v>2031</v>
      </c>
      <c r="B120" s="1445"/>
      <c r="C120" s="1445"/>
      <c r="D120" s="1445"/>
      <c r="E120" s="1445"/>
      <c r="F120" s="1445"/>
      <c r="G120" s="1445"/>
      <c r="H120" s="1445"/>
    </row>
    <row r="121" spans="1:8" ht="10.95" customHeight="1">
      <c r="A121" s="1446" t="s">
        <v>1855</v>
      </c>
      <c r="B121" s="1447">
        <v>46051</v>
      </c>
      <c r="C121" s="1446" t="s">
        <v>2304</v>
      </c>
      <c r="D121" s="1448">
        <v>0</v>
      </c>
      <c r="E121" s="1448">
        <v>5310</v>
      </c>
      <c r="F121" s="1448">
        <v>0</v>
      </c>
      <c r="G121" s="1446"/>
      <c r="H121" s="1448">
        <v>5310</v>
      </c>
    </row>
    <row r="122" spans="1:8" ht="10.95" customHeight="1">
      <c r="A122" s="1450" t="s">
        <v>746</v>
      </c>
      <c r="B122" s="1451">
        <v>46063</v>
      </c>
      <c r="C122" s="1450" t="s">
        <v>2428</v>
      </c>
      <c r="D122" s="1452">
        <v>0</v>
      </c>
      <c r="E122" s="1452">
        <v>58056</v>
      </c>
      <c r="F122" s="1452">
        <v>0</v>
      </c>
      <c r="G122" s="1450"/>
      <c r="H122" s="1452">
        <v>58056</v>
      </c>
    </row>
    <row r="123" spans="1:8" ht="10.95" customHeight="1">
      <c r="A123" s="1450" t="s">
        <v>2228</v>
      </c>
      <c r="B123" s="1451">
        <v>46066</v>
      </c>
      <c r="C123" s="1450" t="s">
        <v>2429</v>
      </c>
      <c r="D123" s="1452">
        <v>0</v>
      </c>
      <c r="E123" s="1452">
        <v>88269.5</v>
      </c>
      <c r="F123" s="1452">
        <v>0</v>
      </c>
      <c r="G123" s="1450"/>
      <c r="H123" s="1452">
        <v>88269.5</v>
      </c>
    </row>
    <row r="124" spans="1:8" ht="10.95" customHeight="1">
      <c r="A124" s="1454" t="s">
        <v>2032</v>
      </c>
      <c r="B124" s="1454"/>
      <c r="C124" s="1454"/>
      <c r="D124" s="1455">
        <f>SUM(D121:D123)</f>
        <v>0</v>
      </c>
      <c r="E124" s="1455">
        <f>SUM(E121:E123)</f>
        <v>151635.5</v>
      </c>
      <c r="F124" s="1455">
        <f>SUM(F121:F123)</f>
        <v>0</v>
      </c>
      <c r="G124" s="1454"/>
      <c r="H124" s="1455">
        <f>SUM(H121:H123)</f>
        <v>151635.5</v>
      </c>
    </row>
    <row r="125" spans="1:8" ht="13.35" customHeight="1"/>
    <row r="126" spans="1:8" s="1444" customFormat="1" ht="12.15" customHeight="1">
      <c r="A126" s="1445" t="s">
        <v>2430</v>
      </c>
      <c r="B126" s="1445"/>
      <c r="C126" s="1445"/>
      <c r="D126" s="1445"/>
      <c r="E126" s="1445"/>
      <c r="F126" s="1445"/>
      <c r="G126" s="1445"/>
      <c r="H126" s="1445"/>
    </row>
    <row r="127" spans="1:8" ht="10.95" customHeight="1">
      <c r="A127" s="1446" t="s">
        <v>2431</v>
      </c>
      <c r="B127" s="1447">
        <v>46063</v>
      </c>
      <c r="C127" s="1446" t="s">
        <v>2432</v>
      </c>
      <c r="D127" s="1448">
        <v>0</v>
      </c>
      <c r="E127" s="1448">
        <v>122916.67</v>
      </c>
      <c r="F127" s="1448">
        <v>0</v>
      </c>
      <c r="G127" s="1446"/>
      <c r="H127" s="1448">
        <v>122916.67</v>
      </c>
    </row>
    <row r="128" spans="1:8" ht="22.8">
      <c r="A128" s="1450" t="s">
        <v>2433</v>
      </c>
      <c r="B128" s="1451">
        <v>46063</v>
      </c>
      <c r="C128" s="1732" t="s">
        <v>2434</v>
      </c>
      <c r="D128" s="1452">
        <v>0</v>
      </c>
      <c r="E128" s="1452">
        <v>385273.98</v>
      </c>
      <c r="F128" s="1452">
        <v>0</v>
      </c>
      <c r="G128" s="1450"/>
      <c r="H128" s="1452">
        <v>385273.98</v>
      </c>
    </row>
    <row r="129" spans="1:8" ht="10.95" customHeight="1">
      <c r="A129" s="1454" t="s">
        <v>2355</v>
      </c>
      <c r="B129" s="1454"/>
      <c r="C129" s="1454"/>
      <c r="D129" s="1455">
        <f>SUM(D127:D128)</f>
        <v>0</v>
      </c>
      <c r="E129" s="1455">
        <f>SUM(E127:E128)</f>
        <v>508190.64999999997</v>
      </c>
      <c r="F129" s="1455">
        <f>SUM(F127:F128)</f>
        <v>0</v>
      </c>
      <c r="G129" s="1454"/>
      <c r="H129" s="1455">
        <f>SUM(H127:H128)</f>
        <v>508190.64999999997</v>
      </c>
    </row>
    <row r="130" spans="1:8" ht="13.35" customHeight="1"/>
    <row r="131" spans="1:8" ht="10.95" customHeight="1">
      <c r="A131" s="1461" t="s">
        <v>164</v>
      </c>
      <c r="B131" s="1461"/>
      <c r="C131" s="1461"/>
      <c r="D131" s="1462">
        <f>SUM(D11,D29,D84,D88,D93,D98,D102,D109,D113,D118,D124,D129)</f>
        <v>4075077.0300000003</v>
      </c>
      <c r="E131" s="1462">
        <f>SUM(E11,E29,E84,E88,E93,E98,E102,E109,E113,E118,E124,E129)</f>
        <v>4773572.24</v>
      </c>
      <c r="F131" s="1462">
        <f>SUM(F11,F29,F84,F88,F93,F98,F102,F109,F113,F118,F124,F129)</f>
        <v>1933855.22</v>
      </c>
      <c r="G131" s="1461"/>
      <c r="H131" s="1462">
        <f>SUM(H11,H29,H84,H88,H93,H98,H102,H109,H113,H118,H124,H129)</f>
        <v>10782504.489999998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551D5-7337-466D-93CF-8ED0060B84F8}">
  <dimension ref="A1:I21"/>
  <sheetViews>
    <sheetView showGridLines="0" zoomScaleNormal="100" workbookViewId="0">
      <selection activeCell="H14" sqref="H14:H17"/>
    </sheetView>
  </sheetViews>
  <sheetFormatPr baseColWidth="10" defaultColWidth="8" defaultRowHeight="11.4"/>
  <cols>
    <col min="1" max="1" width="36.109375" style="1440" customWidth="1"/>
    <col min="2" max="3" width="10.33203125" style="1440" bestFit="1" customWidth="1"/>
    <col min="4" max="4" width="8.6640625" style="1440" bestFit="1" customWidth="1"/>
    <col min="5" max="6" width="9" style="1440" bestFit="1" customWidth="1"/>
    <col min="7" max="8" width="10.33203125" style="1440" bestFit="1" customWidth="1"/>
    <col min="9" max="9" width="10.5546875" style="1440" bestFit="1" customWidth="1"/>
    <col min="10" max="16384" width="8" style="1440"/>
  </cols>
  <sheetData>
    <row r="1" spans="1:9" s="1437" customFormat="1" ht="16.649999999999999" customHeight="1">
      <c r="A1" s="1436" t="s">
        <v>771</v>
      </c>
      <c r="B1" s="1436"/>
      <c r="C1" s="1436"/>
      <c r="D1" s="1436"/>
      <c r="E1" s="1436"/>
      <c r="F1" s="1436"/>
      <c r="G1" s="1436"/>
      <c r="H1" s="1436"/>
    </row>
    <row r="2" spans="1:9" s="1439" customFormat="1" ht="14.4" customHeight="1">
      <c r="A2" s="1438" t="s">
        <v>236</v>
      </c>
      <c r="B2" s="1438"/>
      <c r="C2" s="1438"/>
      <c r="D2" s="1438"/>
      <c r="E2" s="1438"/>
      <c r="F2" s="1438"/>
      <c r="G2" s="1438"/>
      <c r="H2" s="1438"/>
    </row>
    <row r="3" spans="1:9" s="1439" customFormat="1" ht="14.4" customHeight="1">
      <c r="A3" s="1438" t="s">
        <v>2365</v>
      </c>
      <c r="B3" s="1438"/>
      <c r="C3" s="1438"/>
      <c r="D3" s="1438"/>
      <c r="E3" s="1438"/>
      <c r="F3" s="1438"/>
      <c r="G3" s="1438"/>
      <c r="H3" s="1438"/>
    </row>
    <row r="4" spans="1:9" s="1439" customFormat="1" ht="14.4" customHeight="1">
      <c r="A4" s="1438" t="s">
        <v>724</v>
      </c>
      <c r="B4" s="1438"/>
      <c r="C4" s="1438"/>
      <c r="D4" s="1438"/>
      <c r="E4" s="1438"/>
      <c r="F4" s="1438"/>
      <c r="G4" s="1438"/>
      <c r="H4" s="1438"/>
    </row>
    <row r="5" spans="1:9" ht="13.35" customHeight="1" thickBot="1"/>
    <row r="6" spans="1:9" s="1444" customFormat="1" ht="12.15" customHeight="1">
      <c r="A6" s="1609" t="s">
        <v>862</v>
      </c>
      <c r="B6" s="1610" t="s">
        <v>861</v>
      </c>
      <c r="C6" s="1610" t="s">
        <v>824</v>
      </c>
      <c r="D6" s="1610" t="s">
        <v>825</v>
      </c>
      <c r="E6" s="1610" t="s">
        <v>826</v>
      </c>
      <c r="F6" s="1610" t="s">
        <v>827</v>
      </c>
      <c r="G6" s="1610" t="s">
        <v>828</v>
      </c>
      <c r="H6" s="1610" t="s">
        <v>164</v>
      </c>
      <c r="I6" s="1500" t="s">
        <v>2435</v>
      </c>
    </row>
    <row r="7" spans="1:9" ht="14.4">
      <c r="A7" s="1726" t="s">
        <v>2234</v>
      </c>
      <c r="B7" s="1737">
        <v>0</v>
      </c>
      <c r="C7" s="1737">
        <v>416685.22</v>
      </c>
      <c r="D7" s="1737">
        <v>0</v>
      </c>
      <c r="E7" s="1737">
        <v>0</v>
      </c>
      <c r="F7" s="1737">
        <v>0</v>
      </c>
      <c r="G7" s="1737">
        <v>1427678.42</v>
      </c>
      <c r="H7" s="1737">
        <v>1844363.64</v>
      </c>
      <c r="I7" s="1735">
        <f t="shared" ref="I7:I17" si="0">+H7/H$19</f>
        <v>0.17081724211109348</v>
      </c>
    </row>
    <row r="8" spans="1:9" ht="14.4">
      <c r="A8" s="1611" t="s">
        <v>1025</v>
      </c>
      <c r="B8" s="1736">
        <v>269058.66000000003</v>
      </c>
      <c r="C8" s="1736">
        <v>215115.01</v>
      </c>
      <c r="D8" s="1736">
        <v>0</v>
      </c>
      <c r="E8" s="1736">
        <v>0</v>
      </c>
      <c r="F8" s="1736">
        <v>0</v>
      </c>
      <c r="G8" s="1736">
        <v>0</v>
      </c>
      <c r="H8" s="1736">
        <v>484173.67000000004</v>
      </c>
      <c r="I8" s="1735">
        <f t="shared" si="0"/>
        <v>4.4842139163081031E-2</v>
      </c>
    </row>
    <row r="9" spans="1:9" ht="14.4">
      <c r="A9" s="1611" t="s">
        <v>1795</v>
      </c>
      <c r="B9" s="1736">
        <v>3055879.6700000004</v>
      </c>
      <c r="C9" s="1736">
        <v>1716265.6</v>
      </c>
      <c r="D9" s="1736">
        <v>0</v>
      </c>
      <c r="E9" s="1736">
        <v>0</v>
      </c>
      <c r="F9" s="1736">
        <v>0</v>
      </c>
      <c r="G9" s="1736">
        <v>0</v>
      </c>
      <c r="H9" s="1736">
        <v>4772145.2699999996</v>
      </c>
      <c r="I9" s="1735">
        <f t="shared" si="0"/>
        <v>0.44197612460788888</v>
      </c>
    </row>
    <row r="10" spans="1:9" ht="14.4">
      <c r="A10" s="1611" t="s">
        <v>1799</v>
      </c>
      <c r="B10" s="1736">
        <v>0</v>
      </c>
      <c r="C10" s="1736">
        <v>8105.89</v>
      </c>
      <c r="D10" s="1736">
        <v>0</v>
      </c>
      <c r="E10" s="1736">
        <v>0</v>
      </c>
      <c r="F10" s="1736">
        <v>0</v>
      </c>
      <c r="G10" s="1736">
        <v>0</v>
      </c>
      <c r="H10" s="1736">
        <v>8105.89</v>
      </c>
      <c r="I10" s="1735">
        <f t="shared" si="0"/>
        <v>7.5073361056710681E-4</v>
      </c>
    </row>
    <row r="11" spans="1:9" ht="14.4">
      <c r="A11" s="1611" t="s">
        <v>1390</v>
      </c>
      <c r="B11" s="1736">
        <v>85337.600000000006</v>
      </c>
      <c r="C11" s="1736">
        <v>94777.600000000006</v>
      </c>
      <c r="D11" s="1736">
        <v>0</v>
      </c>
      <c r="E11" s="1736">
        <v>0</v>
      </c>
      <c r="F11" s="1736">
        <v>0</v>
      </c>
      <c r="G11" s="1736">
        <v>0</v>
      </c>
      <c r="H11" s="1736">
        <v>180115.20000000001</v>
      </c>
      <c r="I11" s="1735">
        <f t="shared" si="0"/>
        <v>1.6681516084478886E-2</v>
      </c>
    </row>
    <row r="12" spans="1:9" ht="14.4">
      <c r="A12" s="1611" t="s">
        <v>2235</v>
      </c>
      <c r="B12" s="1736">
        <v>506964.3</v>
      </c>
      <c r="C12" s="1736">
        <v>0</v>
      </c>
      <c r="D12" s="1736">
        <v>506964.3</v>
      </c>
      <c r="E12" s="1736">
        <v>0</v>
      </c>
      <c r="F12" s="1736">
        <v>0</v>
      </c>
      <c r="G12" s="1736">
        <v>0</v>
      </c>
      <c r="H12" s="1736">
        <v>1013928.6</v>
      </c>
      <c r="I12" s="1735">
        <f t="shared" si="0"/>
        <v>9.3905823880567313E-2</v>
      </c>
    </row>
    <row r="13" spans="1:9" ht="14.4">
      <c r="A13" s="1611" t="s">
        <v>1610</v>
      </c>
      <c r="B13" s="1736">
        <v>0</v>
      </c>
      <c r="C13" s="1736">
        <v>1502710.18</v>
      </c>
      <c r="D13" s="1736">
        <v>0</v>
      </c>
      <c r="E13" s="1736">
        <v>0</v>
      </c>
      <c r="F13" s="1736">
        <v>0</v>
      </c>
      <c r="G13" s="1736">
        <v>0</v>
      </c>
      <c r="H13" s="1736">
        <v>1502710.18</v>
      </c>
      <c r="I13" s="1735">
        <f t="shared" si="0"/>
        <v>0.13917472838483458</v>
      </c>
    </row>
    <row r="14" spans="1:9" ht="14.4">
      <c r="A14" s="1611" t="s">
        <v>1757</v>
      </c>
      <c r="B14" s="1736">
        <v>63436.800000000003</v>
      </c>
      <c r="C14" s="1736">
        <v>85621.98</v>
      </c>
      <c r="D14" s="1736">
        <v>14000</v>
      </c>
      <c r="E14" s="1736">
        <v>0</v>
      </c>
      <c r="F14" s="1736">
        <v>0</v>
      </c>
      <c r="G14" s="1736">
        <v>0</v>
      </c>
      <c r="H14" s="1736">
        <v>163058.78</v>
      </c>
      <c r="I14" s="1735">
        <f t="shared" si="0"/>
        <v>1.5101821841163343E-2</v>
      </c>
    </row>
    <row r="15" spans="1:9" ht="14.4">
      <c r="A15" s="1611" t="s">
        <v>2191</v>
      </c>
      <c r="B15" s="1736">
        <v>94400</v>
      </c>
      <c r="C15" s="1736">
        <v>74464.61</v>
      </c>
      <c r="D15" s="1736">
        <v>0</v>
      </c>
      <c r="E15" s="1736">
        <v>0</v>
      </c>
      <c r="F15" s="1736">
        <v>0</v>
      </c>
      <c r="G15" s="1736">
        <v>0</v>
      </c>
      <c r="H15" s="1736">
        <v>168864.61</v>
      </c>
      <c r="I15" s="1735">
        <f t="shared" si="0"/>
        <v>1.5639533519737667E-2</v>
      </c>
    </row>
    <row r="16" spans="1:9" ht="14.4">
      <c r="A16" s="1611" t="s">
        <v>2073</v>
      </c>
      <c r="B16" s="1736">
        <v>0</v>
      </c>
      <c r="C16" s="1736">
        <v>151635.5</v>
      </c>
      <c r="D16" s="1736">
        <v>0</v>
      </c>
      <c r="E16" s="1736">
        <v>0</v>
      </c>
      <c r="F16" s="1736">
        <v>0</v>
      </c>
      <c r="G16" s="1736">
        <v>0</v>
      </c>
      <c r="H16" s="1736">
        <v>151635.5</v>
      </c>
      <c r="I16" s="1735">
        <f t="shared" si="0"/>
        <v>1.4043845451288941E-2</v>
      </c>
    </row>
    <row r="17" spans="1:9" ht="14.4">
      <c r="A17" s="1611" t="s">
        <v>2075</v>
      </c>
      <c r="B17" s="1736">
        <v>0</v>
      </c>
      <c r="C17" s="1736">
        <v>508190.65</v>
      </c>
      <c r="D17" s="1736">
        <v>0</v>
      </c>
      <c r="E17" s="1736">
        <v>0</v>
      </c>
      <c r="F17" s="1736">
        <v>0</v>
      </c>
      <c r="G17" s="1736">
        <v>0</v>
      </c>
      <c r="H17" s="1736">
        <v>508190.65</v>
      </c>
      <c r="I17" s="1735">
        <f t="shared" si="0"/>
        <v>4.7066491345298896E-2</v>
      </c>
    </row>
    <row r="18" spans="1:9" ht="13.35" customHeight="1">
      <c r="A18" s="1491"/>
      <c r="B18" s="1644"/>
      <c r="C18" s="1644"/>
      <c r="D18" s="1644"/>
      <c r="E18" s="1644"/>
      <c r="F18" s="1644"/>
      <c r="G18" s="1644"/>
      <c r="H18" s="1644"/>
      <c r="I18" s="1495"/>
    </row>
    <row r="19" spans="1:9" ht="12">
      <c r="A19" s="1607" t="s">
        <v>164</v>
      </c>
      <c r="B19" s="1734">
        <f t="shared" ref="B19:I19" si="1">SUM(B7:B17)</f>
        <v>4075077.0300000003</v>
      </c>
      <c r="C19" s="1734">
        <f t="shared" si="1"/>
        <v>4773572.24</v>
      </c>
      <c r="D19" s="1734">
        <f t="shared" si="1"/>
        <v>520964.3</v>
      </c>
      <c r="E19" s="1734">
        <f t="shared" si="1"/>
        <v>0</v>
      </c>
      <c r="F19" s="1734">
        <f t="shared" si="1"/>
        <v>0</v>
      </c>
      <c r="G19" s="1734">
        <f t="shared" si="1"/>
        <v>1427678.42</v>
      </c>
      <c r="H19" s="1734">
        <f t="shared" si="1"/>
        <v>10797291.989999998</v>
      </c>
      <c r="I19" s="1733">
        <f t="shared" si="1"/>
        <v>1</v>
      </c>
    </row>
    <row r="20" spans="1:9" ht="13.35" customHeight="1">
      <c r="A20" s="1491"/>
      <c r="I20" s="1495"/>
    </row>
    <row r="21" spans="1:9" ht="12.6" thickBot="1">
      <c r="A21" s="1608" t="s">
        <v>732</v>
      </c>
      <c r="B21" s="1614">
        <f>(SUM(B7:B17) / SUM(B7:G7,B8:G8,B9:G9,B10:G10,B11:G11,B12:G12,B13:G13,B14:G14,B15:G15,B16:G16,B17:G17))</f>
        <v>0.37741658128484123</v>
      </c>
      <c r="C21" s="1614">
        <f>(SUM(C7:C17) / SUM(B7:G7,B8:G8,B9:G9,B10:G10,B11:G11,B12:G12,B13:G13,B14:G14,B15:G15,B16:G16,B17:G17))</f>
        <v>0.44210828459775681</v>
      </c>
      <c r="D21" s="1614">
        <f>(SUM(D7:D17) / SUM(B7:G7,B8:G8,B9:G9,B10:G10,B11:G11,B12:G12,B13:G13,B14:G14,B15:G15,B16:G16,B17:G17))</f>
        <v>4.8249533353594151E-2</v>
      </c>
      <c r="E21" s="1614">
        <f>(SUM(E7:E17) / SUM(B7:G7,B8:G8,B9:G9,B10:G10,B11:G11,B12:G12,B13:G13,B14:G14,B15:G15,B16:G16,B17:G17))</f>
        <v>0</v>
      </c>
      <c r="F21" s="1614">
        <f>(SUM(F7:F17) / SUM(B7:G7,B8:G8,B9:G9,B10:G10,B11:G11,B12:G12,B13:G13,B14:G14,B15:G15,B16:G16,B17:G17))</f>
        <v>0</v>
      </c>
      <c r="G21" s="1614">
        <f>(SUM(G7:G17) / SUM(B7:G7,B8:G8,B9:G9,B10:G10,B11:G11,B12:G12,B13:G13,B14:G14,B15:G15,B16:G16,B17:G17))</f>
        <v>0.13222560076380779</v>
      </c>
      <c r="H21" s="1614">
        <f>(SUM(H7:H17) / SUM(H7:H17))</f>
        <v>1</v>
      </c>
      <c r="I21" s="1615">
        <f>(SUM(I7:I17) / SUM(I7:I17))</f>
        <v>1</v>
      </c>
    </row>
  </sheetData>
  <pageMargins left="0.7" right="0.7" top="0.75" bottom="0.75" header="0.3" footer="0.3"/>
  <pageSetup paperSize="9" fitToWidth="0" fitToHeight="0" orientation="portrait" horizontalDpi="0" verticalDpi="0"/>
  <ignoredErrors>
    <ignoredError sqref="B21:G21" formulaRange="1"/>
  </ignoredErrors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0890-31FD-4A12-8411-9F0B204085ED}">
  <sheetPr>
    <pageSetUpPr fitToPage="1"/>
  </sheetPr>
  <dimension ref="A1:E15"/>
  <sheetViews>
    <sheetView showGridLines="0" zoomScaleNormal="100" workbookViewId="0">
      <selection activeCell="I9" sqref="I9"/>
    </sheetView>
  </sheetViews>
  <sheetFormatPr baseColWidth="10" defaultColWidth="8" defaultRowHeight="11.4"/>
  <cols>
    <col min="1" max="1" width="20.6640625" style="408" customWidth="1"/>
    <col min="2" max="2" width="14.109375" style="408" bestFit="1" customWidth="1"/>
    <col min="3" max="3" width="52.33203125" style="528" bestFit="1" customWidth="1"/>
    <col min="4" max="4" width="32.33203125" style="408" customWidth="1"/>
    <col min="5" max="5" width="10" style="408" bestFit="1" customWidth="1"/>
    <col min="6" max="7" width="9.33203125" style="408" bestFit="1" customWidth="1"/>
    <col min="8" max="16384" width="8" style="408"/>
  </cols>
  <sheetData>
    <row r="1" spans="1:5" s="405" customFormat="1" ht="17.399999999999999">
      <c r="A1" s="2173" t="s">
        <v>1865</v>
      </c>
      <c r="B1" s="2173"/>
      <c r="C1" s="2173"/>
      <c r="D1" s="2173"/>
      <c r="E1" s="2173"/>
    </row>
    <row r="2" spans="1:5" s="407" customFormat="1" ht="15">
      <c r="A2" s="2151" t="s">
        <v>236</v>
      </c>
      <c r="B2" s="2151"/>
      <c r="C2" s="2151"/>
      <c r="D2" s="2152"/>
      <c r="E2" s="2151"/>
    </row>
    <row r="4" spans="1:5" s="412" customFormat="1" ht="13.2">
      <c r="A4" s="410" t="s">
        <v>1485</v>
      </c>
      <c r="B4" s="410" t="s">
        <v>1867</v>
      </c>
      <c r="C4" s="529" t="s">
        <v>817</v>
      </c>
      <c r="D4" s="410" t="s">
        <v>691</v>
      </c>
      <c r="E4" s="411" t="s">
        <v>1869</v>
      </c>
    </row>
    <row r="6" spans="1:5" ht="13.2">
      <c r="A6" s="1988" t="s">
        <v>2043</v>
      </c>
      <c r="B6" s="409"/>
      <c r="C6" s="530"/>
      <c r="D6" s="409"/>
      <c r="E6" s="409"/>
    </row>
    <row r="7" spans="1:5">
      <c r="A7" s="430">
        <v>45731</v>
      </c>
      <c r="B7" s="414" t="s">
        <v>1870</v>
      </c>
      <c r="C7" s="414" t="s">
        <v>2044</v>
      </c>
      <c r="D7" s="414" t="s">
        <v>1318</v>
      </c>
      <c r="E7" s="415">
        <v>826</v>
      </c>
    </row>
    <row r="8" spans="1:5" ht="12">
      <c r="A8" s="416" t="s">
        <v>2049</v>
      </c>
      <c r="B8" s="416"/>
      <c r="C8" s="532"/>
      <c r="D8" s="416"/>
      <c r="E8" s="417">
        <f>SUM(E7:E7)</f>
        <v>826</v>
      </c>
    </row>
    <row r="10" spans="1:5" ht="13.2">
      <c r="A10" s="1988" t="s">
        <v>860</v>
      </c>
      <c r="B10" s="409"/>
      <c r="C10" s="530"/>
      <c r="D10" s="409"/>
      <c r="E10" s="409"/>
    </row>
    <row r="11" spans="1:5">
      <c r="A11" s="430">
        <v>46042</v>
      </c>
      <c r="B11" s="414" t="s">
        <v>1870</v>
      </c>
      <c r="C11" s="414" t="s">
        <v>2312</v>
      </c>
      <c r="D11" s="414" t="s">
        <v>2260</v>
      </c>
      <c r="E11" s="415">
        <v>8500</v>
      </c>
    </row>
    <row r="12" spans="1:5">
      <c r="A12" s="430">
        <v>46073</v>
      </c>
      <c r="B12" s="414" t="s">
        <v>1870</v>
      </c>
      <c r="C12" s="414" t="s">
        <v>2312</v>
      </c>
      <c r="D12" s="414" t="s">
        <v>2436</v>
      </c>
      <c r="E12" s="415">
        <v>47500</v>
      </c>
    </row>
    <row r="13" spans="1:5" ht="12">
      <c r="A13" s="416" t="s">
        <v>1890</v>
      </c>
      <c r="B13" s="416"/>
      <c r="C13" s="532"/>
      <c r="D13" s="416"/>
      <c r="E13" s="417">
        <f>SUM(E11:E12)</f>
        <v>56000</v>
      </c>
    </row>
    <row r="14" spans="1:5" ht="12">
      <c r="A14" s="413"/>
      <c r="B14" s="413"/>
      <c r="C14" s="1567"/>
      <c r="D14" s="413"/>
      <c r="E14" s="428"/>
    </row>
    <row r="15" spans="1:5" ht="12">
      <c r="A15" s="419" t="s">
        <v>164</v>
      </c>
      <c r="B15" s="419"/>
      <c r="C15" s="534"/>
      <c r="D15" s="419"/>
      <c r="E15" s="420">
        <f>+E8+E13</f>
        <v>56826</v>
      </c>
    </row>
  </sheetData>
  <mergeCells count="2">
    <mergeCell ref="A1:E1"/>
    <mergeCell ref="A2:E2"/>
  </mergeCells>
  <pageMargins left="0.7" right="0.7" top="0.75" bottom="0.75" header="0.3" footer="0.3"/>
  <pageSetup scale="75" orientation="portrait" r:id="rId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3DB0C-1E4D-46EA-872B-392B27C04806}">
  <dimension ref="A1:F21"/>
  <sheetViews>
    <sheetView workbookViewId="0">
      <selection activeCell="C6" sqref="C6"/>
    </sheetView>
  </sheetViews>
  <sheetFormatPr baseColWidth="10" defaultColWidth="11.44140625" defaultRowHeight="14.4"/>
  <cols>
    <col min="1" max="1" width="38.6640625" bestFit="1" customWidth="1"/>
    <col min="2" max="2" width="19.109375" style="730" bestFit="1" customWidth="1"/>
    <col min="3" max="3" width="17.44140625" style="730" bestFit="1" customWidth="1"/>
    <col min="4" max="4" width="18.109375" style="730" customWidth="1"/>
    <col min="5" max="5" width="12.44140625" bestFit="1" customWidth="1"/>
    <col min="6" max="6" width="17.6640625" bestFit="1" customWidth="1"/>
    <col min="7" max="7" width="13.109375" bestFit="1" customWidth="1"/>
  </cols>
  <sheetData>
    <row r="1" spans="1:5" s="546" customFormat="1" ht="29.4" customHeight="1">
      <c r="A1" s="1652" t="s">
        <v>2313</v>
      </c>
      <c r="B1" s="1653" t="s">
        <v>849</v>
      </c>
      <c r="C1" s="1653" t="s">
        <v>850</v>
      </c>
      <c r="D1" s="1653" t="s">
        <v>851</v>
      </c>
    </row>
    <row r="2" spans="1:5" ht="15">
      <c r="A2" s="1651" t="s">
        <v>2314</v>
      </c>
      <c r="B2" s="731">
        <v>106933000</v>
      </c>
      <c r="C2" s="731">
        <v>264445080.16</v>
      </c>
      <c r="D2" s="731">
        <v>264445081.16</v>
      </c>
    </row>
    <row r="3" spans="1:5" ht="15">
      <c r="A3" s="1650" t="s">
        <v>2315</v>
      </c>
      <c r="B3" s="730">
        <v>25000000</v>
      </c>
      <c r="C3" s="730">
        <v>24431389.440000001</v>
      </c>
      <c r="D3" s="730">
        <v>24399956.030000001</v>
      </c>
    </row>
    <row r="4" spans="1:5" ht="15">
      <c r="A4" s="1699" t="s">
        <v>2316</v>
      </c>
      <c r="B4" s="1700">
        <v>469787395.50999999</v>
      </c>
      <c r="C4" s="1700">
        <v>41149373.200000003</v>
      </c>
      <c r="D4" s="1700">
        <v>36684184.439999998</v>
      </c>
      <c r="E4" s="2174">
        <f>+D4+D5</f>
        <v>46229975.5</v>
      </c>
    </row>
    <row r="5" spans="1:5" ht="15">
      <c r="A5" s="1699" t="s">
        <v>2317</v>
      </c>
      <c r="B5" s="1700">
        <v>1517615075.75</v>
      </c>
      <c r="C5" s="1700">
        <v>120837316.56999999</v>
      </c>
      <c r="D5" s="1700">
        <v>9545791.0600000005</v>
      </c>
      <c r="E5" s="2150"/>
    </row>
    <row r="6" spans="1:5" ht="15">
      <c r="A6" s="1650" t="s">
        <v>2318</v>
      </c>
      <c r="B6" s="730">
        <v>198740247.96000001</v>
      </c>
      <c r="C6" s="730">
        <v>42580702.560000002</v>
      </c>
      <c r="D6" s="730">
        <v>31054151.57</v>
      </c>
    </row>
    <row r="7" spans="1:5" ht="15">
      <c r="A7" s="1650" t="s">
        <v>2319</v>
      </c>
      <c r="B7" s="730">
        <v>47896399.740000002</v>
      </c>
      <c r="C7" s="730">
        <v>24948981.09</v>
      </c>
      <c r="D7" s="730">
        <v>4084802.18</v>
      </c>
    </row>
    <row r="8" spans="1:5" ht="15">
      <c r="A8" s="1650" t="s">
        <v>2320</v>
      </c>
      <c r="B8" s="730">
        <v>39748049.590000004</v>
      </c>
      <c r="C8" s="730">
        <v>0</v>
      </c>
      <c r="D8" s="730">
        <v>0</v>
      </c>
    </row>
    <row r="9" spans="1:5" ht="15">
      <c r="A9" s="1650" t="s">
        <v>2321</v>
      </c>
      <c r="B9" s="730">
        <v>17866748.260000002</v>
      </c>
      <c r="C9" s="730">
        <v>8618393.0999999996</v>
      </c>
      <c r="D9" s="730">
        <v>3041785.8</v>
      </c>
    </row>
    <row r="10" spans="1:5" ht="15">
      <c r="A10" s="1651" t="s">
        <v>2322</v>
      </c>
      <c r="B10" s="731">
        <f>SUM(B3:B9)</f>
        <v>2316653916.8099999</v>
      </c>
      <c r="C10" s="731">
        <f t="shared" ref="C10:D10" si="0">SUM(C3:C9)</f>
        <v>262566155.95999998</v>
      </c>
      <c r="D10" s="731">
        <f t="shared" si="0"/>
        <v>108810671.08</v>
      </c>
    </row>
    <row r="11" spans="1:5" ht="15">
      <c r="A11" s="1650" t="s">
        <v>2323</v>
      </c>
      <c r="B11" s="730">
        <v>158992198.37</v>
      </c>
      <c r="C11" s="730">
        <v>39101175.969999999</v>
      </c>
      <c r="D11" s="730">
        <v>19631175.969999999</v>
      </c>
    </row>
    <row r="12" spans="1:5" ht="15">
      <c r="A12" s="1650" t="s">
        <v>2324</v>
      </c>
      <c r="B12" s="730">
        <v>329908811.24000001</v>
      </c>
      <c r="C12" s="730">
        <v>110163895.41</v>
      </c>
      <c r="D12" s="730">
        <v>84825533.239999995</v>
      </c>
    </row>
    <row r="13" spans="1:5" ht="15">
      <c r="A13" s="1650" t="s">
        <v>2325</v>
      </c>
      <c r="B13" s="730">
        <v>80207886.760000005</v>
      </c>
      <c r="C13" s="730">
        <v>3969279.79</v>
      </c>
      <c r="D13" s="730">
        <v>3969279.79</v>
      </c>
      <c r="E13" s="368"/>
    </row>
    <row r="14" spans="1:5" ht="15">
      <c r="A14" s="1650" t="s">
        <v>2326</v>
      </c>
      <c r="B14" s="730">
        <v>69559086.769999996</v>
      </c>
      <c r="C14" s="730">
        <v>30042908.559999999</v>
      </c>
      <c r="D14" s="730">
        <v>27340105.93</v>
      </c>
      <c r="E14" s="368"/>
    </row>
    <row r="15" spans="1:5" ht="15">
      <c r="A15" s="1650" t="s">
        <v>2327</v>
      </c>
      <c r="B15" s="730">
        <v>19874021.48</v>
      </c>
      <c r="C15" s="730">
        <v>0</v>
      </c>
      <c r="D15" s="730">
        <v>0</v>
      </c>
    </row>
    <row r="16" spans="1:5" ht="15">
      <c r="A16" s="1651" t="s">
        <v>2328</v>
      </c>
      <c r="B16" s="731">
        <f>SUM(B11:B15)</f>
        <v>658542004.62</v>
      </c>
      <c r="C16" s="731">
        <f t="shared" ref="C16:D16" si="1">SUM(C11:C15)</f>
        <v>183277259.72999999</v>
      </c>
      <c r="D16" s="731">
        <f t="shared" si="1"/>
        <v>135766094.93000001</v>
      </c>
    </row>
    <row r="17" spans="1:6" ht="15">
      <c r="A17" s="1650" t="s">
        <v>2329</v>
      </c>
      <c r="B17" s="730">
        <v>30500000</v>
      </c>
      <c r="C17" s="730">
        <v>23749760.079999998</v>
      </c>
      <c r="D17" s="730">
        <v>21129357.760000002</v>
      </c>
      <c r="E17" s="368">
        <v>21275589.07</v>
      </c>
      <c r="F17" s="1781">
        <f>+D17-E17</f>
        <v>-146231.30999999866</v>
      </c>
    </row>
    <row r="18" spans="1:6" ht="15">
      <c r="A18" s="1650" t="s">
        <v>2330</v>
      </c>
      <c r="B18" s="730">
        <v>229165392.31</v>
      </c>
      <c r="C18" s="730">
        <v>4414348</v>
      </c>
      <c r="D18" s="730">
        <v>4414348</v>
      </c>
    </row>
    <row r="19" spans="1:6" ht="15">
      <c r="A19" s="1650" t="s">
        <v>2331</v>
      </c>
      <c r="B19" s="730">
        <v>19874021.48</v>
      </c>
      <c r="C19" s="730">
        <v>0</v>
      </c>
      <c r="D19" s="730">
        <v>0</v>
      </c>
    </row>
    <row r="20" spans="1:6" ht="15">
      <c r="A20" s="1651" t="s">
        <v>2332</v>
      </c>
      <c r="B20" s="731">
        <f>SUM(B17:B19)</f>
        <v>279539413.79000002</v>
      </c>
      <c r="C20" s="731">
        <f t="shared" ref="C20:D20" si="2">SUM(C17:C19)</f>
        <v>28164108.079999998</v>
      </c>
      <c r="D20" s="731">
        <f t="shared" si="2"/>
        <v>25543705.760000002</v>
      </c>
    </row>
    <row r="21" spans="1:6" ht="16.8">
      <c r="A21" s="1654" t="s">
        <v>2333</v>
      </c>
      <c r="B21" s="1655">
        <f>+B10+B16+B20+B2</f>
        <v>3361668335.2199998</v>
      </c>
      <c r="C21" s="1655">
        <f>+C10+C16+C20+C2</f>
        <v>738452603.92999995</v>
      </c>
      <c r="D21" s="1655">
        <f>+D10+D16+D20+D2</f>
        <v>534565552.92999995</v>
      </c>
    </row>
  </sheetData>
  <mergeCells count="1">
    <mergeCell ref="E4:E5"/>
  </mergeCells>
  <pageMargins left="0.7" right="0.7" top="0.75" bottom="0.75" header="0.3" footer="0.3"/>
  <drawing r:id="rId1"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7E049-B18A-4C58-8D17-0B8CE41DB0A2}">
  <dimension ref="A1:U54"/>
  <sheetViews>
    <sheetView showGridLines="0" zoomScaleNormal="100" workbookViewId="0">
      <pane xSplit="1" ySplit="1" topLeftCell="N2" activePane="bottomRight" state="frozen"/>
      <selection pane="topRight" activeCell="C1" sqref="C1"/>
      <selection pane="bottomLeft" activeCell="A2" sqref="A2"/>
      <selection pane="bottomRight" activeCell="O56" sqref="O56"/>
    </sheetView>
  </sheetViews>
  <sheetFormatPr baseColWidth="10" defaultColWidth="11.5546875" defaultRowHeight="14.4"/>
  <cols>
    <col min="1" max="1" width="49.33203125" style="412" bestFit="1" customWidth="1"/>
    <col min="2" max="2" width="16.6640625" style="1241" hidden="1" customWidth="1"/>
    <col min="3" max="4" width="14.44140625" style="1241" hidden="1" customWidth="1"/>
    <col min="5" max="5" width="14.44140625" style="1236" hidden="1" customWidth="1"/>
    <col min="6" max="6" width="14.44140625" style="1241" hidden="1" customWidth="1"/>
    <col min="7" max="7" width="14.44140625" style="1236" hidden="1" customWidth="1"/>
    <col min="8" max="9" width="15.5546875" style="1236" hidden="1" customWidth="1"/>
    <col min="10" max="10" width="16.6640625" style="1236" hidden="1" customWidth="1"/>
    <col min="11" max="13" width="15.5546875" style="1236" hidden="1" customWidth="1"/>
    <col min="14" max="16" width="15.5546875" style="1236" customWidth="1"/>
    <col min="17" max="17" width="16.44140625" style="1236" bestFit="1" customWidth="1"/>
    <col min="18" max="19" width="8.6640625" style="408" bestFit="1" customWidth="1"/>
    <col min="20" max="21" width="10" style="408" bestFit="1" customWidth="1"/>
    <col min="22" max="31" width="7.6640625" style="408" customWidth="1"/>
    <col min="32" max="16384" width="11.5546875" style="408"/>
  </cols>
  <sheetData>
    <row r="1" spans="1:21" s="1228" customFormat="1" ht="13.8">
      <c r="A1" s="1228" t="s">
        <v>1791</v>
      </c>
      <c r="B1" s="1237">
        <v>45627</v>
      </c>
      <c r="C1" s="1237">
        <v>45658</v>
      </c>
      <c r="D1" s="1237">
        <v>45689</v>
      </c>
      <c r="E1" s="1232">
        <v>45717</v>
      </c>
      <c r="F1" s="1237">
        <v>45748</v>
      </c>
      <c r="G1" s="1232">
        <v>45778</v>
      </c>
      <c r="H1" s="1232">
        <v>45809</v>
      </c>
      <c r="I1" s="1232">
        <v>45839</v>
      </c>
      <c r="J1" s="1232">
        <v>45870</v>
      </c>
      <c r="K1" s="1232">
        <v>45901</v>
      </c>
      <c r="L1" s="1232">
        <v>45931</v>
      </c>
      <c r="M1" s="1232">
        <v>45962</v>
      </c>
      <c r="N1" s="1232">
        <v>45992</v>
      </c>
      <c r="O1" s="1232">
        <v>46023</v>
      </c>
      <c r="P1" s="1232">
        <v>46054</v>
      </c>
      <c r="Q1" s="1232" t="s">
        <v>168</v>
      </c>
    </row>
    <row r="2" spans="1:21" s="1229" customFormat="1" ht="10.199999999999999">
      <c r="A2" s="1229" t="s">
        <v>1487</v>
      </c>
      <c r="B2" s="1238">
        <f>SUM(B3)</f>
        <v>94172341.829999998</v>
      </c>
      <c r="C2" s="1238">
        <f t="shared" ref="C2:P2" si="0">SUM(C3)</f>
        <v>0</v>
      </c>
      <c r="D2" s="1238">
        <f t="shared" si="0"/>
        <v>0</v>
      </c>
      <c r="E2" s="1233">
        <f t="shared" si="0"/>
        <v>0</v>
      </c>
      <c r="F2" s="1238">
        <f t="shared" si="0"/>
        <v>0</v>
      </c>
      <c r="G2" s="1233">
        <f t="shared" si="0"/>
        <v>18880</v>
      </c>
      <c r="H2" s="1233">
        <f t="shared" si="0"/>
        <v>0</v>
      </c>
      <c r="I2" s="1233">
        <f t="shared" si="0"/>
        <v>0</v>
      </c>
      <c r="J2" s="1233">
        <f t="shared" si="0"/>
        <v>170252678.32999998</v>
      </c>
      <c r="K2" s="1233">
        <f t="shared" si="0"/>
        <v>1180</v>
      </c>
      <c r="L2" s="1233">
        <f t="shared" si="0"/>
        <v>0</v>
      </c>
      <c r="M2" s="1233">
        <f t="shared" si="0"/>
        <v>0</v>
      </c>
      <c r="N2" s="1233">
        <f t="shared" si="0"/>
        <v>0</v>
      </c>
      <c r="O2" s="1233">
        <f t="shared" si="0"/>
        <v>0</v>
      </c>
      <c r="P2" s="1233">
        <f t="shared" si="0"/>
        <v>0</v>
      </c>
      <c r="Q2" s="1233">
        <f t="shared" ref="Q2:Q33" si="1">SUBTOTAL(9,B2:P2)</f>
        <v>264445080.15999997</v>
      </c>
      <c r="R2" s="1230"/>
      <c r="S2" s="1230"/>
      <c r="T2" s="1230"/>
      <c r="U2" s="1230"/>
    </row>
    <row r="3" spans="1:21" s="1231" customFormat="1" ht="10.199999999999999">
      <c r="A3" s="1231" t="s">
        <v>1388</v>
      </c>
      <c r="B3" s="1239">
        <v>94172341.829999998</v>
      </c>
      <c r="C3" s="1239"/>
      <c r="D3" s="1239"/>
      <c r="E3" s="1234"/>
      <c r="F3" s="1239"/>
      <c r="G3" s="1234">
        <v>18880</v>
      </c>
      <c r="H3" s="1234"/>
      <c r="I3" s="1234"/>
      <c r="J3" s="1234">
        <v>170252678.32999998</v>
      </c>
      <c r="K3" s="1234">
        <v>1180</v>
      </c>
      <c r="L3" s="1234"/>
      <c r="M3" s="1234"/>
      <c r="N3" s="1234"/>
      <c r="O3" s="1234"/>
      <c r="P3" s="1234"/>
      <c r="Q3" s="1234">
        <f t="shared" si="1"/>
        <v>264445080.15999997</v>
      </c>
    </row>
    <row r="4" spans="1:21" s="1229" customFormat="1" ht="10.199999999999999">
      <c r="A4" s="1229" t="s">
        <v>1490</v>
      </c>
      <c r="B4" s="1238">
        <f>SUM(B5)</f>
        <v>21168315.640000001</v>
      </c>
      <c r="C4" s="1238">
        <f t="shared" ref="C4:O4" si="2">SUM(C5)</f>
        <v>239349.75</v>
      </c>
      <c r="D4" s="1238">
        <f t="shared" si="2"/>
        <v>0</v>
      </c>
      <c r="E4" s="1233">
        <f t="shared" si="2"/>
        <v>146320</v>
      </c>
      <c r="F4" s="1238">
        <f t="shared" si="2"/>
        <v>108350.26</v>
      </c>
      <c r="G4" s="1233">
        <f t="shared" si="2"/>
        <v>53100</v>
      </c>
      <c r="H4" s="1233">
        <f t="shared" si="2"/>
        <v>0</v>
      </c>
      <c r="I4" s="1233">
        <f t="shared" si="2"/>
        <v>0</v>
      </c>
      <c r="J4" s="1233">
        <f t="shared" si="2"/>
        <v>1595686.82</v>
      </c>
      <c r="K4" s="1233">
        <f t="shared" si="2"/>
        <v>87792</v>
      </c>
      <c r="L4" s="1233">
        <f t="shared" si="2"/>
        <v>312774.26</v>
      </c>
      <c r="M4" s="1233">
        <f t="shared" si="2"/>
        <v>0</v>
      </c>
      <c r="N4" s="1233">
        <f t="shared" si="2"/>
        <v>0</v>
      </c>
      <c r="O4" s="1233">
        <f t="shared" si="2"/>
        <v>0</v>
      </c>
      <c r="P4" s="1233">
        <f>SUM(P5)</f>
        <v>416685.22</v>
      </c>
      <c r="Q4" s="1233">
        <f t="shared" si="1"/>
        <v>24128373.950000003</v>
      </c>
      <c r="R4" s="1230"/>
      <c r="S4" s="1230"/>
      <c r="T4" s="1230"/>
      <c r="U4" s="1230"/>
    </row>
    <row r="5" spans="1:21" s="1231" customFormat="1" ht="10.199999999999999">
      <c r="A5" s="1231" t="s">
        <v>1389</v>
      </c>
      <c r="B5" s="1239">
        <v>21168315.640000001</v>
      </c>
      <c r="C5" s="1242">
        <v>239349.75</v>
      </c>
      <c r="D5" s="1239"/>
      <c r="E5" s="1234">
        <v>146320</v>
      </c>
      <c r="F5" s="1239">
        <v>108350.26</v>
      </c>
      <c r="G5" s="1234">
        <v>53100</v>
      </c>
      <c r="H5" s="1234"/>
      <c r="I5" s="1234"/>
      <c r="J5" s="1234">
        <v>1595686.82</v>
      </c>
      <c r="K5" s="1234">
        <v>87792</v>
      </c>
      <c r="L5" s="1234">
        <v>312774.26</v>
      </c>
      <c r="M5" s="1234">
        <v>0</v>
      </c>
      <c r="N5" s="1234"/>
      <c r="O5" s="1234"/>
      <c r="P5" s="1234">
        <v>416685.22</v>
      </c>
      <c r="Q5" s="1234">
        <f t="shared" si="1"/>
        <v>24128373.950000003</v>
      </c>
    </row>
    <row r="6" spans="1:21" s="1229" customFormat="1" ht="10.199999999999999">
      <c r="A6" s="1229" t="s">
        <v>1792</v>
      </c>
      <c r="B6" s="1238">
        <f>SUM(B7)</f>
        <v>9219083.5899999999</v>
      </c>
      <c r="C6" s="1238">
        <f t="shared" ref="C6:N6" si="3">SUM(C7)</f>
        <v>0</v>
      </c>
      <c r="D6" s="1238">
        <f t="shared" si="3"/>
        <v>0</v>
      </c>
      <c r="E6" s="1233">
        <f t="shared" si="3"/>
        <v>0</v>
      </c>
      <c r="F6" s="1238">
        <f t="shared" si="3"/>
        <v>353433.2</v>
      </c>
      <c r="G6" s="1233">
        <f t="shared" si="3"/>
        <v>93563.38</v>
      </c>
      <c r="H6" s="1233">
        <f t="shared" si="3"/>
        <v>806839.56</v>
      </c>
      <c r="I6" s="1233">
        <f t="shared" si="3"/>
        <v>3069742.21</v>
      </c>
      <c r="J6" s="1233">
        <f t="shared" si="3"/>
        <v>2900560.48</v>
      </c>
      <c r="K6" s="1233">
        <f t="shared" si="3"/>
        <v>342033.18</v>
      </c>
      <c r="L6" s="1233">
        <f t="shared" si="3"/>
        <v>201871.48</v>
      </c>
      <c r="M6" s="1233">
        <f t="shared" si="3"/>
        <v>1617336.11</v>
      </c>
      <c r="N6" s="1233">
        <f t="shared" si="3"/>
        <v>15407306.5</v>
      </c>
      <c r="O6" s="1233">
        <f>SUM(O7)</f>
        <v>222844.91</v>
      </c>
      <c r="P6" s="1233">
        <f>SUM(P7)</f>
        <v>2449569.83</v>
      </c>
      <c r="Q6" s="1233">
        <f t="shared" si="1"/>
        <v>36684184.429999992</v>
      </c>
      <c r="R6" s="1779">
        <f>+N6-14900000</f>
        <v>507306.5</v>
      </c>
      <c r="S6" s="1779">
        <f>+O6</f>
        <v>222844.91</v>
      </c>
      <c r="T6" s="1779">
        <f>+P6</f>
        <v>2449569.83</v>
      </c>
      <c r="U6" s="1779">
        <f>SUM(R6:T6)</f>
        <v>3179721.24</v>
      </c>
    </row>
    <row r="7" spans="1:21" s="1231" customFormat="1" ht="10.199999999999999">
      <c r="A7" s="1231" t="s">
        <v>1793</v>
      </c>
      <c r="B7" s="1239">
        <v>9219083.5899999999</v>
      </c>
      <c r="C7" s="1239"/>
      <c r="D7" s="1239"/>
      <c r="E7" s="1234"/>
      <c r="F7" s="1239">
        <v>353433.2</v>
      </c>
      <c r="G7" s="1234">
        <v>93563.38</v>
      </c>
      <c r="H7" s="1234">
        <v>806839.56</v>
      </c>
      <c r="I7" s="1234">
        <v>3069742.21</v>
      </c>
      <c r="J7" s="1234">
        <v>2900560.48</v>
      </c>
      <c r="K7" s="1234">
        <v>342033.18</v>
      </c>
      <c r="L7" s="1234">
        <v>201871.48</v>
      </c>
      <c r="M7" s="1234">
        <v>1617336.11</v>
      </c>
      <c r="N7" s="1234">
        <v>15407306.5</v>
      </c>
      <c r="O7" s="1234">
        <v>222844.91</v>
      </c>
      <c r="P7" s="1234">
        <v>2449569.83</v>
      </c>
      <c r="Q7" s="1234">
        <f t="shared" si="1"/>
        <v>36684184.429999992</v>
      </c>
    </row>
    <row r="8" spans="1:21" s="1229" customFormat="1" ht="10.199999999999999">
      <c r="A8" s="1229" t="s">
        <v>1794</v>
      </c>
      <c r="B8" s="1238">
        <f>SUM(B9)</f>
        <v>0</v>
      </c>
      <c r="C8" s="1238">
        <f t="shared" ref="C8:N8" si="4">SUM(C9)</f>
        <v>0</v>
      </c>
      <c r="D8" s="1238">
        <f t="shared" si="4"/>
        <v>0</v>
      </c>
      <c r="E8" s="1233">
        <f t="shared" si="4"/>
        <v>0</v>
      </c>
      <c r="F8" s="1238">
        <f t="shared" si="4"/>
        <v>0</v>
      </c>
      <c r="G8" s="1233">
        <f t="shared" si="4"/>
        <v>0</v>
      </c>
      <c r="H8" s="1233">
        <f t="shared" si="4"/>
        <v>0</v>
      </c>
      <c r="I8" s="1233">
        <f t="shared" si="4"/>
        <v>0</v>
      </c>
      <c r="J8" s="1233">
        <f t="shared" si="4"/>
        <v>0</v>
      </c>
      <c r="K8" s="1233">
        <f t="shared" si="4"/>
        <v>0</v>
      </c>
      <c r="L8" s="1233">
        <f t="shared" si="4"/>
        <v>0</v>
      </c>
      <c r="M8" s="1233">
        <f t="shared" si="4"/>
        <v>0</v>
      </c>
      <c r="N8" s="1233">
        <f t="shared" si="4"/>
        <v>991237.18</v>
      </c>
      <c r="O8" s="1233">
        <f>SUM(O9)</f>
        <v>2132656.4500000002</v>
      </c>
      <c r="P8" s="1233">
        <f>SUM(P9)</f>
        <v>6421897.4300000006</v>
      </c>
      <c r="Q8" s="1233">
        <f t="shared" si="1"/>
        <v>9545791.0600000005</v>
      </c>
      <c r="R8" s="1230"/>
      <c r="S8" s="1230"/>
      <c r="T8" s="1230"/>
      <c r="U8" s="1230"/>
    </row>
    <row r="9" spans="1:21" s="1231" customFormat="1" ht="10.199999999999999">
      <c r="A9" s="1231" t="s">
        <v>1795</v>
      </c>
      <c r="B9" s="1239"/>
      <c r="C9" s="1239"/>
      <c r="D9" s="1239"/>
      <c r="E9" s="1234"/>
      <c r="F9" s="1239"/>
      <c r="G9" s="1234"/>
      <c r="H9" s="1234"/>
      <c r="I9" s="1234"/>
      <c r="J9" s="1234"/>
      <c r="K9" s="1234"/>
      <c r="L9" s="1234"/>
      <c r="M9" s="1234"/>
      <c r="N9" s="1234">
        <v>991237.18</v>
      </c>
      <c r="O9" s="1234">
        <v>2132656.4500000002</v>
      </c>
      <c r="P9" s="1234">
        <v>6421897.4300000006</v>
      </c>
      <c r="Q9" s="1234">
        <f t="shared" si="1"/>
        <v>9545791.0600000005</v>
      </c>
    </row>
    <row r="10" spans="1:21" s="1229" customFormat="1" ht="10.199999999999999">
      <c r="A10" s="1229" t="s">
        <v>952</v>
      </c>
      <c r="B10" s="1238">
        <f>SUM(B11)</f>
        <v>1644662.03</v>
      </c>
      <c r="C10" s="1238">
        <f t="shared" ref="C10:N10" si="5">SUM(C11)</f>
        <v>1770000</v>
      </c>
      <c r="D10" s="1238">
        <f t="shared" si="5"/>
        <v>0</v>
      </c>
      <c r="E10" s="1233">
        <f t="shared" si="5"/>
        <v>885000</v>
      </c>
      <c r="F10" s="1238">
        <f t="shared" si="5"/>
        <v>2455806.54</v>
      </c>
      <c r="G10" s="1233">
        <f t="shared" si="5"/>
        <v>2360000</v>
      </c>
      <c r="H10" s="1233">
        <f t="shared" si="5"/>
        <v>2417857.34</v>
      </c>
      <c r="I10" s="1233">
        <f t="shared" si="5"/>
        <v>2664755.19</v>
      </c>
      <c r="J10" s="1233">
        <f t="shared" si="5"/>
        <v>2360000</v>
      </c>
      <c r="K10" s="1233">
        <f t="shared" si="5"/>
        <v>2360000</v>
      </c>
      <c r="L10" s="1233">
        <f t="shared" si="5"/>
        <v>2360000</v>
      </c>
      <c r="M10" s="1233">
        <f t="shared" si="5"/>
        <v>2783225.26</v>
      </c>
      <c r="N10" s="1233">
        <f t="shared" si="5"/>
        <v>1770000</v>
      </c>
      <c r="O10" s="1233">
        <f>SUM(O11)</f>
        <v>2360000</v>
      </c>
      <c r="P10" s="1233">
        <f>SUM(P11)</f>
        <v>2862845.21</v>
      </c>
      <c r="Q10" s="1233">
        <f t="shared" si="1"/>
        <v>31054151.57</v>
      </c>
      <c r="R10" s="1230"/>
      <c r="S10" s="1230"/>
      <c r="T10" s="1230"/>
      <c r="U10" s="1230"/>
    </row>
    <row r="11" spans="1:21" s="1231" customFormat="1" ht="10.199999999999999">
      <c r="A11" s="1231" t="s">
        <v>1796</v>
      </c>
      <c r="B11" s="1239">
        <v>1644662.03</v>
      </c>
      <c r="C11" s="1243">
        <v>1770000</v>
      </c>
      <c r="D11" s="1239"/>
      <c r="E11" s="1234">
        <v>885000</v>
      </c>
      <c r="F11" s="1239">
        <v>2455806.54</v>
      </c>
      <c r="G11" s="1234">
        <v>2360000</v>
      </c>
      <c r="H11" s="1234">
        <v>2417857.34</v>
      </c>
      <c r="I11" s="1234">
        <v>2664755.19</v>
      </c>
      <c r="J11" s="1234">
        <v>2360000</v>
      </c>
      <c r="K11" s="1234">
        <v>2360000</v>
      </c>
      <c r="L11" s="1234">
        <v>2360000</v>
      </c>
      <c r="M11" s="1234">
        <v>2783225.26</v>
      </c>
      <c r="N11" s="1234">
        <v>1770000</v>
      </c>
      <c r="O11" s="1234">
        <v>2360000</v>
      </c>
      <c r="P11" s="1234">
        <v>2862845.21</v>
      </c>
      <c r="Q11" s="1234">
        <f t="shared" si="1"/>
        <v>31054151.57</v>
      </c>
    </row>
    <row r="12" spans="1:21" s="1229" customFormat="1" ht="10.199999999999999">
      <c r="A12" s="1229" t="s">
        <v>1797</v>
      </c>
      <c r="B12" s="1238">
        <f>SUM(B13:B19)</f>
        <v>0</v>
      </c>
      <c r="C12" s="1238">
        <f t="shared" ref="C12:O12" si="6">SUM(C13:C19)</f>
        <v>0</v>
      </c>
      <c r="D12" s="1238">
        <f t="shared" si="6"/>
        <v>0</v>
      </c>
      <c r="E12" s="1233">
        <f t="shared" si="6"/>
        <v>0</v>
      </c>
      <c r="F12" s="1238">
        <f t="shared" si="6"/>
        <v>0</v>
      </c>
      <c r="G12" s="1233">
        <f t="shared" si="6"/>
        <v>0</v>
      </c>
      <c r="H12" s="1233">
        <f t="shared" si="6"/>
        <v>147108.53999999998</v>
      </c>
      <c r="I12" s="1233">
        <f t="shared" si="6"/>
        <v>92700.800000000003</v>
      </c>
      <c r="J12" s="1233">
        <f t="shared" si="6"/>
        <v>96854.399999999994</v>
      </c>
      <c r="K12" s="1233">
        <f t="shared" si="6"/>
        <v>90246.399999999994</v>
      </c>
      <c r="L12" s="1233">
        <f t="shared" si="6"/>
        <v>92700.800000000003</v>
      </c>
      <c r="M12" s="1233">
        <f t="shared" si="6"/>
        <v>332688.71000000002</v>
      </c>
      <c r="N12" s="1233">
        <f t="shared" si="6"/>
        <v>92700.800000000003</v>
      </c>
      <c r="O12" s="1233">
        <f t="shared" si="6"/>
        <v>102858.24000000001</v>
      </c>
      <c r="P12" s="1233">
        <f t="shared" ref="P12" si="7">SUM(P13:P19)</f>
        <v>3036943.49</v>
      </c>
      <c r="Q12" s="1233">
        <f t="shared" si="1"/>
        <v>4084802.18</v>
      </c>
      <c r="R12" s="1230"/>
      <c r="S12" s="1230"/>
      <c r="T12" s="1230"/>
      <c r="U12" s="1230"/>
    </row>
    <row r="13" spans="1:21" s="1231" customFormat="1" ht="10.199999999999999">
      <c r="A13" s="1231" t="s">
        <v>1798</v>
      </c>
      <c r="B13" s="1240"/>
      <c r="C13" s="1240"/>
      <c r="D13" s="1240"/>
      <c r="E13" s="1235"/>
      <c r="F13" s="1240"/>
      <c r="G13" s="1235"/>
      <c r="H13" s="1235"/>
      <c r="I13" s="1235"/>
      <c r="J13" s="1235"/>
      <c r="K13" s="1235"/>
      <c r="L13" s="1235"/>
      <c r="M13" s="1235"/>
      <c r="N13" s="1235"/>
      <c r="O13" s="1235"/>
      <c r="P13" s="1235">
        <v>104300</v>
      </c>
      <c r="Q13" s="1235">
        <f t="shared" si="1"/>
        <v>104300</v>
      </c>
    </row>
    <row r="14" spans="1:21" s="1231" customFormat="1" ht="10.199999999999999">
      <c r="A14" s="1231" t="s">
        <v>1799</v>
      </c>
      <c r="B14" s="1240"/>
      <c r="C14" s="1240"/>
      <c r="D14" s="1240"/>
      <c r="E14" s="1235"/>
      <c r="F14" s="1240"/>
      <c r="G14" s="1235"/>
      <c r="H14" s="1235"/>
      <c r="I14" s="1235"/>
      <c r="J14" s="1235"/>
      <c r="K14" s="1235"/>
      <c r="L14" s="1235"/>
      <c r="M14" s="1235">
        <v>191502.06</v>
      </c>
      <c r="N14" s="1235"/>
      <c r="O14" s="1235">
        <v>8080.64</v>
      </c>
      <c r="P14" s="1235">
        <v>207605.89</v>
      </c>
      <c r="Q14" s="1235">
        <f t="shared" si="1"/>
        <v>407188.59</v>
      </c>
    </row>
    <row r="15" spans="1:21" s="1231" customFormat="1" ht="10.199999999999999">
      <c r="A15" s="1231" t="s">
        <v>1800</v>
      </c>
      <c r="B15" s="1240"/>
      <c r="C15" s="1240"/>
      <c r="D15" s="1240"/>
      <c r="E15" s="1235"/>
      <c r="F15" s="1240"/>
      <c r="G15" s="1235"/>
      <c r="H15" s="1235"/>
      <c r="I15" s="1235"/>
      <c r="J15" s="1235"/>
      <c r="K15" s="1235"/>
      <c r="L15" s="1235"/>
      <c r="M15" s="1235">
        <v>52569</v>
      </c>
      <c r="N15" s="1235"/>
      <c r="O15" s="1235"/>
      <c r="P15" s="1235">
        <v>2029200</v>
      </c>
      <c r="Q15" s="1235">
        <f t="shared" si="1"/>
        <v>2081769</v>
      </c>
    </row>
    <row r="16" spans="1:21" s="1231" customFormat="1" ht="10.199999999999999">
      <c r="A16" s="1231" t="s">
        <v>1390</v>
      </c>
      <c r="B16" s="1240"/>
      <c r="C16" s="1240"/>
      <c r="D16" s="1240"/>
      <c r="E16" s="1235"/>
      <c r="F16" s="1240"/>
      <c r="G16" s="1235"/>
      <c r="H16" s="1235">
        <v>92323.199999999997</v>
      </c>
      <c r="I16" s="1235">
        <v>92700.800000000003</v>
      </c>
      <c r="J16" s="1235">
        <v>96854.399999999994</v>
      </c>
      <c r="K16" s="1235">
        <v>90246.399999999994</v>
      </c>
      <c r="L16" s="1235">
        <v>92700.800000000003</v>
      </c>
      <c r="M16" s="1235">
        <v>94400</v>
      </c>
      <c r="N16" s="1235">
        <v>92700.800000000003</v>
      </c>
      <c r="O16" s="1235">
        <v>94777.600000000006</v>
      </c>
      <c r="P16" s="1235">
        <v>85337.600000000006</v>
      </c>
      <c r="Q16" s="1235">
        <f t="shared" si="1"/>
        <v>832041.60000000009</v>
      </c>
    </row>
    <row r="17" spans="1:21" s="1231" customFormat="1" ht="10.199999999999999">
      <c r="A17" s="1231" t="s">
        <v>2190</v>
      </c>
      <c r="B17" s="1240"/>
      <c r="C17" s="1240"/>
      <c r="D17" s="1240"/>
      <c r="E17" s="1235"/>
      <c r="F17" s="1240"/>
      <c r="G17" s="1235"/>
      <c r="H17" s="1235"/>
      <c r="I17" s="1235"/>
      <c r="J17" s="1235"/>
      <c r="K17" s="1235"/>
      <c r="L17" s="1235"/>
      <c r="M17" s="1235"/>
      <c r="N17" s="1235"/>
      <c r="O17" s="1235"/>
      <c r="P17" s="1235"/>
      <c r="Q17" s="1235">
        <f t="shared" si="1"/>
        <v>0</v>
      </c>
    </row>
    <row r="18" spans="1:21" s="1231" customFormat="1" ht="10.199999999999999">
      <c r="A18" s="1231" t="s">
        <v>1391</v>
      </c>
      <c r="B18" s="1240"/>
      <c r="C18" s="1240"/>
      <c r="D18" s="1240"/>
      <c r="E18" s="1235"/>
      <c r="F18" s="1240"/>
      <c r="G18" s="1235"/>
      <c r="H18" s="1235">
        <v>54785.34</v>
      </c>
      <c r="I18" s="1235"/>
      <c r="J18" s="1235"/>
      <c r="K18" s="1235"/>
      <c r="L18" s="1235"/>
      <c r="M18" s="1235">
        <v>-5782.35</v>
      </c>
      <c r="N18" s="1235"/>
      <c r="O18" s="1235"/>
      <c r="P18" s="1235">
        <v>610500</v>
      </c>
      <c r="Q18" s="1235">
        <f t="shared" si="1"/>
        <v>659502.99</v>
      </c>
    </row>
    <row r="19" spans="1:21" s="1231" customFormat="1" ht="10.199999999999999">
      <c r="A19" s="1231" t="s">
        <v>1802</v>
      </c>
      <c r="B19" s="1240"/>
      <c r="C19" s="1240"/>
      <c r="D19" s="1240"/>
      <c r="E19" s="1235"/>
      <c r="F19" s="1240"/>
      <c r="G19" s="1235"/>
      <c r="H19" s="1235"/>
      <c r="I19" s="1235"/>
      <c r="J19" s="1235"/>
      <c r="K19" s="1235"/>
      <c r="L19" s="1235"/>
      <c r="M19" s="1235"/>
      <c r="N19" s="1235"/>
      <c r="O19" s="1235"/>
      <c r="P19" s="1235"/>
      <c r="Q19" s="1235">
        <f t="shared" si="1"/>
        <v>0</v>
      </c>
    </row>
    <row r="20" spans="1:21" s="1229" customFormat="1" ht="10.199999999999999">
      <c r="A20" s="1229" t="s">
        <v>1803</v>
      </c>
      <c r="B20" s="1238">
        <f>SUM(B21)</f>
        <v>0</v>
      </c>
      <c r="C20" s="1238">
        <f t="shared" ref="C20:M20" si="8">SUM(C21)</f>
        <v>0</v>
      </c>
      <c r="D20" s="1238">
        <f t="shared" si="8"/>
        <v>0</v>
      </c>
      <c r="E20" s="1233">
        <f t="shared" si="8"/>
        <v>0</v>
      </c>
      <c r="F20" s="1238">
        <f t="shared" si="8"/>
        <v>0</v>
      </c>
      <c r="G20" s="1233">
        <f t="shared" si="8"/>
        <v>0</v>
      </c>
      <c r="H20" s="1233">
        <f t="shared" si="8"/>
        <v>0</v>
      </c>
      <c r="I20" s="1233">
        <f t="shared" si="8"/>
        <v>0</v>
      </c>
      <c r="J20" s="1233">
        <f t="shared" si="8"/>
        <v>0</v>
      </c>
      <c r="K20" s="1233">
        <f t="shared" si="8"/>
        <v>0</v>
      </c>
      <c r="L20" s="1233">
        <f t="shared" si="8"/>
        <v>0</v>
      </c>
      <c r="M20" s="1233">
        <f t="shared" si="8"/>
        <v>0</v>
      </c>
      <c r="N20" s="1233">
        <f>SUM(N21)</f>
        <v>0</v>
      </c>
      <c r="O20" s="1233">
        <f>SUM(O21)</f>
        <v>0</v>
      </c>
      <c r="P20" s="1233">
        <f>SUM(P21)</f>
        <v>0</v>
      </c>
      <c r="Q20" s="1233">
        <f t="shared" si="1"/>
        <v>0</v>
      </c>
      <c r="R20" s="1230"/>
      <c r="S20" s="1230"/>
      <c r="T20" s="1230"/>
      <c r="U20" s="1230"/>
    </row>
    <row r="21" spans="1:21" s="1231" customFormat="1" ht="10.199999999999999">
      <c r="A21" s="1231" t="s">
        <v>1804</v>
      </c>
      <c r="B21" s="1239"/>
      <c r="C21" s="1239"/>
      <c r="D21" s="1239"/>
      <c r="E21" s="1234"/>
      <c r="F21" s="1239"/>
      <c r="G21" s="1234"/>
      <c r="H21" s="1234"/>
      <c r="I21" s="1234"/>
      <c r="J21" s="1234"/>
      <c r="K21" s="1234"/>
      <c r="L21" s="1234"/>
      <c r="M21" s="1234"/>
      <c r="N21" s="1234"/>
      <c r="O21" s="1234"/>
      <c r="P21" s="1234"/>
      <c r="Q21" s="1234">
        <f t="shared" si="1"/>
        <v>0</v>
      </c>
    </row>
    <row r="22" spans="1:21" s="1229" customFormat="1" ht="10.199999999999999">
      <c r="A22" s="1229" t="s">
        <v>1805</v>
      </c>
      <c r="B22" s="1238">
        <f>SUM(B23)</f>
        <v>0</v>
      </c>
      <c r="C22" s="1238">
        <f t="shared" ref="C22:P22" si="9">SUM(C23)</f>
        <v>0</v>
      </c>
      <c r="D22" s="1238">
        <f t="shared" si="9"/>
        <v>0</v>
      </c>
      <c r="E22" s="1233">
        <f t="shared" si="9"/>
        <v>0</v>
      </c>
      <c r="F22" s="1238">
        <f t="shared" si="9"/>
        <v>0</v>
      </c>
      <c r="G22" s="1233">
        <f t="shared" si="9"/>
        <v>0</v>
      </c>
      <c r="H22" s="1233">
        <f t="shared" si="9"/>
        <v>0</v>
      </c>
      <c r="I22" s="1233">
        <f t="shared" si="9"/>
        <v>0</v>
      </c>
      <c r="J22" s="1233">
        <f t="shared" si="9"/>
        <v>0</v>
      </c>
      <c r="K22" s="1233">
        <f t="shared" si="9"/>
        <v>0</v>
      </c>
      <c r="L22" s="1233">
        <f t="shared" si="9"/>
        <v>1013928.6</v>
      </c>
      <c r="M22" s="1233">
        <f t="shared" si="9"/>
        <v>506964.3</v>
      </c>
      <c r="N22" s="1233">
        <f t="shared" si="9"/>
        <v>506964.3</v>
      </c>
      <c r="O22" s="1233">
        <f t="shared" si="9"/>
        <v>506964.3</v>
      </c>
      <c r="P22" s="1233">
        <f t="shared" si="9"/>
        <v>506964.3</v>
      </c>
      <c r="Q22" s="1233">
        <f t="shared" si="1"/>
        <v>3041785.8</v>
      </c>
      <c r="R22" s="1230"/>
      <c r="S22" s="1230"/>
      <c r="T22" s="1230"/>
      <c r="U22" s="1230"/>
    </row>
    <row r="23" spans="1:21" s="1231" customFormat="1" ht="10.199999999999999">
      <c r="A23" s="1231" t="s">
        <v>1806</v>
      </c>
      <c r="B23" s="1239"/>
      <c r="C23" s="1239"/>
      <c r="D23" s="1239"/>
      <c r="E23" s="1234"/>
      <c r="F23" s="1239"/>
      <c r="G23" s="1234"/>
      <c r="H23" s="1234"/>
      <c r="I23" s="1234"/>
      <c r="J23" s="1234"/>
      <c r="K23" s="1234"/>
      <c r="L23" s="1234">
        <v>1013928.6</v>
      </c>
      <c r="M23" s="1234">
        <v>506964.3</v>
      </c>
      <c r="N23" s="1234">
        <v>506964.3</v>
      </c>
      <c r="O23" s="1234">
        <v>506964.3</v>
      </c>
      <c r="P23" s="1234">
        <v>506964.3</v>
      </c>
      <c r="Q23" s="1234">
        <f t="shared" si="1"/>
        <v>3041785.8</v>
      </c>
    </row>
    <row r="24" spans="1:21" s="1229" customFormat="1" ht="10.199999999999999">
      <c r="A24" s="1229" t="s">
        <v>1807</v>
      </c>
      <c r="B24" s="1238">
        <f>SUM(B25)</f>
        <v>161175.97</v>
      </c>
      <c r="C24" s="1238">
        <f t="shared" ref="C24:P24" si="10">SUM(C25)</f>
        <v>0</v>
      </c>
      <c r="D24" s="1238">
        <f t="shared" si="10"/>
        <v>0</v>
      </c>
      <c r="E24" s="1233">
        <f t="shared" si="10"/>
        <v>0</v>
      </c>
      <c r="F24" s="1238">
        <f t="shared" si="10"/>
        <v>1770000</v>
      </c>
      <c r="G24" s="1233">
        <f t="shared" si="10"/>
        <v>1770000</v>
      </c>
      <c r="H24" s="1233">
        <f t="shared" si="10"/>
        <v>1770000</v>
      </c>
      <c r="I24" s="1233">
        <f t="shared" si="10"/>
        <v>1770000</v>
      </c>
      <c r="J24" s="1233">
        <f t="shared" si="10"/>
        <v>1770000</v>
      </c>
      <c r="K24" s="1233">
        <f t="shared" si="10"/>
        <v>1770000</v>
      </c>
      <c r="L24" s="1233">
        <f t="shared" si="10"/>
        <v>1770000</v>
      </c>
      <c r="M24" s="1233">
        <f t="shared" si="10"/>
        <v>1770000</v>
      </c>
      <c r="N24" s="1233">
        <f t="shared" si="10"/>
        <v>1770000</v>
      </c>
      <c r="O24" s="1233">
        <f t="shared" si="10"/>
        <v>1770000</v>
      </c>
      <c r="P24" s="1233">
        <f t="shared" si="10"/>
        <v>1770000</v>
      </c>
      <c r="Q24" s="1233">
        <f t="shared" si="1"/>
        <v>19631175.969999999</v>
      </c>
      <c r="R24" s="1230"/>
      <c r="S24" s="1230"/>
      <c r="T24" s="1230"/>
      <c r="U24" s="1230"/>
    </row>
    <row r="25" spans="1:21" s="1231" customFormat="1" ht="10.199999999999999">
      <c r="A25" s="1231" t="s">
        <v>954</v>
      </c>
      <c r="B25" s="1239">
        <v>161175.97</v>
      </c>
      <c r="C25" s="1239"/>
      <c r="D25" s="1239"/>
      <c r="E25" s="1234"/>
      <c r="F25" s="1239">
        <v>1770000</v>
      </c>
      <c r="G25" s="1234">
        <v>1770000</v>
      </c>
      <c r="H25" s="1234">
        <v>1770000</v>
      </c>
      <c r="I25" s="1234">
        <v>1770000</v>
      </c>
      <c r="J25" s="1234">
        <v>1770000</v>
      </c>
      <c r="K25" s="1234">
        <v>1770000</v>
      </c>
      <c r="L25" s="1234">
        <v>1770000</v>
      </c>
      <c r="M25" s="1234">
        <v>1770000</v>
      </c>
      <c r="N25" s="1234">
        <v>1770000</v>
      </c>
      <c r="O25" s="1234">
        <v>1770000</v>
      </c>
      <c r="P25" s="1234">
        <v>1770000</v>
      </c>
      <c r="Q25" s="1234">
        <f t="shared" si="1"/>
        <v>19631175.969999999</v>
      </c>
    </row>
    <row r="26" spans="1:21" s="1229" customFormat="1" ht="10.199999999999999">
      <c r="A26" s="1229" t="s">
        <v>1808</v>
      </c>
      <c r="B26" s="1238">
        <f>SUM(B27:B30)</f>
        <v>559355.54</v>
      </c>
      <c r="C26" s="1238">
        <f t="shared" ref="C26:O26" si="11">SUM(C27:C30)</f>
        <v>0</v>
      </c>
      <c r="D26" s="1238">
        <f t="shared" si="11"/>
        <v>645765.21</v>
      </c>
      <c r="E26" s="1233">
        <f t="shared" si="11"/>
        <v>595001.35</v>
      </c>
      <c r="F26" s="1238">
        <f t="shared" si="11"/>
        <v>1549872.47</v>
      </c>
      <c r="G26" s="1233">
        <f t="shared" si="11"/>
        <v>1423527.61</v>
      </c>
      <c r="H26" s="1233">
        <f t="shared" si="11"/>
        <v>1733909.84</v>
      </c>
      <c r="I26" s="1233">
        <f t="shared" si="11"/>
        <v>7890097.2200000007</v>
      </c>
      <c r="J26" s="1233">
        <f t="shared" si="11"/>
        <v>16166710.020000001</v>
      </c>
      <c r="K26" s="1233">
        <f t="shared" si="11"/>
        <v>11886550.289999999</v>
      </c>
      <c r="L26" s="1233">
        <f t="shared" si="11"/>
        <v>12659941.220000001</v>
      </c>
      <c r="M26" s="1233">
        <f t="shared" si="11"/>
        <v>15204797.51</v>
      </c>
      <c r="N26" s="1233">
        <f t="shared" si="11"/>
        <v>5620798.7199999997</v>
      </c>
      <c r="O26" s="1233">
        <f t="shared" si="11"/>
        <v>5330355.3599999994</v>
      </c>
      <c r="P26" s="1233">
        <f t="shared" ref="P26" si="12">SUM(P27:P30)</f>
        <v>3557189.4699999997</v>
      </c>
      <c r="Q26" s="1233">
        <f t="shared" si="1"/>
        <v>84823871.829999998</v>
      </c>
      <c r="R26" s="1230"/>
      <c r="S26" s="1230"/>
      <c r="T26" s="1230"/>
      <c r="U26" s="1230"/>
    </row>
    <row r="27" spans="1:21" s="1231" customFormat="1" ht="10.199999999999999">
      <c r="A27" s="1231" t="s">
        <v>1610</v>
      </c>
      <c r="B27" s="1645"/>
      <c r="C27" s="1645"/>
      <c r="D27" s="1645"/>
      <c r="E27" s="1626"/>
      <c r="F27" s="1645"/>
      <c r="G27" s="1626"/>
      <c r="H27" s="1626"/>
      <c r="I27" s="1626">
        <v>6290641.6900000004</v>
      </c>
      <c r="J27" s="1626">
        <v>14391880.130000001</v>
      </c>
      <c r="K27" s="1626">
        <v>9799035.4900000002</v>
      </c>
      <c r="L27" s="1626">
        <v>10674167.390000001</v>
      </c>
      <c r="M27" s="1626">
        <v>12853059.84</v>
      </c>
      <c r="N27" s="1626">
        <v>3433866.78</v>
      </c>
      <c r="O27" s="1626">
        <f>3349220.38-6120.38</f>
        <v>3343100</v>
      </c>
      <c r="P27" s="1626">
        <v>1786576.18</v>
      </c>
      <c r="Q27" s="1626">
        <f t="shared" si="1"/>
        <v>62572327.500000007</v>
      </c>
    </row>
    <row r="28" spans="1:21" s="1231" customFormat="1" ht="10.199999999999999">
      <c r="A28" s="1231" t="s">
        <v>1279</v>
      </c>
      <c r="B28" s="1240"/>
      <c r="C28" s="1240"/>
      <c r="D28" s="1240"/>
      <c r="E28" s="1235"/>
      <c r="F28" s="1240">
        <v>767000</v>
      </c>
      <c r="G28" s="1235">
        <v>767000</v>
      </c>
      <c r="H28" s="1235">
        <v>767000</v>
      </c>
      <c r="I28" s="1235">
        <v>767000</v>
      </c>
      <c r="J28" s="1235">
        <v>767000</v>
      </c>
      <c r="K28" s="1235">
        <v>767000</v>
      </c>
      <c r="L28" s="1235">
        <v>767000</v>
      </c>
      <c r="M28" s="1235">
        <v>767000</v>
      </c>
      <c r="N28" s="1235">
        <v>767000</v>
      </c>
      <c r="O28" s="1235">
        <v>767000</v>
      </c>
      <c r="P28" s="1235">
        <v>767000</v>
      </c>
      <c r="Q28" s="1235">
        <f t="shared" si="1"/>
        <v>8437000</v>
      </c>
    </row>
    <row r="29" spans="1:21" s="1231" customFormat="1" ht="10.199999999999999">
      <c r="A29" s="1231" t="s">
        <v>1280</v>
      </c>
      <c r="B29" s="1240">
        <v>559355.54</v>
      </c>
      <c r="C29" s="1240"/>
      <c r="D29" s="1240">
        <v>645765.21</v>
      </c>
      <c r="E29" s="1235">
        <v>595001.35</v>
      </c>
      <c r="F29" s="1240">
        <v>677173.63</v>
      </c>
      <c r="G29" s="1235">
        <v>620535.91</v>
      </c>
      <c r="H29" s="1235">
        <v>825710.8</v>
      </c>
      <c r="I29" s="1235">
        <v>832455.53</v>
      </c>
      <c r="J29" s="1235">
        <v>941719.5</v>
      </c>
      <c r="K29" s="1235">
        <v>1237302.53</v>
      </c>
      <c r="L29" s="1235">
        <v>1132936.8999999999</v>
      </c>
      <c r="M29" s="1235">
        <v>1276808.69</v>
      </c>
      <c r="N29" s="1235">
        <v>1311409.7</v>
      </c>
      <c r="O29" s="1235">
        <v>1120340.27</v>
      </c>
      <c r="P29" s="1235">
        <v>924788.11</v>
      </c>
      <c r="Q29" s="1235">
        <f t="shared" si="1"/>
        <v>12701303.669999998</v>
      </c>
    </row>
    <row r="30" spans="1:21" s="1231" customFormat="1" ht="10.199999999999999">
      <c r="A30" s="1231" t="s">
        <v>1757</v>
      </c>
      <c r="B30" s="1240"/>
      <c r="C30" s="1240"/>
      <c r="D30" s="1240"/>
      <c r="E30" s="1235"/>
      <c r="F30" s="1240">
        <v>105698.84</v>
      </c>
      <c r="G30" s="1235">
        <v>35991.699999999997</v>
      </c>
      <c r="H30" s="1235">
        <v>141199.04000000001</v>
      </c>
      <c r="I30" s="1235"/>
      <c r="J30" s="1235">
        <v>66110.39</v>
      </c>
      <c r="K30" s="1235">
        <v>83212.27</v>
      </c>
      <c r="L30" s="1235">
        <v>85836.93</v>
      </c>
      <c r="M30" s="1235">
        <v>307928.98</v>
      </c>
      <c r="N30" s="1235">
        <v>108522.24000000001</v>
      </c>
      <c r="O30" s="1235">
        <v>99915.09</v>
      </c>
      <c r="P30" s="1235">
        <v>78825.179999999993</v>
      </c>
      <c r="Q30" s="1235">
        <f t="shared" si="1"/>
        <v>1113240.6599999999</v>
      </c>
    </row>
    <row r="31" spans="1:21" s="1229" customFormat="1" ht="10.199999999999999">
      <c r="A31" s="1229" t="s">
        <v>1809</v>
      </c>
      <c r="B31" s="1238">
        <f>SUM(B32:B33)</f>
        <v>373034.61</v>
      </c>
      <c r="C31" s="1238">
        <f t="shared" ref="C31:O31" si="13">SUM(C32:C33)</f>
        <v>43563.47</v>
      </c>
      <c r="D31" s="1238">
        <f t="shared" si="13"/>
        <v>36723.129999999997</v>
      </c>
      <c r="E31" s="1233">
        <f t="shared" si="13"/>
        <v>37034.89</v>
      </c>
      <c r="F31" s="1238">
        <f t="shared" si="13"/>
        <v>51335.37</v>
      </c>
      <c r="G31" s="1233">
        <f t="shared" si="13"/>
        <v>125971.53</v>
      </c>
      <c r="H31" s="1233">
        <f t="shared" si="13"/>
        <v>205035.01</v>
      </c>
      <c r="I31" s="1233">
        <f t="shared" si="13"/>
        <v>193826.15000000002</v>
      </c>
      <c r="J31" s="1233">
        <f t="shared" si="13"/>
        <v>228402.97999999998</v>
      </c>
      <c r="K31" s="1233">
        <f t="shared" si="13"/>
        <v>824240.61999999988</v>
      </c>
      <c r="L31" s="1233">
        <f t="shared" si="13"/>
        <v>143558.04999999999</v>
      </c>
      <c r="M31" s="1233">
        <f t="shared" si="13"/>
        <v>111569.53</v>
      </c>
      <c r="N31" s="1233">
        <f t="shared" si="13"/>
        <v>187644.31</v>
      </c>
      <c r="O31" s="1233">
        <f t="shared" si="13"/>
        <v>111272.45999999999</v>
      </c>
      <c r="P31" s="1233">
        <f t="shared" ref="P31" si="14">SUM(P32:P33)</f>
        <v>1296067.68</v>
      </c>
      <c r="Q31" s="1233">
        <f t="shared" si="1"/>
        <v>3969279.7899999991</v>
      </c>
      <c r="R31" s="1230"/>
      <c r="S31" s="1230"/>
      <c r="T31" s="1230"/>
      <c r="U31" s="1230"/>
    </row>
    <row r="32" spans="1:21" s="1231" customFormat="1" ht="10.199999999999999">
      <c r="A32" s="1231" t="s">
        <v>1281</v>
      </c>
      <c r="B32" s="1240">
        <v>344499.26</v>
      </c>
      <c r="C32" s="1243">
        <v>36279.57</v>
      </c>
      <c r="D32" s="1240">
        <v>36723.129999999997</v>
      </c>
      <c r="E32" s="1235">
        <v>37034.89</v>
      </c>
      <c r="F32" s="1240">
        <v>37423.760000000002</v>
      </c>
      <c r="G32" s="1235">
        <v>34807.29</v>
      </c>
      <c r="H32" s="1235">
        <v>35695</v>
      </c>
      <c r="I32" s="1235">
        <v>35546.730000000003</v>
      </c>
      <c r="J32" s="1235">
        <v>36234.199999999997</v>
      </c>
      <c r="K32" s="1235">
        <v>627694.68999999994</v>
      </c>
      <c r="L32" s="1235">
        <v>37152.89</v>
      </c>
      <c r="M32" s="1235">
        <v>37296.32</v>
      </c>
      <c r="N32" s="1235">
        <v>113391.16</v>
      </c>
      <c r="O32" s="1235">
        <v>37257.67</v>
      </c>
      <c r="P32" s="1235">
        <v>1216866.45</v>
      </c>
      <c r="Q32" s="1235">
        <f t="shared" si="1"/>
        <v>2703903.01</v>
      </c>
    </row>
    <row r="33" spans="1:21" s="1231" customFormat="1" ht="10.199999999999999">
      <c r="A33" s="1231" t="s">
        <v>1282</v>
      </c>
      <c r="B33" s="1240">
        <v>28535.35</v>
      </c>
      <c r="C33" s="1243">
        <v>7283.9</v>
      </c>
      <c r="D33" s="1240"/>
      <c r="E33" s="1235"/>
      <c r="F33" s="1240">
        <v>13911.61</v>
      </c>
      <c r="G33" s="1235">
        <v>91164.24</v>
      </c>
      <c r="H33" s="1235">
        <v>169340.01</v>
      </c>
      <c r="I33" s="1235">
        <v>158279.42000000001</v>
      </c>
      <c r="J33" s="1235">
        <v>192168.78</v>
      </c>
      <c r="K33" s="1235">
        <v>196545.93</v>
      </c>
      <c r="L33" s="1235">
        <v>106405.16</v>
      </c>
      <c r="M33" s="1235">
        <v>74273.210000000006</v>
      </c>
      <c r="N33" s="1235">
        <v>74253.149999999994</v>
      </c>
      <c r="O33" s="1235">
        <v>74014.789999999994</v>
      </c>
      <c r="P33" s="1235">
        <v>79201.23</v>
      </c>
      <c r="Q33" s="1235">
        <f t="shared" si="1"/>
        <v>1265376.78</v>
      </c>
    </row>
    <row r="34" spans="1:21" s="1229" customFormat="1" ht="10.199999999999999">
      <c r="A34" s="1229" t="s">
        <v>854</v>
      </c>
      <c r="B34" s="1238">
        <f t="shared" ref="B34:O34" si="15">SUM(B35:B42)</f>
        <v>9529685.3000000007</v>
      </c>
      <c r="C34" s="1238">
        <f t="shared" si="15"/>
        <v>915790.08000000007</v>
      </c>
      <c r="D34" s="1238">
        <f t="shared" si="15"/>
        <v>1931201.9</v>
      </c>
      <c r="E34" s="1238">
        <f t="shared" si="15"/>
        <v>1084802.17</v>
      </c>
      <c r="F34" s="1238">
        <f t="shared" si="15"/>
        <v>826552.34</v>
      </c>
      <c r="G34" s="1238">
        <f t="shared" si="15"/>
        <v>740040.2</v>
      </c>
      <c r="H34" s="1238">
        <f t="shared" si="15"/>
        <v>1412884.71</v>
      </c>
      <c r="I34" s="1238">
        <f t="shared" si="15"/>
        <v>3494146.35</v>
      </c>
      <c r="J34" s="1238">
        <f t="shared" si="15"/>
        <v>1721745.17</v>
      </c>
      <c r="K34" s="1238">
        <f t="shared" si="15"/>
        <v>551935.67999999993</v>
      </c>
      <c r="L34" s="1238">
        <f t="shared" si="15"/>
        <v>1245788.3799999999</v>
      </c>
      <c r="M34" s="1238">
        <f t="shared" si="15"/>
        <v>949800.34</v>
      </c>
      <c r="N34" s="1238">
        <f t="shared" si="15"/>
        <v>996281.21</v>
      </c>
      <c r="O34" s="1238">
        <f t="shared" si="15"/>
        <v>927133.48</v>
      </c>
      <c r="P34" s="1238">
        <f t="shared" ref="P34" si="16">SUM(P35:P42)</f>
        <v>1013980.0700000001</v>
      </c>
      <c r="Q34" s="1238">
        <f t="shared" ref="Q34:Q52" si="17">SUBTOTAL(9,B34:P34)</f>
        <v>27341767.379999999</v>
      </c>
      <c r="R34" s="1230"/>
      <c r="S34" s="1230"/>
      <c r="T34" s="1230"/>
      <c r="U34" s="1230"/>
    </row>
    <row r="35" spans="1:21" s="1231" customFormat="1" ht="10.199999999999999">
      <c r="A35" s="1231" t="s">
        <v>1283</v>
      </c>
      <c r="B35" s="1240">
        <v>4456434.6400000006</v>
      </c>
      <c r="C35" s="1243">
        <v>292040.78000000003</v>
      </c>
      <c r="D35" s="1240"/>
      <c r="E35" s="1235">
        <v>149662.62</v>
      </c>
      <c r="F35" s="1240">
        <v>167745.43</v>
      </c>
      <c r="G35" s="1235"/>
      <c r="H35" s="1235">
        <v>258175.66</v>
      </c>
      <c r="I35" s="1235"/>
      <c r="J35" s="1235"/>
      <c r="K35" s="1235"/>
      <c r="L35" s="1235"/>
      <c r="M35" s="1235">
        <v>-180453.94</v>
      </c>
      <c r="N35" s="1235"/>
      <c r="O35" s="1235"/>
      <c r="P35" s="1235"/>
      <c r="Q35" s="1235">
        <f t="shared" si="17"/>
        <v>5143605.1900000004</v>
      </c>
    </row>
    <row r="36" spans="1:21" s="1231" customFormat="1" ht="10.199999999999999">
      <c r="A36" s="1231" t="s">
        <v>2071</v>
      </c>
      <c r="B36" s="1240">
        <v>4481135.66</v>
      </c>
      <c r="C36" s="1240">
        <v>57400.509999999995</v>
      </c>
      <c r="D36" s="1240">
        <v>1795826.4</v>
      </c>
      <c r="E36" s="1235">
        <v>187959.76</v>
      </c>
      <c r="F36" s="1240">
        <v>188099.53</v>
      </c>
      <c r="G36" s="1235">
        <v>192037.45</v>
      </c>
      <c r="H36" s="1235">
        <v>179220.88999999998</v>
      </c>
      <c r="I36" s="1235">
        <v>2902845.21</v>
      </c>
      <c r="J36" s="1235">
        <v>1207725.21</v>
      </c>
      <c r="K36" s="1235">
        <v>52946.6</v>
      </c>
      <c r="L36" s="1235"/>
      <c r="M36" s="1235"/>
      <c r="N36" s="1235"/>
      <c r="O36" s="1235"/>
      <c r="P36" s="1235"/>
      <c r="Q36" s="1235">
        <f t="shared" si="17"/>
        <v>11245197.220000001</v>
      </c>
    </row>
    <row r="37" spans="1:21" s="1231" customFormat="1" ht="10.199999999999999">
      <c r="A37" s="1231" t="s">
        <v>2062</v>
      </c>
      <c r="B37" s="1240"/>
      <c r="C37" s="1243"/>
      <c r="D37" s="1240"/>
      <c r="E37" s="1235">
        <v>74992.789999999994</v>
      </c>
      <c r="F37" s="1240">
        <v>52091.040000000001</v>
      </c>
      <c r="G37" s="1235">
        <v>129162.79</v>
      </c>
      <c r="H37" s="1235">
        <v>186272.04</v>
      </c>
      <c r="I37" s="1235">
        <v>234473.14</v>
      </c>
      <c r="J37" s="1235">
        <v>259817.28</v>
      </c>
      <c r="K37" s="1235">
        <v>122677.4</v>
      </c>
      <c r="L37" s="1235">
        <v>196734.06</v>
      </c>
      <c r="M37" s="1235">
        <v>257568.44</v>
      </c>
      <c r="N37" s="1235">
        <v>176353.58</v>
      </c>
      <c r="O37" s="1235">
        <v>337884.2</v>
      </c>
      <c r="P37" s="1235">
        <v>114023.92</v>
      </c>
      <c r="Q37" s="1235">
        <f t="shared" si="17"/>
        <v>2142050.6800000002</v>
      </c>
    </row>
    <row r="38" spans="1:21" s="1231" customFormat="1" ht="10.199999999999999">
      <c r="A38" s="1231" t="s">
        <v>2191</v>
      </c>
      <c r="B38" s="1240">
        <v>0</v>
      </c>
      <c r="C38" s="1243">
        <v>435604.79000000004</v>
      </c>
      <c r="D38" s="1240">
        <v>0</v>
      </c>
      <c r="E38" s="1235">
        <v>147972</v>
      </c>
      <c r="F38" s="1240">
        <v>149742</v>
      </c>
      <c r="G38" s="1235">
        <v>142190</v>
      </c>
      <c r="H38" s="1235">
        <v>142190</v>
      </c>
      <c r="I38" s="1235">
        <v>144432</v>
      </c>
      <c r="J38" s="1235">
        <v>144698.68</v>
      </c>
      <c r="K38" s="1235">
        <v>245567.68</v>
      </c>
      <c r="L38" s="1235">
        <v>316570.40000000002</v>
      </c>
      <c r="M38" s="1626">
        <v>325416.5</v>
      </c>
      <c r="N38" s="1235">
        <v>322352.40000000002</v>
      </c>
      <c r="O38" s="1235">
        <f>318842.61-2601.29</f>
        <v>316241.32</v>
      </c>
      <c r="P38" s="1235">
        <v>245440</v>
      </c>
      <c r="Q38" s="1235">
        <f t="shared" si="17"/>
        <v>3078417.7699999996</v>
      </c>
    </row>
    <row r="39" spans="1:21" s="1231" customFormat="1" ht="10.199999999999999">
      <c r="A39" s="1231" t="s">
        <v>2073</v>
      </c>
      <c r="B39" s="1240">
        <v>559615</v>
      </c>
      <c r="C39" s="1240">
        <v>130744</v>
      </c>
      <c r="D39" s="1240">
        <v>130744</v>
      </c>
      <c r="E39" s="1235">
        <v>130744</v>
      </c>
      <c r="F39" s="1240">
        <v>130744</v>
      </c>
      <c r="G39" s="1235">
        <v>109504</v>
      </c>
      <c r="H39" s="1235">
        <v>109504</v>
      </c>
      <c r="I39" s="1235">
        <v>88264</v>
      </c>
      <c r="J39" s="1235">
        <v>109504</v>
      </c>
      <c r="K39" s="1235">
        <v>130744</v>
      </c>
      <c r="L39" s="1235">
        <v>70800</v>
      </c>
      <c r="M39" s="1626">
        <v>21240</v>
      </c>
      <c r="N39" s="1235">
        <v>278729.5</v>
      </c>
      <c r="O39" s="1235">
        <v>281966.5</v>
      </c>
      <c r="P39" s="1235">
        <v>146325.5</v>
      </c>
      <c r="Q39" s="1235">
        <f t="shared" si="17"/>
        <v>2429172.5</v>
      </c>
    </row>
    <row r="40" spans="1:21" s="1231" customFormat="1" ht="10.199999999999999">
      <c r="A40" s="1231" t="s">
        <v>2043</v>
      </c>
      <c r="B40" s="1240">
        <v>32500</v>
      </c>
      <c r="C40" s="1240"/>
      <c r="D40" s="1240">
        <v>4631.5</v>
      </c>
      <c r="E40" s="1235">
        <v>826</v>
      </c>
      <c r="F40" s="1240">
        <v>138130.34</v>
      </c>
      <c r="G40" s="1235">
        <v>167145.96000000002</v>
      </c>
      <c r="H40" s="1235">
        <v>537522.12</v>
      </c>
      <c r="I40" s="1235">
        <v>124132</v>
      </c>
      <c r="J40" s="1235"/>
      <c r="K40" s="1235"/>
      <c r="L40" s="1235">
        <v>216162.42</v>
      </c>
      <c r="M40" s="1626">
        <v>12555.41</v>
      </c>
      <c r="N40" s="1235">
        <v>208600</v>
      </c>
      <c r="O40" s="1235"/>
      <c r="P40" s="1235"/>
      <c r="Q40" s="1235">
        <f t="shared" si="17"/>
        <v>1442205.75</v>
      </c>
    </row>
    <row r="41" spans="1:21" s="1231" customFormat="1" ht="10.199999999999999">
      <c r="A41" s="1231" t="s">
        <v>2074</v>
      </c>
      <c r="B41" s="1240"/>
      <c r="C41" s="1240"/>
      <c r="D41" s="1240"/>
      <c r="E41" s="1235">
        <v>392645</v>
      </c>
      <c r="F41" s="1240"/>
      <c r="G41" s="1235"/>
      <c r="H41" s="1235"/>
      <c r="I41" s="1235"/>
      <c r="J41" s="1235"/>
      <c r="K41" s="1235"/>
      <c r="L41" s="1235">
        <v>445521.5</v>
      </c>
      <c r="M41" s="1235">
        <v>513473.93</v>
      </c>
      <c r="N41" s="1235">
        <v>10245.73</v>
      </c>
      <c r="O41" s="1235">
        <v>-8958.5400000000009</v>
      </c>
      <c r="P41" s="1235"/>
      <c r="Q41" s="1235">
        <f t="shared" si="17"/>
        <v>1352927.6199999999</v>
      </c>
    </row>
    <row r="42" spans="1:21" s="1231" customFormat="1" ht="10.199999999999999">
      <c r="A42" s="1231" t="s">
        <v>2075</v>
      </c>
      <c r="B42" s="1240"/>
      <c r="C42" s="1240"/>
      <c r="D42" s="1240"/>
      <c r="E42" s="1235"/>
      <c r="F42" s="1240"/>
      <c r="G42" s="1235"/>
      <c r="H42" s="1235"/>
      <c r="I42" s="1235"/>
      <c r="J42" s="1235"/>
      <c r="K42" s="1235"/>
      <c r="L42" s="1235"/>
      <c r="M42" s="1235"/>
      <c r="N42" s="1235"/>
      <c r="O42" s="1235"/>
      <c r="P42" s="1235">
        <v>508190.65</v>
      </c>
      <c r="Q42" s="1235">
        <f t="shared" si="17"/>
        <v>508190.65</v>
      </c>
    </row>
    <row r="43" spans="1:21" s="1229" customFormat="1" ht="10.199999999999999">
      <c r="A43" s="1229" t="s">
        <v>1811</v>
      </c>
      <c r="B43" s="1238">
        <f>SUM(B44:B45)</f>
        <v>0</v>
      </c>
      <c r="C43" s="1238">
        <f t="shared" ref="C43:O43" si="18">SUM(C44:C45)</f>
        <v>0</v>
      </c>
      <c r="D43" s="1238">
        <f t="shared" si="18"/>
        <v>0</v>
      </c>
      <c r="E43" s="1233">
        <f t="shared" si="18"/>
        <v>0</v>
      </c>
      <c r="F43" s="1238">
        <f t="shared" si="18"/>
        <v>0</v>
      </c>
      <c r="G43" s="1233">
        <f t="shared" si="18"/>
        <v>0</v>
      </c>
      <c r="H43" s="1233">
        <f t="shared" si="18"/>
        <v>0</v>
      </c>
      <c r="I43" s="1233">
        <f t="shared" si="18"/>
        <v>0</v>
      </c>
      <c r="J43" s="1233">
        <f t="shared" si="18"/>
        <v>0</v>
      </c>
      <c r="K43" s="1233">
        <f t="shared" si="18"/>
        <v>0</v>
      </c>
      <c r="L43" s="1233">
        <f t="shared" si="18"/>
        <v>0</v>
      </c>
      <c r="M43" s="1233">
        <f t="shared" si="18"/>
        <v>0</v>
      </c>
      <c r="N43" s="1233">
        <f t="shared" si="18"/>
        <v>0</v>
      </c>
      <c r="O43" s="1233">
        <f t="shared" si="18"/>
        <v>0</v>
      </c>
      <c r="P43" s="1233">
        <f t="shared" ref="P43" si="19">SUM(P44:P45)</f>
        <v>0</v>
      </c>
      <c r="Q43" s="1233">
        <f t="shared" si="17"/>
        <v>0</v>
      </c>
      <c r="R43" s="1230"/>
      <c r="S43" s="1230"/>
      <c r="T43" s="1230"/>
      <c r="U43" s="1230"/>
    </row>
    <row r="44" spans="1:21" s="1231" customFormat="1" ht="10.199999999999999">
      <c r="A44" s="1231" t="s">
        <v>1812</v>
      </c>
      <c r="B44" s="1240"/>
      <c r="C44" s="1240"/>
      <c r="D44" s="1240"/>
      <c r="E44" s="1235"/>
      <c r="F44" s="1240"/>
      <c r="G44" s="1235"/>
      <c r="H44" s="1235"/>
      <c r="I44" s="1235"/>
      <c r="J44" s="1235"/>
      <c r="K44" s="1235"/>
      <c r="L44" s="1235"/>
      <c r="M44" s="1235"/>
      <c r="N44" s="1235"/>
      <c r="O44" s="1235"/>
      <c r="P44" s="1235"/>
      <c r="Q44" s="1235">
        <f t="shared" si="17"/>
        <v>0</v>
      </c>
    </row>
    <row r="45" spans="1:21" s="1231" customFormat="1" ht="10.199999999999999">
      <c r="A45" s="1231" t="s">
        <v>1813</v>
      </c>
      <c r="B45" s="1240"/>
      <c r="C45" s="1240"/>
      <c r="D45" s="1240"/>
      <c r="E45" s="1235"/>
      <c r="F45" s="1240"/>
      <c r="G45" s="1235"/>
      <c r="H45" s="1235"/>
      <c r="I45" s="1235"/>
      <c r="J45" s="1235"/>
      <c r="K45" s="1235"/>
      <c r="L45" s="1235"/>
      <c r="M45" s="1235"/>
      <c r="N45" s="1235"/>
      <c r="O45" s="1235"/>
      <c r="P45" s="1235"/>
      <c r="Q45" s="1235">
        <f t="shared" si="17"/>
        <v>0</v>
      </c>
    </row>
    <row r="46" spans="1:21" s="1229" customFormat="1" ht="10.199999999999999">
      <c r="A46" s="1229" t="s">
        <v>859</v>
      </c>
      <c r="B46" s="1238">
        <f>SUM(B47)</f>
        <v>12715384.379999999</v>
      </c>
      <c r="C46" s="1238">
        <f t="shared" ref="C46:P46" si="20">SUM(C47)</f>
        <v>0</v>
      </c>
      <c r="D46" s="1238">
        <f t="shared" si="20"/>
        <v>0</v>
      </c>
      <c r="E46" s="1233">
        <f t="shared" si="20"/>
        <v>128745.38</v>
      </c>
      <c r="F46" s="1238">
        <f t="shared" si="20"/>
        <v>552632.57999999996</v>
      </c>
      <c r="G46" s="1233">
        <f t="shared" si="20"/>
        <v>120006</v>
      </c>
      <c r="H46" s="1233">
        <f t="shared" si="20"/>
        <v>1543136</v>
      </c>
      <c r="I46" s="1233">
        <f t="shared" si="20"/>
        <v>300</v>
      </c>
      <c r="J46" s="1233">
        <f t="shared" si="20"/>
        <v>223322.53</v>
      </c>
      <c r="K46" s="1233">
        <f t="shared" si="20"/>
        <v>1594150.23</v>
      </c>
      <c r="L46" s="1233">
        <f t="shared" si="20"/>
        <v>842419.7</v>
      </c>
      <c r="M46" s="1233">
        <f t="shared" si="20"/>
        <v>339222.22</v>
      </c>
      <c r="N46" s="1233">
        <f t="shared" si="20"/>
        <v>2546180</v>
      </c>
      <c r="O46" s="1233">
        <f t="shared" si="20"/>
        <v>517341.31</v>
      </c>
      <c r="P46" s="1233">
        <f t="shared" si="20"/>
        <v>0</v>
      </c>
      <c r="Q46" s="1233">
        <f t="shared" si="17"/>
        <v>21122840.329999994</v>
      </c>
      <c r="R46" s="1230"/>
      <c r="S46" s="1230"/>
      <c r="T46" s="1230"/>
      <c r="U46" s="1230"/>
    </row>
    <row r="47" spans="1:21" s="1231" customFormat="1" ht="10.199999999999999">
      <c r="A47" s="1231" t="s">
        <v>860</v>
      </c>
      <c r="B47" s="1239">
        <v>12715384.379999999</v>
      </c>
      <c r="C47" s="1239"/>
      <c r="D47" s="1239"/>
      <c r="E47" s="1234">
        <v>128745.38</v>
      </c>
      <c r="F47" s="1239">
        <v>552632.57999999996</v>
      </c>
      <c r="G47" s="1234">
        <v>120006</v>
      </c>
      <c r="H47" s="1234">
        <v>1543136</v>
      </c>
      <c r="I47" s="1234">
        <v>300</v>
      </c>
      <c r="J47" s="1234">
        <v>223322.53</v>
      </c>
      <c r="K47" s="1234">
        <f>1099066.83+495083.4</f>
        <v>1594150.23</v>
      </c>
      <c r="L47" s="1234">
        <v>842419.7</v>
      </c>
      <c r="M47" s="1234">
        <v>339222.22</v>
      </c>
      <c r="N47" s="1234">
        <v>2546180</v>
      </c>
      <c r="O47" s="1234">
        <v>517341.31</v>
      </c>
      <c r="P47" s="1234"/>
      <c r="Q47" s="1234">
        <f t="shared" si="17"/>
        <v>21122840.329999994</v>
      </c>
    </row>
    <row r="48" spans="1:21" s="1229" customFormat="1" ht="10.199999999999999">
      <c r="A48" s="1229" t="s">
        <v>1814</v>
      </c>
      <c r="B48" s="1238">
        <f>SUM(B49)</f>
        <v>0</v>
      </c>
      <c r="C48" s="1238">
        <f t="shared" ref="C48:P48" si="21">SUM(C49)</f>
        <v>0</v>
      </c>
      <c r="D48" s="1238">
        <f t="shared" si="21"/>
        <v>0</v>
      </c>
      <c r="E48" s="1233">
        <f t="shared" si="21"/>
        <v>0</v>
      </c>
      <c r="F48" s="1238">
        <f t="shared" si="21"/>
        <v>0</v>
      </c>
      <c r="G48" s="1233">
        <f t="shared" si="21"/>
        <v>0</v>
      </c>
      <c r="H48" s="1233">
        <f t="shared" si="21"/>
        <v>0</v>
      </c>
      <c r="I48" s="1233">
        <f t="shared" si="21"/>
        <v>0</v>
      </c>
      <c r="J48" s="1233">
        <f t="shared" si="21"/>
        <v>0</v>
      </c>
      <c r="K48" s="1233">
        <f t="shared" si="21"/>
        <v>0</v>
      </c>
      <c r="L48" s="1233">
        <f t="shared" si="21"/>
        <v>0</v>
      </c>
      <c r="M48" s="1233">
        <f t="shared" si="21"/>
        <v>0</v>
      </c>
      <c r="N48" s="1233">
        <f t="shared" si="21"/>
        <v>0</v>
      </c>
      <c r="O48" s="1233">
        <f t="shared" si="21"/>
        <v>0</v>
      </c>
      <c r="P48" s="1233">
        <f t="shared" si="21"/>
        <v>0</v>
      </c>
      <c r="Q48" s="1233">
        <f t="shared" si="17"/>
        <v>0</v>
      </c>
      <c r="R48" s="1230"/>
      <c r="S48" s="1230"/>
      <c r="T48" s="1230"/>
      <c r="U48" s="1230"/>
    </row>
    <row r="49" spans="1:21" s="1231" customFormat="1" ht="10.199999999999999">
      <c r="A49" s="1231" t="s">
        <v>1815</v>
      </c>
      <c r="B49" s="1239"/>
      <c r="C49" s="1239"/>
      <c r="D49" s="1239"/>
      <c r="E49" s="1234"/>
      <c r="F49" s="1239"/>
      <c r="G49" s="1234"/>
      <c r="H49" s="1234"/>
      <c r="I49" s="1234"/>
      <c r="J49" s="1234"/>
      <c r="K49" s="1234"/>
      <c r="L49" s="1234"/>
      <c r="M49" s="1234"/>
      <c r="N49" s="1234"/>
      <c r="O49" s="1234"/>
      <c r="P49" s="1234"/>
      <c r="Q49" s="1234">
        <f t="shared" si="17"/>
        <v>0</v>
      </c>
    </row>
    <row r="50" spans="1:21" s="1229" customFormat="1" ht="10.199999999999999">
      <c r="A50" s="1229" t="s">
        <v>1816</v>
      </c>
      <c r="B50" s="1238">
        <f>SUM(B51)</f>
        <v>0</v>
      </c>
      <c r="C50" s="1238">
        <f t="shared" ref="C50:P50" si="22">SUM(C51)</f>
        <v>0</v>
      </c>
      <c r="D50" s="1238">
        <f t="shared" si="22"/>
        <v>0</v>
      </c>
      <c r="E50" s="1233">
        <f t="shared" si="22"/>
        <v>0</v>
      </c>
      <c r="F50" s="1238">
        <f t="shared" si="22"/>
        <v>0</v>
      </c>
      <c r="G50" s="1233">
        <f t="shared" si="22"/>
        <v>0</v>
      </c>
      <c r="H50" s="1233">
        <f t="shared" si="22"/>
        <v>0</v>
      </c>
      <c r="I50" s="1233">
        <f t="shared" si="22"/>
        <v>0</v>
      </c>
      <c r="J50" s="1233">
        <f t="shared" si="22"/>
        <v>0</v>
      </c>
      <c r="K50" s="1233">
        <f t="shared" si="22"/>
        <v>0</v>
      </c>
      <c r="L50" s="1233">
        <f t="shared" si="22"/>
        <v>5900</v>
      </c>
      <c r="M50" s="1233">
        <f t="shared" si="22"/>
        <v>0</v>
      </c>
      <c r="N50" s="1233">
        <f t="shared" si="22"/>
        <v>4408448</v>
      </c>
      <c r="O50" s="1233">
        <f t="shared" si="22"/>
        <v>0</v>
      </c>
      <c r="P50" s="1233">
        <f t="shared" si="22"/>
        <v>0</v>
      </c>
      <c r="Q50" s="1233">
        <f t="shared" si="17"/>
        <v>4414348</v>
      </c>
      <c r="R50" s="1230"/>
      <c r="S50" s="1230"/>
      <c r="T50" s="1230"/>
      <c r="U50" s="1230"/>
    </row>
    <row r="51" spans="1:21" s="1231" customFormat="1" ht="10.199999999999999">
      <c r="A51" s="1231" t="s">
        <v>1817</v>
      </c>
      <c r="B51" s="1239"/>
      <c r="C51" s="1239"/>
      <c r="D51" s="1239"/>
      <c r="E51" s="1234"/>
      <c r="F51" s="1239"/>
      <c r="G51" s="1234"/>
      <c r="H51" s="1234"/>
      <c r="I51" s="1234"/>
      <c r="J51" s="1234"/>
      <c r="K51" s="1234"/>
      <c r="L51" s="1234">
        <v>5900</v>
      </c>
      <c r="M51" s="1234"/>
      <c r="N51" s="1234">
        <v>4408448</v>
      </c>
      <c r="O51" s="1234"/>
      <c r="P51" s="1234"/>
      <c r="Q51" s="1234">
        <f t="shared" si="17"/>
        <v>4414348</v>
      </c>
    </row>
    <row r="52" spans="1:21" s="1245" customFormat="1" ht="13.8">
      <c r="A52" s="1245" t="s">
        <v>1818</v>
      </c>
      <c r="B52" s="1246">
        <f t="shared" ref="B52:M52" si="23">+B2+B4+B6+B8+B10+B12+B20+B22+B24+B26+B31+B34+B43+B46+B48+B50</f>
        <v>149543038.89000002</v>
      </c>
      <c r="C52" s="1246">
        <f t="shared" si="23"/>
        <v>2968703.3</v>
      </c>
      <c r="D52" s="1246">
        <f t="shared" si="23"/>
        <v>2613690.2399999998</v>
      </c>
      <c r="E52" s="1247">
        <f t="shared" si="23"/>
        <v>2876903.79</v>
      </c>
      <c r="F52" s="1246">
        <f t="shared" si="23"/>
        <v>7667982.7599999998</v>
      </c>
      <c r="G52" s="1247">
        <f t="shared" si="23"/>
        <v>6705088.7200000007</v>
      </c>
      <c r="H52" s="1247">
        <f t="shared" si="23"/>
        <v>10036771</v>
      </c>
      <c r="I52" s="1247">
        <f t="shared" si="23"/>
        <v>19175567.920000002</v>
      </c>
      <c r="J52" s="1247">
        <f t="shared" si="23"/>
        <v>197315960.72999996</v>
      </c>
      <c r="K52" s="1247">
        <f t="shared" si="23"/>
        <v>19508128.399999999</v>
      </c>
      <c r="L52" s="1247">
        <f t="shared" si="23"/>
        <v>20648882.489999998</v>
      </c>
      <c r="M52" s="1247">
        <f t="shared" si="23"/>
        <v>23615603.98</v>
      </c>
      <c r="N52" s="1247">
        <f>+N2+N4+N6+N8+N10+N12+N20+N22+N24+N26+N31+N34+N43+N46+N48+N50</f>
        <v>34297561.019999996</v>
      </c>
      <c r="O52" s="1247">
        <f>+O2+O4+O6+O8+O10+O12+O20+O22+O24+O26+O31+O34+O43+O46+O48+O50</f>
        <v>13981426.510000002</v>
      </c>
      <c r="P52" s="1247">
        <f>+P2+P4+P6+P8+P10+P12+P20+P22+P24+P26+P31+P34+P43+P46+P48+P50</f>
        <v>23332142.700000003</v>
      </c>
      <c r="Q52" s="1247">
        <f t="shared" si="17"/>
        <v>534287452.44999993</v>
      </c>
    </row>
    <row r="53" spans="1:21">
      <c r="Q53" s="1236">
        <v>534287456.63999993</v>
      </c>
    </row>
    <row r="54" spans="1:21">
      <c r="Q54" s="1236">
        <f>+Q52-Q53</f>
        <v>-4.1899999976158142</v>
      </c>
    </row>
  </sheetData>
  <autoFilter ref="A1:Q54" xr:uid="{E2A45053-F1C6-4266-8F20-3FD38BF97DEF}"/>
  <pageMargins left="0.7" right="0.7" top="0.75" bottom="0.75" header="0.3" footer="0.3"/>
  <pageSetup paperSize="9" orientation="portrait" r:id="rId1"/>
  <legacyDrawing r:id="rId2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826EE-BF67-4801-AAA5-A49CD4AABFA4}">
  <sheetPr>
    <pageSetUpPr autoPageBreaks="0" fitToPage="1"/>
  </sheetPr>
  <dimension ref="B1:Z36"/>
  <sheetViews>
    <sheetView showGridLines="0" zoomScale="120" zoomScaleNormal="120" zoomScalePageLayoutView="125" workbookViewId="0">
      <selection activeCell="E5" sqref="E5"/>
    </sheetView>
  </sheetViews>
  <sheetFormatPr baseColWidth="10" defaultColWidth="2.6640625" defaultRowHeight="13.8"/>
  <cols>
    <col min="1" max="1" width="1.33203125" style="1173" customWidth="1"/>
    <col min="2" max="2" width="22.6640625" style="1173" customWidth="1"/>
    <col min="3" max="3" width="15" style="1177" bestFit="1" customWidth="1"/>
    <col min="4" max="4" width="15.5546875" style="1173" customWidth="1"/>
    <col min="5" max="5" width="15.33203125" style="1173" customWidth="1"/>
    <col min="6" max="7" width="13.6640625" style="1173" customWidth="1"/>
    <col min="8" max="8" width="13.6640625" style="1173" hidden="1" customWidth="1"/>
    <col min="9" max="9" width="12.6640625" style="1173" customWidth="1"/>
    <col min="10" max="10" width="12.5546875" style="1173" customWidth="1"/>
    <col min="11" max="11" width="10.5546875" style="1173" hidden="1" customWidth="1"/>
    <col min="12" max="12" width="11.33203125" style="1173" hidden="1" customWidth="1"/>
    <col min="13" max="13" width="10.5546875" style="1173" hidden="1" customWidth="1"/>
    <col min="14" max="15" width="11.44140625" style="1173" hidden="1" customWidth="1"/>
    <col min="16" max="17" width="12.44140625" style="1173" hidden="1" customWidth="1"/>
    <col min="18" max="18" width="12.5546875" style="1173" hidden="1" customWidth="1"/>
    <col min="19" max="21" width="12.44140625" style="1173" hidden="1" customWidth="1"/>
    <col min="22" max="25" width="12.44140625" style="1173" customWidth="1"/>
    <col min="26" max="26" width="13.88671875" style="1173" customWidth="1"/>
    <col min="27" max="16384" width="2.6640625" style="1173"/>
  </cols>
  <sheetData>
    <row r="1" spans="2:26" ht="23.4">
      <c r="B1" s="1175" t="s">
        <v>1891</v>
      </c>
      <c r="C1" s="1176"/>
      <c r="F1" s="1257" t="s">
        <v>1892</v>
      </c>
    </row>
    <row r="2" spans="2:26" ht="9.6" customHeight="1">
      <c r="B2" s="1179"/>
      <c r="C2" s="1180"/>
      <c r="F2" s="1181"/>
      <c r="G2" s="1181"/>
      <c r="H2" s="1181"/>
    </row>
    <row r="3" spans="2:26" ht="28.8">
      <c r="B3" s="2153" t="s">
        <v>1893</v>
      </c>
      <c r="C3" s="2153"/>
      <c r="D3" s="1970" t="s">
        <v>2334</v>
      </c>
      <c r="E3" s="1971"/>
    </row>
    <row r="4" spans="2:26" s="1183" customFormat="1" ht="12">
      <c r="B4" s="1184" t="s">
        <v>29</v>
      </c>
      <c r="C4" s="1184" t="s">
        <v>1895</v>
      </c>
      <c r="D4" s="1184" t="s">
        <v>1896</v>
      </c>
      <c r="E4" s="1401"/>
      <c r="F4" s="1401"/>
      <c r="G4" s="1184"/>
      <c r="H4" s="1184"/>
      <c r="I4" s="1185"/>
      <c r="J4" s="1185"/>
      <c r="K4" s="1185" t="s">
        <v>1897</v>
      </c>
      <c r="L4" s="1185">
        <v>45658</v>
      </c>
      <c r="M4" s="1185">
        <v>45689</v>
      </c>
      <c r="N4" s="1185">
        <v>45717</v>
      </c>
      <c r="O4" s="1185">
        <v>45748</v>
      </c>
      <c r="P4" s="1185">
        <v>45778</v>
      </c>
      <c r="Q4" s="1185">
        <v>45809</v>
      </c>
      <c r="R4" s="1185">
        <v>45839</v>
      </c>
      <c r="S4" s="1185">
        <v>45870</v>
      </c>
      <c r="T4" s="1185">
        <v>45901</v>
      </c>
      <c r="U4" s="1185">
        <v>45931</v>
      </c>
      <c r="V4" s="1185">
        <v>45962</v>
      </c>
      <c r="W4" s="1185">
        <v>45992</v>
      </c>
      <c r="X4" s="1185">
        <v>46023</v>
      </c>
      <c r="Y4" s="1185">
        <v>46054</v>
      </c>
      <c r="Z4" s="1184" t="s">
        <v>1898</v>
      </c>
    </row>
    <row r="5" spans="2:26" s="1183" customFormat="1" ht="12.6" thickBot="1">
      <c r="B5" s="1261" t="s">
        <v>1899</v>
      </c>
      <c r="C5" s="1258">
        <v>462</v>
      </c>
      <c r="D5" s="1402">
        <f>SUM(K5:T5)</f>
        <v>76</v>
      </c>
      <c r="E5" s="1264"/>
      <c r="F5" s="1259"/>
      <c r="G5" s="1259"/>
      <c r="H5" s="1259"/>
      <c r="Q5" s="1183">
        <v>3</v>
      </c>
      <c r="R5" s="1183">
        <v>29</v>
      </c>
      <c r="S5" s="1183">
        <v>20</v>
      </c>
      <c r="T5" s="1260">
        <v>24</v>
      </c>
      <c r="U5" s="1260"/>
      <c r="V5" s="1260"/>
      <c r="W5" s="1260"/>
      <c r="X5" s="1260"/>
      <c r="Y5" s="1260"/>
      <c r="Z5" s="1384">
        <f>+C5-D5</f>
        <v>386</v>
      </c>
    </row>
    <row r="6" spans="2:26" s="1183" customFormat="1" ht="12.6" thickBot="1">
      <c r="B6" s="1266" t="s">
        <v>1900</v>
      </c>
      <c r="C6" s="1373">
        <f>+'ADI 09-25'!D50</f>
        <v>68068862.399999991</v>
      </c>
      <c r="D6" s="1403">
        <f>SUM(K6:T6)</f>
        <v>13885050</v>
      </c>
      <c r="E6" s="1373"/>
      <c r="F6" s="1186"/>
      <c r="G6" s="1186"/>
      <c r="H6" s="1186"/>
      <c r="I6" s="1187"/>
      <c r="J6" s="1362"/>
      <c r="K6" s="1405"/>
      <c r="L6" s="1405">
        <v>138050</v>
      </c>
      <c r="M6" s="1405"/>
      <c r="N6" s="1405"/>
      <c r="O6" s="1405">
        <v>403450</v>
      </c>
      <c r="P6" s="1405">
        <v>3464300</v>
      </c>
      <c r="Q6" s="1405">
        <v>1453610</v>
      </c>
      <c r="R6" s="1405">
        <v>3115440</v>
      </c>
      <c r="S6" s="1405">
        <v>2848600</v>
      </c>
      <c r="T6" s="1406">
        <v>2461600</v>
      </c>
      <c r="U6" s="1364"/>
      <c r="V6" s="1364"/>
      <c r="W6" s="1364"/>
      <c r="X6" s="1364"/>
      <c r="Y6" s="1364"/>
      <c r="Z6" s="1364">
        <f>+C6-D6</f>
        <v>54183812.399999991</v>
      </c>
    </row>
    <row r="7" spans="2:26" s="1183" customFormat="1" ht="12.6" thickBot="1">
      <c r="B7" s="1407" t="s">
        <v>1901</v>
      </c>
      <c r="C7" s="1373"/>
      <c r="D7" s="1403"/>
      <c r="E7" s="1373"/>
      <c r="F7" s="1186"/>
      <c r="G7" s="1186"/>
      <c r="H7" s="1186"/>
      <c r="I7" s="1187"/>
      <c r="J7" s="1362"/>
      <c r="K7" s="1405"/>
      <c r="L7" s="1405"/>
      <c r="M7" s="1405"/>
      <c r="N7" s="1405"/>
      <c r="O7" s="1405"/>
      <c r="P7" s="1405"/>
      <c r="Q7" s="1405"/>
      <c r="R7" s="1405"/>
      <c r="S7" s="1405"/>
      <c r="T7" s="1406"/>
      <c r="U7" s="1364"/>
      <c r="V7" s="1364"/>
      <c r="W7" s="1364"/>
      <c r="X7" s="1364"/>
      <c r="Y7" s="1364"/>
      <c r="Z7" s="1364"/>
    </row>
    <row r="8" spans="2:26" s="1183" customFormat="1" ht="12.6" thickBot="1">
      <c r="B8" s="1262" t="s">
        <v>1902</v>
      </c>
      <c r="C8" s="1365">
        <f>+'ADI 09-25'!C50</f>
        <v>4152200606.3999996</v>
      </c>
      <c r="D8" s="1404">
        <f>SUM(K8:T8)</f>
        <v>76880590.930000007</v>
      </c>
      <c r="E8" s="1365"/>
      <c r="F8" s="1263">
        <f>+D8</f>
        <v>76880590.930000007</v>
      </c>
      <c r="G8" s="1263"/>
      <c r="H8" s="1263"/>
      <c r="I8" s="1265"/>
      <c r="J8" s="1363"/>
      <c r="K8" s="1374">
        <v>597566.75</v>
      </c>
      <c r="L8" s="1374">
        <v>123420.98</v>
      </c>
      <c r="M8" s="1374">
        <v>-123572.38</v>
      </c>
      <c r="N8" s="1374">
        <v>61261.19</v>
      </c>
      <c r="O8" s="1374">
        <v>3006924.23</v>
      </c>
      <c r="P8" s="1374">
        <v>6287923.8600000003</v>
      </c>
      <c r="Q8" s="1374">
        <v>12848147.640000001</v>
      </c>
      <c r="R8" s="1374">
        <v>18376055.530000001</v>
      </c>
      <c r="S8" s="1374">
        <v>16465115.92</v>
      </c>
      <c r="T8" s="1375">
        <v>19237747.210000001</v>
      </c>
      <c r="U8" s="1366"/>
      <c r="V8" s="1366"/>
      <c r="W8" s="1366"/>
      <c r="X8" s="1366"/>
      <c r="Y8" s="1366"/>
      <c r="Z8" s="1366">
        <f>+C8-D8</f>
        <v>4075320015.4699998</v>
      </c>
    </row>
    <row r="9" spans="2:26" s="1183" customFormat="1" ht="15" customHeight="1" thickBot="1">
      <c r="B9" s="1262" t="s">
        <v>1903</v>
      </c>
      <c r="C9" s="1225"/>
      <c r="D9" s="1226"/>
      <c r="E9" s="1226"/>
      <c r="F9" s="1226"/>
      <c r="G9" s="1226"/>
      <c r="H9" s="1226"/>
      <c r="K9" s="1189"/>
      <c r="L9" s="1189"/>
      <c r="M9" s="1189"/>
      <c r="N9" s="1189"/>
      <c r="O9" s="1189"/>
      <c r="P9" s="1189"/>
      <c r="Q9" s="1189"/>
      <c r="R9" s="1189"/>
      <c r="S9" s="1189"/>
      <c r="T9" s="1189"/>
      <c r="U9" s="1189"/>
      <c r="V9" s="1189"/>
      <c r="W9" s="1189"/>
      <c r="X9" s="1189"/>
      <c r="Y9" s="1189"/>
      <c r="Z9" s="1189"/>
    </row>
    <row r="10" spans="2:26" s="1183" customFormat="1" ht="12" customHeight="1">
      <c r="C10" s="1188"/>
      <c r="D10" s="2155" t="s">
        <v>2193</v>
      </c>
      <c r="E10" s="2156"/>
      <c r="F10" s="2156"/>
      <c r="G10" s="2156"/>
      <c r="H10" s="2156"/>
      <c r="I10" s="2156"/>
      <c r="J10" s="2157"/>
      <c r="K10" s="1189"/>
      <c r="L10" s="1189"/>
      <c r="M10" s="1189"/>
      <c r="N10" s="1189"/>
      <c r="O10" s="1189"/>
      <c r="P10" s="1189"/>
      <c r="Q10" s="1189"/>
      <c r="R10" s="1189"/>
      <c r="S10" s="1189"/>
      <c r="T10" s="1189"/>
      <c r="U10" s="1189"/>
      <c r="V10" s="1189"/>
      <c r="W10" s="1189"/>
      <c r="X10" s="1189"/>
      <c r="Y10" s="1189"/>
      <c r="Z10" s="1189"/>
    </row>
    <row r="11" spans="2:26" s="1183" customFormat="1" ht="24">
      <c r="B11" s="2154" t="s">
        <v>1905</v>
      </c>
      <c r="C11" s="2154"/>
      <c r="D11" s="1222" t="s">
        <v>2437</v>
      </c>
      <c r="E11" s="1222" t="s">
        <v>1907</v>
      </c>
      <c r="F11" s="1222" t="s">
        <v>1908</v>
      </c>
      <c r="G11" s="1223" t="s">
        <v>1909</v>
      </c>
      <c r="H11" s="1223" t="s">
        <v>2336</v>
      </c>
      <c r="I11" s="1223" t="s">
        <v>1910</v>
      </c>
      <c r="J11" s="1223" t="s">
        <v>1911</v>
      </c>
      <c r="K11" s="1190"/>
      <c r="P11" s="1191"/>
    </row>
    <row r="12" spans="2:26" s="1183" customFormat="1" ht="15.6">
      <c r="B12" s="1182"/>
      <c r="C12" s="1182"/>
      <c r="D12" s="1224" t="s">
        <v>1912</v>
      </c>
      <c r="E12" s="1224" t="s">
        <v>1913</v>
      </c>
      <c r="F12" s="1224" t="s">
        <v>1914</v>
      </c>
      <c r="G12" s="1224" t="s">
        <v>1915</v>
      </c>
      <c r="H12" s="1224" t="s">
        <v>2337</v>
      </c>
      <c r="I12" s="1224" t="s">
        <v>1916</v>
      </c>
      <c r="J12" s="1224" t="s">
        <v>1917</v>
      </c>
      <c r="K12" s="1190" t="s">
        <v>1918</v>
      </c>
      <c r="P12" s="1191"/>
      <c r="U12" s="1183" t="s">
        <v>1919</v>
      </c>
    </row>
    <row r="13" spans="2:26" s="1192" customFormat="1" ht="12">
      <c r="B13" s="1193" t="s">
        <v>29</v>
      </c>
      <c r="C13" s="1193" t="s">
        <v>1895</v>
      </c>
      <c r="D13" s="1193"/>
      <c r="E13" s="1193"/>
      <c r="F13" s="1193"/>
      <c r="G13" s="1193"/>
      <c r="H13" s="1193"/>
      <c r="I13" s="1193"/>
      <c r="J13" s="1194"/>
      <c r="K13" s="1194" t="s">
        <v>1897</v>
      </c>
      <c r="L13" s="1194">
        <v>45658</v>
      </c>
      <c r="M13" s="1194">
        <v>45689</v>
      </c>
      <c r="N13" s="1194">
        <v>45717</v>
      </c>
      <c r="O13" s="1194">
        <v>45748</v>
      </c>
      <c r="P13" s="1194">
        <v>45778</v>
      </c>
      <c r="Q13" s="1194">
        <v>45809</v>
      </c>
      <c r="R13" s="1194">
        <v>45839</v>
      </c>
      <c r="S13" s="1194">
        <v>45870</v>
      </c>
      <c r="T13" s="1194">
        <v>45901</v>
      </c>
      <c r="U13" s="1194">
        <v>45931</v>
      </c>
      <c r="V13" s="1194">
        <v>45962</v>
      </c>
      <c r="W13" s="1194">
        <v>45992</v>
      </c>
      <c r="X13" s="1194">
        <v>46023</v>
      </c>
      <c r="Y13" s="1194">
        <v>46054</v>
      </c>
      <c r="Z13" s="1193" t="s">
        <v>1898</v>
      </c>
    </row>
    <row r="14" spans="2:26" s="1183" customFormat="1" ht="12">
      <c r="B14" s="1195" t="s">
        <v>1428</v>
      </c>
      <c r="C14" s="1196">
        <f>+'ADI 09-25'!C18</f>
        <v>106933000</v>
      </c>
      <c r="D14" s="1196">
        <f t="shared" ref="D14:D20" si="0">SUM(G14:I14)</f>
        <v>264445080.15999997</v>
      </c>
      <c r="E14" s="1196">
        <f t="shared" ref="E14:E20" si="1">+C14-D14</f>
        <v>-157512080.15999997</v>
      </c>
      <c r="F14" s="1196">
        <f t="shared" ref="F14:F20" si="2">SUM(G14:J14)</f>
        <v>264445080.15999997</v>
      </c>
      <c r="G14" s="1196">
        <f t="shared" ref="G14:G20" si="3">SUM(K14:Y14)</f>
        <v>264445080.15999997</v>
      </c>
      <c r="H14" s="1196"/>
      <c r="I14" s="1196"/>
      <c r="J14" s="1196"/>
      <c r="K14" s="1376">
        <f>+'Costos a Sept-25'!B2</f>
        <v>94172341.829999998</v>
      </c>
      <c r="L14" s="1376">
        <f>+'Costos a Sept-25'!C2</f>
        <v>0</v>
      </c>
      <c r="M14" s="1376">
        <f>+'Costos a Sept-25'!D2</f>
        <v>0</v>
      </c>
      <c r="N14" s="1376">
        <f>+'Costos a Sept-25'!E2</f>
        <v>0</v>
      </c>
      <c r="O14" s="1376">
        <f>+'Costos a Sept-25'!F2</f>
        <v>0</v>
      </c>
      <c r="P14" s="1376">
        <f>+'Costos a Sept-25'!G2</f>
        <v>18880</v>
      </c>
      <c r="Q14" s="1376">
        <f>+'Costos a Sept-25'!H2</f>
        <v>0</v>
      </c>
      <c r="R14" s="1376">
        <f>+'Costos a Sept-25'!I2</f>
        <v>0</v>
      </c>
      <c r="S14" s="1376">
        <f>+'Costos a Sept-25'!J2</f>
        <v>170252678.32999998</v>
      </c>
      <c r="T14" s="1377">
        <f>+'Costos a Sept-25'!K2</f>
        <v>1180</v>
      </c>
      <c r="U14" s="1377">
        <f>+'Costos a Oct-25'!L2</f>
        <v>0</v>
      </c>
      <c r="V14" s="1376">
        <f>+'Costos a Sept-25'!M2</f>
        <v>0</v>
      </c>
      <c r="W14" s="1376">
        <f>+'Costos a Ene-26'!N2</f>
        <v>0</v>
      </c>
      <c r="X14" s="1376">
        <f>+'Costos a Ene-26'!O2</f>
        <v>0</v>
      </c>
      <c r="Y14" s="1376">
        <f>+'Costos a Feb-26'!P2</f>
        <v>0</v>
      </c>
      <c r="Z14" s="1208">
        <f t="shared" ref="Z14:Z20" si="4">SUM(U14:X14)</f>
        <v>0</v>
      </c>
    </row>
    <row r="15" spans="2:26" s="1183" customFormat="1" ht="12">
      <c r="B15" s="1197" t="s">
        <v>35</v>
      </c>
      <c r="C15" s="1198">
        <f>+'ADI 09-25'!C19</f>
        <v>469173666.60000002</v>
      </c>
      <c r="D15" s="1198">
        <f t="shared" si="0"/>
        <v>37385203.549999997</v>
      </c>
      <c r="E15" s="1198">
        <f t="shared" si="1"/>
        <v>431788463.05000001</v>
      </c>
      <c r="F15" s="1198">
        <f t="shared" si="2"/>
        <v>36901029.879999995</v>
      </c>
      <c r="G15" s="1198">
        <f t="shared" si="3"/>
        <v>36684184.429999992</v>
      </c>
      <c r="H15" s="1198">
        <v>278099.52</v>
      </c>
      <c r="I15" s="1198">
        <f>+'Anticipos 02-26'!D5</f>
        <v>422919.6</v>
      </c>
      <c r="J15" s="1198">
        <f>-'CXP 02-26 RES'!H8</f>
        <v>-484173.67000000004</v>
      </c>
      <c r="K15" s="1378">
        <f>+'Costos a Sept-25'!B6</f>
        <v>9219083.5899999999</v>
      </c>
      <c r="L15" s="1378">
        <f>+'Costos a Sept-25'!C6</f>
        <v>0</v>
      </c>
      <c r="M15" s="1378">
        <f>+'Costos a Sept-25'!D6</f>
        <v>0</v>
      </c>
      <c r="N15" s="1378">
        <f>+'Costos a Sept-25'!E6</f>
        <v>0</v>
      </c>
      <c r="O15" s="1378">
        <f>+'Costos a Sept-25'!F6</f>
        <v>353433.2</v>
      </c>
      <c r="P15" s="1378">
        <f>+'Costos a Sept-25'!G6</f>
        <v>93563.38</v>
      </c>
      <c r="Q15" s="1378">
        <f>+'Costos a Sept-25'!H6</f>
        <v>806839.56</v>
      </c>
      <c r="R15" s="1378">
        <f>+'Costos a Sept-25'!I6</f>
        <v>3069742.21</v>
      </c>
      <c r="S15" s="1378">
        <f>+'Costos a Sept-25'!J6</f>
        <v>2900560.48</v>
      </c>
      <c r="T15" s="1379">
        <f>+'Costos a Sept-25'!K6</f>
        <v>342033.18</v>
      </c>
      <c r="U15" s="1379">
        <f>+'Costos a Oct-25'!L6</f>
        <v>201871.48</v>
      </c>
      <c r="V15" s="1379">
        <f>+'Costos a Nov-25'!M6</f>
        <v>1617336.11</v>
      </c>
      <c r="W15" s="1379">
        <f>+'Costos a Ene-26'!N6</f>
        <v>15407306.5</v>
      </c>
      <c r="X15" s="1379">
        <f>+'Costos a Ene-26'!O6</f>
        <v>222844.91</v>
      </c>
      <c r="Y15" s="1379">
        <f>+'Costos a Feb-26'!P6</f>
        <v>2449569.83</v>
      </c>
      <c r="Z15" s="1209">
        <f t="shared" si="4"/>
        <v>17449359</v>
      </c>
    </row>
    <row r="16" spans="2:26" s="1183" customFormat="1" ht="12">
      <c r="B16" s="1197" t="s">
        <v>38</v>
      </c>
      <c r="C16" s="1198">
        <f>+'ADI 09-25'!C20</f>
        <v>1517166651</v>
      </c>
      <c r="D16" s="1198">
        <f t="shared" si="0"/>
        <v>9545791.0600000005</v>
      </c>
      <c r="E16" s="1198">
        <f t="shared" si="1"/>
        <v>1507620859.9400001</v>
      </c>
      <c r="F16" s="1198">
        <f t="shared" si="2"/>
        <v>4773645.790000001</v>
      </c>
      <c r="G16" s="1198">
        <f t="shared" si="3"/>
        <v>9545791.0600000005</v>
      </c>
      <c r="H16" s="1198"/>
      <c r="I16" s="1198"/>
      <c r="J16" s="1198">
        <f>-'CXP 02-26 RES'!H9</f>
        <v>-4772145.2699999996</v>
      </c>
      <c r="K16" s="1378">
        <f>+'Costos a Sept-25'!B8</f>
        <v>0</v>
      </c>
      <c r="L16" s="1378">
        <f>+'Costos a Sept-25'!C8</f>
        <v>0</v>
      </c>
      <c r="M16" s="1378">
        <f>+'Costos a Sept-25'!D8</f>
        <v>0</v>
      </c>
      <c r="N16" s="1378">
        <f>+'Costos a Sept-25'!E8</f>
        <v>0</v>
      </c>
      <c r="O16" s="1378">
        <f>+'Costos a Sept-25'!F8</f>
        <v>0</v>
      </c>
      <c r="P16" s="1378">
        <f>+'Costos a Sept-25'!G8</f>
        <v>0</v>
      </c>
      <c r="Q16" s="1378">
        <f>+'Costos a Sept-25'!H8</f>
        <v>0</v>
      </c>
      <c r="R16" s="1378">
        <f>+'Costos a Sept-25'!I8</f>
        <v>0</v>
      </c>
      <c r="S16" s="1378">
        <f>+'Costos a Sept-25'!J8</f>
        <v>0</v>
      </c>
      <c r="T16" s="1379">
        <f>+'Costos a Sept-25'!K8</f>
        <v>0</v>
      </c>
      <c r="U16" s="1379">
        <f>+'Costos a Oct-25'!L8</f>
        <v>0</v>
      </c>
      <c r="V16" s="1379">
        <f>+'Costos a Nov-25'!M8</f>
        <v>0</v>
      </c>
      <c r="W16" s="1379">
        <f>+'Costos a Ene-26'!N8</f>
        <v>991237.18</v>
      </c>
      <c r="X16" s="1379">
        <f>+'Costos a Ene-26'!O8</f>
        <v>2132656.4500000002</v>
      </c>
      <c r="Y16" s="1379">
        <f>+'Costos a Feb-26'!P8</f>
        <v>6421897.4300000006</v>
      </c>
      <c r="Z16" s="1209">
        <f t="shared" si="4"/>
        <v>3123893.6300000004</v>
      </c>
    </row>
    <row r="17" spans="2:26" s="1183" customFormat="1" ht="12">
      <c r="B17" s="1197" t="s">
        <v>1920</v>
      </c>
      <c r="C17" s="1198">
        <f>+'ADI 09-25'!C21</f>
        <v>234388157.47679996</v>
      </c>
      <c r="D17" s="1198">
        <f t="shared" si="0"/>
        <v>31054151.57</v>
      </c>
      <c r="E17" s="1198">
        <f t="shared" si="1"/>
        <v>203334005.90679997</v>
      </c>
      <c r="F17" s="1198">
        <f t="shared" si="2"/>
        <v>31054151.57</v>
      </c>
      <c r="G17" s="1198">
        <f t="shared" si="3"/>
        <v>31054151.57</v>
      </c>
      <c r="H17" s="1198"/>
      <c r="I17" s="1198"/>
      <c r="J17" s="1198"/>
      <c r="K17" s="1378">
        <f>+'Costos a Sept-25'!B10</f>
        <v>1644662.03</v>
      </c>
      <c r="L17" s="1378">
        <f>+'Costos a Sept-25'!C10</f>
        <v>1770000</v>
      </c>
      <c r="M17" s="1378">
        <f>+'Costos a Sept-25'!D10</f>
        <v>0</v>
      </c>
      <c r="N17" s="1378">
        <f>+'Costos a Sept-25'!E10</f>
        <v>885000</v>
      </c>
      <c r="O17" s="1378">
        <f>+'Costos a Sept-25'!F10</f>
        <v>2455806.54</v>
      </c>
      <c r="P17" s="1378">
        <f>+'Costos a Sept-25'!G10</f>
        <v>2360000</v>
      </c>
      <c r="Q17" s="1378">
        <f>+'Costos a Sept-25'!H10</f>
        <v>2417857.34</v>
      </c>
      <c r="R17" s="1378">
        <f>+'Costos a Sept-25'!I10</f>
        <v>2664755.19</v>
      </c>
      <c r="S17" s="1378">
        <f>+'Costos a Sept-25'!J10</f>
        <v>2360000</v>
      </c>
      <c r="T17" s="1379">
        <f>+'Costos a Sept-25'!K10</f>
        <v>2360000</v>
      </c>
      <c r="U17" s="1379">
        <f>+'Costos a Oct-25'!L10</f>
        <v>2360000</v>
      </c>
      <c r="V17" s="1379">
        <f>+'Costos a Nov-25'!M10</f>
        <v>2783225.26</v>
      </c>
      <c r="W17" s="1379">
        <f>+'Costos a Ene-26'!N10</f>
        <v>1770000</v>
      </c>
      <c r="X17" s="1379">
        <f>+'Costos a Ene-26'!O10</f>
        <v>2360000</v>
      </c>
      <c r="Y17" s="1379">
        <f>+'Costos a Feb-26'!P10</f>
        <v>2862845.21</v>
      </c>
      <c r="Z17" s="1209">
        <f t="shared" si="4"/>
        <v>9273225.2599999998</v>
      </c>
    </row>
    <row r="18" spans="2:26" s="1183" customFormat="1" ht="12">
      <c r="B18" s="1197" t="s">
        <v>1921</v>
      </c>
      <c r="C18" s="1198">
        <f>+'ADI 09-25'!C22</f>
        <v>19264643</v>
      </c>
      <c r="D18" s="1198">
        <f t="shared" si="0"/>
        <v>3041785.8</v>
      </c>
      <c r="E18" s="1198">
        <f t="shared" si="1"/>
        <v>16222857.199999999</v>
      </c>
      <c r="F18" s="1198">
        <f t="shared" si="2"/>
        <v>2027857.1999999997</v>
      </c>
      <c r="G18" s="1198">
        <f t="shared" si="3"/>
        <v>3041785.8</v>
      </c>
      <c r="H18" s="1198"/>
      <c r="I18" s="1198"/>
      <c r="J18" s="1198">
        <f>-'CXP 02-26 RES'!H12</f>
        <v>-1013928.6</v>
      </c>
      <c r="K18" s="1378">
        <f>+'Costos a Sept-25'!B22</f>
        <v>0</v>
      </c>
      <c r="L18" s="1378">
        <f>+'Costos a Sept-25'!C22</f>
        <v>0</v>
      </c>
      <c r="M18" s="1378">
        <f>+'Costos a Sept-25'!D22</f>
        <v>0</v>
      </c>
      <c r="N18" s="1378">
        <f>+'Costos a Sept-25'!E22</f>
        <v>0</v>
      </c>
      <c r="O18" s="1378">
        <f>+'Costos a Sept-25'!F22</f>
        <v>0</v>
      </c>
      <c r="P18" s="1378">
        <f>+'Costos a Sept-25'!G22</f>
        <v>0</v>
      </c>
      <c r="Q18" s="1378">
        <f>+'Costos a Sept-25'!H22</f>
        <v>0</v>
      </c>
      <c r="R18" s="1378">
        <f>+'Costos a Sept-25'!I22</f>
        <v>0</v>
      </c>
      <c r="S18" s="1378">
        <f>+'Costos a Sept-25'!J22</f>
        <v>0</v>
      </c>
      <c r="T18" s="1379">
        <f>+'Costos a Sept-25'!K22</f>
        <v>0</v>
      </c>
      <c r="U18" s="1379">
        <f>+'Costos a Oct-25'!L22</f>
        <v>1013928.6</v>
      </c>
      <c r="V18" s="1379">
        <f>+'Costos a Nov-25'!M22</f>
        <v>506964.3</v>
      </c>
      <c r="W18" s="1379">
        <f>+'Costos a Ene-26'!N22</f>
        <v>506964.3</v>
      </c>
      <c r="X18" s="1379">
        <f>+'Costos a Ene-26'!O22</f>
        <v>506964.3</v>
      </c>
      <c r="Y18" s="1379">
        <f>+'Costos a Feb-26'!P22</f>
        <v>506964.3</v>
      </c>
      <c r="Z18" s="1372">
        <f t="shared" si="4"/>
        <v>2534821.5</v>
      </c>
    </row>
    <row r="19" spans="2:26" s="1183" customFormat="1" ht="12">
      <c r="B19" s="1197" t="s">
        <v>40</v>
      </c>
      <c r="C19" s="1198">
        <f>+'ADI 09-25'!C23</f>
        <v>47672167.622400001</v>
      </c>
      <c r="D19" s="1198">
        <f t="shared" si="0"/>
        <v>4084802.18</v>
      </c>
      <c r="E19" s="1198">
        <f t="shared" si="1"/>
        <v>43587365.442400001</v>
      </c>
      <c r="F19" s="1198">
        <f t="shared" si="2"/>
        <v>3896581.0900000003</v>
      </c>
      <c r="G19" s="1198">
        <f t="shared" si="3"/>
        <v>4084802.18</v>
      </c>
      <c r="H19" s="1198"/>
      <c r="I19" s="1198"/>
      <c r="J19" s="1198">
        <f>-'CXP 02-26 RES'!H11-'CXP 02-26 RES'!H10</f>
        <v>-188221.09000000003</v>
      </c>
      <c r="K19" s="1378">
        <f>+'Costos a Sept-25'!B12</f>
        <v>0</v>
      </c>
      <c r="L19" s="1378">
        <f>+'Costos a Sept-25'!C12</f>
        <v>0</v>
      </c>
      <c r="M19" s="1378">
        <f>+'Costos a Sept-25'!D12</f>
        <v>0</v>
      </c>
      <c r="N19" s="1378">
        <f>+'Costos a Sept-25'!E12</f>
        <v>0</v>
      </c>
      <c r="O19" s="1378">
        <f>+'Costos a Sept-25'!F12</f>
        <v>0</v>
      </c>
      <c r="P19" s="1378">
        <f>+'Costos a Sept-25'!G12</f>
        <v>0</v>
      </c>
      <c r="Q19" s="1378">
        <f>+'Costos a Sept-25'!H12</f>
        <v>147108.53999999998</v>
      </c>
      <c r="R19" s="1378">
        <f>+'Costos a Sept-25'!I12</f>
        <v>92700.800000000003</v>
      </c>
      <c r="S19" s="1378">
        <f>+'Costos a Sept-25'!J12</f>
        <v>96854.399999999994</v>
      </c>
      <c r="T19" s="1379">
        <f>+'Costos a Sept-25'!K12</f>
        <v>90246.399999999994</v>
      </c>
      <c r="U19" s="1379">
        <f>+'Costos a Oct-25'!L12</f>
        <v>92700.800000000003</v>
      </c>
      <c r="V19" s="1379">
        <f>+'Costos a Nov-25'!M12</f>
        <v>332688.71000000002</v>
      </c>
      <c r="W19" s="1379">
        <f>+'Costos a Ene-26'!N12</f>
        <v>92700.800000000003</v>
      </c>
      <c r="X19" s="1379">
        <f>+'Costos a Ene-26'!O12</f>
        <v>102858.24000000001</v>
      </c>
      <c r="Y19" s="1379">
        <f>+'Costos a Feb-26'!P12</f>
        <v>3036943.49</v>
      </c>
      <c r="Z19" s="1209">
        <f t="shared" si="4"/>
        <v>620948.55000000005</v>
      </c>
    </row>
    <row r="20" spans="2:26" s="1183" customFormat="1" ht="12">
      <c r="B20" s="1197" t="s">
        <v>764</v>
      </c>
      <c r="C20" s="1198">
        <f>+'ADI 09-25'!C24</f>
        <v>39726806.351999998</v>
      </c>
      <c r="D20" s="1198">
        <f t="shared" si="0"/>
        <v>0</v>
      </c>
      <c r="E20" s="1198">
        <f t="shared" si="1"/>
        <v>39726806.351999998</v>
      </c>
      <c r="F20" s="1198">
        <f t="shared" si="2"/>
        <v>0</v>
      </c>
      <c r="G20" s="1198">
        <f t="shared" si="3"/>
        <v>0</v>
      </c>
      <c r="H20" s="1198"/>
      <c r="I20" s="1198"/>
      <c r="J20" s="1198"/>
      <c r="K20" s="1378">
        <f>+'Costos a Sept-25'!B20</f>
        <v>0</v>
      </c>
      <c r="L20" s="1378">
        <f>+'Costos a Sept-25'!C20</f>
        <v>0</v>
      </c>
      <c r="M20" s="1378">
        <f>+'Costos a Sept-25'!D20</f>
        <v>0</v>
      </c>
      <c r="N20" s="1378">
        <f>+'Costos a Sept-25'!E20</f>
        <v>0</v>
      </c>
      <c r="O20" s="1378">
        <f>+'Costos a Sept-25'!F20</f>
        <v>0</v>
      </c>
      <c r="P20" s="1378">
        <f>+'Costos a Sept-25'!G20</f>
        <v>0</v>
      </c>
      <c r="Q20" s="1378">
        <f>+'Costos a Sept-25'!H20</f>
        <v>0</v>
      </c>
      <c r="R20" s="1378">
        <f>+'Costos a Sept-25'!I20</f>
        <v>0</v>
      </c>
      <c r="S20" s="1378">
        <f>+'Costos a Sept-25'!J20</f>
        <v>0</v>
      </c>
      <c r="T20" s="1379">
        <f>+'Costos a Sept-25'!K20</f>
        <v>0</v>
      </c>
      <c r="U20" s="1379">
        <f>+'Costos a Oct-25'!L20</f>
        <v>0</v>
      </c>
      <c r="V20" s="1379">
        <f>+'Costos a Nov-25'!M20</f>
        <v>0</v>
      </c>
      <c r="W20" s="1379">
        <f>+'Costos a Ene-26'!N20</f>
        <v>0</v>
      </c>
      <c r="X20" s="1379">
        <f>+'Costos a Ene-26'!O20</f>
        <v>0</v>
      </c>
      <c r="Y20" s="1379">
        <f>+'Costos a Feb-26'!P20</f>
        <v>0</v>
      </c>
      <c r="Z20" s="1209">
        <f t="shared" si="4"/>
        <v>0</v>
      </c>
    </row>
    <row r="21" spans="2:26" s="1183" customFormat="1" ht="12">
      <c r="B21" s="1199" t="s">
        <v>41</v>
      </c>
      <c r="C21" s="1200">
        <f t="shared" ref="C21:Z21" si="5">SUM(C15:C20)</f>
        <v>2327392092.0511999</v>
      </c>
      <c r="D21" s="1200">
        <f t="shared" si="5"/>
        <v>85111734.160000011</v>
      </c>
      <c r="E21" s="1200">
        <f t="shared" si="5"/>
        <v>2242280357.8912001</v>
      </c>
      <c r="F21" s="1200">
        <f t="shared" si="5"/>
        <v>78653265.530000001</v>
      </c>
      <c r="G21" s="1200">
        <f t="shared" si="5"/>
        <v>84410715.040000007</v>
      </c>
      <c r="H21" s="1200">
        <f t="shared" si="5"/>
        <v>278099.52</v>
      </c>
      <c r="I21" s="1200">
        <f t="shared" si="5"/>
        <v>422919.6</v>
      </c>
      <c r="J21" s="1200">
        <f t="shared" si="5"/>
        <v>-6458468.629999999</v>
      </c>
      <c r="K21" s="1380">
        <f t="shared" si="5"/>
        <v>10863745.619999999</v>
      </c>
      <c r="L21" s="1380">
        <f t="shared" si="5"/>
        <v>1770000</v>
      </c>
      <c r="M21" s="1380">
        <f t="shared" si="5"/>
        <v>0</v>
      </c>
      <c r="N21" s="1380">
        <f t="shared" si="5"/>
        <v>885000</v>
      </c>
      <c r="O21" s="1380">
        <f t="shared" si="5"/>
        <v>2809239.74</v>
      </c>
      <c r="P21" s="1380">
        <f t="shared" si="5"/>
        <v>2453563.38</v>
      </c>
      <c r="Q21" s="1380">
        <f t="shared" si="5"/>
        <v>3371805.44</v>
      </c>
      <c r="R21" s="1380">
        <f t="shared" si="5"/>
        <v>5827198.2000000002</v>
      </c>
      <c r="S21" s="1380">
        <f t="shared" si="5"/>
        <v>5357414.8800000008</v>
      </c>
      <c r="T21" s="1381">
        <f t="shared" si="5"/>
        <v>2792279.58</v>
      </c>
      <c r="U21" s="1381">
        <f t="shared" si="5"/>
        <v>3668500.88</v>
      </c>
      <c r="V21" s="1381">
        <f t="shared" si="5"/>
        <v>5240214.38</v>
      </c>
      <c r="W21" s="1381">
        <f t="shared" si="5"/>
        <v>18768208.780000001</v>
      </c>
      <c r="X21" s="1381">
        <f t="shared" ref="X21:Y21" si="6">SUM(X15:X20)</f>
        <v>5325323.9000000004</v>
      </c>
      <c r="Y21" s="1381">
        <f t="shared" si="6"/>
        <v>15278220.260000004</v>
      </c>
      <c r="Z21" s="1210">
        <f t="shared" si="5"/>
        <v>33002247.940000001</v>
      </c>
    </row>
    <row r="22" spans="2:26" s="1183" customFormat="1" ht="12">
      <c r="B22" s="1201" t="s">
        <v>42</v>
      </c>
      <c r="C22" s="1198">
        <f>+'ADI 09-25'!C26</f>
        <v>187510525.98143998</v>
      </c>
      <c r="D22" s="1198">
        <f>SUM(G22:I22)</f>
        <v>19631175.969999999</v>
      </c>
      <c r="E22" s="1198">
        <f>+C22-D22</f>
        <v>167879350.01143998</v>
      </c>
      <c r="F22" s="1198">
        <f>SUM(G22:J22)</f>
        <v>19631175.969999999</v>
      </c>
      <c r="G22" s="1198">
        <f>SUM(K22:Y22)</f>
        <v>19631175.969999999</v>
      </c>
      <c r="H22" s="1198"/>
      <c r="I22" s="1198"/>
      <c r="J22" s="1198"/>
      <c r="K22" s="1378">
        <f>+'Costos a Sept-25'!B24</f>
        <v>161175.97</v>
      </c>
      <c r="L22" s="1378">
        <f>+'Costos a Sept-25'!C24</f>
        <v>0</v>
      </c>
      <c r="M22" s="1378">
        <f>+'Costos a Sept-25'!D24</f>
        <v>0</v>
      </c>
      <c r="N22" s="1378">
        <f>+'Costos a Sept-25'!E24</f>
        <v>0</v>
      </c>
      <c r="O22" s="1378">
        <f>+'Costos a Sept-25'!F24</f>
        <v>1770000</v>
      </c>
      <c r="P22" s="1378">
        <f>+'Costos a Sept-25'!G24</f>
        <v>1770000</v>
      </c>
      <c r="Q22" s="1378">
        <f>+'Costos a Sept-25'!H24</f>
        <v>1770000</v>
      </c>
      <c r="R22" s="1378">
        <f>+'Costos a Sept-25'!I24</f>
        <v>1770000</v>
      </c>
      <c r="S22" s="1378">
        <f>+'Costos a Sept-25'!J24</f>
        <v>1770000</v>
      </c>
      <c r="T22" s="1379">
        <f>+'Costos a Sept-25'!K24</f>
        <v>1770000</v>
      </c>
      <c r="U22" s="1379">
        <f>+'Costos a Oct-25'!L24</f>
        <v>1770000</v>
      </c>
      <c r="V22" s="1379">
        <f>+'Costos a Nov-25'!M24</f>
        <v>1770000</v>
      </c>
      <c r="W22" s="1379">
        <f>+'Costos a Ene-26'!N24</f>
        <v>1770000</v>
      </c>
      <c r="X22" s="1379">
        <f>+'Costos a Ene-26'!O24</f>
        <v>1770000</v>
      </c>
      <c r="Y22" s="1379">
        <f>+'Costos a Feb-26'!P24</f>
        <v>1770000</v>
      </c>
      <c r="Z22" s="1209">
        <f>SUM(U22:X22)</f>
        <v>7080000</v>
      </c>
    </row>
    <row r="23" spans="2:26" s="1183" customFormat="1" ht="12">
      <c r="B23" s="1197" t="s">
        <v>43</v>
      </c>
      <c r="C23" s="1198">
        <f>+'ADI 09-25'!C27</f>
        <v>327746152.40399998</v>
      </c>
      <c r="D23" s="1198">
        <f>SUM(G23:I23)</f>
        <v>84823871.829999998</v>
      </c>
      <c r="E23" s="1198">
        <f>+C23-D23</f>
        <v>242922280.574</v>
      </c>
      <c r="F23" s="1198">
        <f>SUM(G23:J23)</f>
        <v>83158102.870000005</v>
      </c>
      <c r="G23" s="1198">
        <f>SUM(K23:Y23)</f>
        <v>84823871.829999998</v>
      </c>
      <c r="H23" s="1198"/>
      <c r="I23" s="1198"/>
      <c r="J23" s="1198">
        <f>-'CXP 02-26 RES'!H13-'CXP 02-26 RES'!H14</f>
        <v>-1665768.96</v>
      </c>
      <c r="K23" s="1378">
        <f>+'Costos a Sept-25'!B26</f>
        <v>559355.54</v>
      </c>
      <c r="L23" s="1378">
        <f>+'Costos a Sept-25'!C26</f>
        <v>0</v>
      </c>
      <c r="M23" s="1378">
        <f>+'Costos a Sept-25'!D26</f>
        <v>645765.21</v>
      </c>
      <c r="N23" s="1378">
        <f>+'Costos a Sept-25'!E26</f>
        <v>595001.35</v>
      </c>
      <c r="O23" s="1378">
        <f>+'Costos a Sept-25'!F26</f>
        <v>1549872.47</v>
      </c>
      <c r="P23" s="1378">
        <f>+'Costos a Sept-25'!G26</f>
        <v>1423527.61</v>
      </c>
      <c r="Q23" s="1378">
        <f>+'Costos a Sept-25'!H26</f>
        <v>1733909.84</v>
      </c>
      <c r="R23" s="1378">
        <f>+'Costos a Sept-25'!I26</f>
        <v>7890097.2200000007</v>
      </c>
      <c r="S23" s="1378">
        <f>+'Costos a Sept-25'!J26</f>
        <v>16166710.020000001</v>
      </c>
      <c r="T23" s="1379">
        <f>+'Costos a Sept-25'!K26</f>
        <v>11886550.289999999</v>
      </c>
      <c r="U23" s="1379">
        <f>+'Costos a Oct-25'!L26</f>
        <v>12659941.220000001</v>
      </c>
      <c r="V23" s="1379">
        <f>+'Costos a Nov-25'!M26</f>
        <v>15204797.51</v>
      </c>
      <c r="W23" s="1379">
        <f>+'Costos a Ene-26'!N26</f>
        <v>5620798.7199999997</v>
      </c>
      <c r="X23" s="1379">
        <f>+'Costos a Ene-26'!O26</f>
        <v>5330355.3599999994</v>
      </c>
      <c r="Y23" s="1379">
        <f>+'Costos a Feb-26'!P26</f>
        <v>3557189.4699999997</v>
      </c>
      <c r="Z23" s="1209">
        <f>SUM(U23:X23)</f>
        <v>38815892.810000002</v>
      </c>
    </row>
    <row r="24" spans="2:26" s="1183" customFormat="1" ht="12">
      <c r="B24" s="1197" t="s">
        <v>44</v>
      </c>
      <c r="C24" s="1198">
        <f>+'ADI 09-25'!C28</f>
        <v>81458723.221791998</v>
      </c>
      <c r="D24" s="1198">
        <f>SUM(G24:I24)</f>
        <v>3969279.7899999991</v>
      </c>
      <c r="E24" s="1198">
        <f>+C24-D24</f>
        <v>77489443.431791991</v>
      </c>
      <c r="F24" s="1198">
        <f>SUM(G24:J24)</f>
        <v>3969279.7899999991</v>
      </c>
      <c r="G24" s="1198">
        <f>SUM(K24:Y24)</f>
        <v>3969279.7899999991</v>
      </c>
      <c r="H24" s="1198"/>
      <c r="I24" s="1198"/>
      <c r="J24" s="1198"/>
      <c r="K24" s="1378">
        <f>+'Costos a Sept-25'!B31</f>
        <v>373034.61</v>
      </c>
      <c r="L24" s="1378">
        <f>+'Costos a Sept-25'!C31</f>
        <v>43563.47</v>
      </c>
      <c r="M24" s="1378">
        <f>+'Costos a Sept-25'!D31</f>
        <v>36723.129999999997</v>
      </c>
      <c r="N24" s="1378">
        <f>+'Costos a Sept-25'!E31</f>
        <v>37034.89</v>
      </c>
      <c r="O24" s="1378">
        <f>+'Costos a Sept-25'!F31</f>
        <v>51335.37</v>
      </c>
      <c r="P24" s="1378">
        <f>+'Costos a Sept-25'!G31</f>
        <v>125971.53</v>
      </c>
      <c r="Q24" s="1378">
        <f>+'Costos a Sept-25'!H31</f>
        <v>205035.01</v>
      </c>
      <c r="R24" s="1378">
        <f>+'Costos a Sept-25'!I31</f>
        <v>193826.15000000002</v>
      </c>
      <c r="S24" s="1378">
        <f>+'Costos a Sept-25'!J31</f>
        <v>228402.97999999998</v>
      </c>
      <c r="T24" s="1379">
        <f>+'Costos a Sept-25'!K31</f>
        <v>824240.61999999988</v>
      </c>
      <c r="U24" s="1379">
        <f>+'Costos a Oct-25'!L31</f>
        <v>143558.04999999999</v>
      </c>
      <c r="V24" s="1379">
        <f>+'Costos a Nov-25'!M31</f>
        <v>111569.53</v>
      </c>
      <c r="W24" s="1379">
        <f>+'Costos a Ene-26'!N31</f>
        <v>187644.31</v>
      </c>
      <c r="X24" s="1379">
        <f>+'Costos a Ene-26'!O31</f>
        <v>111272.45999999999</v>
      </c>
      <c r="Y24" s="1379">
        <f>+'Costos a Feb-26'!P31</f>
        <v>1296067.68</v>
      </c>
      <c r="Z24" s="1371">
        <f>SUM(U24:X24)</f>
        <v>554044.35</v>
      </c>
    </row>
    <row r="25" spans="2:26" s="1183" customFormat="1" ht="12">
      <c r="B25" s="1197" t="s">
        <v>45</v>
      </c>
      <c r="C25" s="1198">
        <f>+'ADI 09-25'!C29</f>
        <v>69521911.115999997</v>
      </c>
      <c r="D25" s="1198">
        <f>SUM(G25:I25)</f>
        <v>27357824.82</v>
      </c>
      <c r="E25" s="1198">
        <f>+C25-D25</f>
        <v>42164086.295999996</v>
      </c>
      <c r="F25" s="1198">
        <f>SUM(G25:J25)</f>
        <v>26529134.059999999</v>
      </c>
      <c r="G25" s="1198">
        <f>SUM(K25:Y25)</f>
        <v>27341767.379999999</v>
      </c>
      <c r="H25" s="1198"/>
      <c r="I25" s="1198">
        <f>+'Anticipos 02-26'!D12</f>
        <v>16057.44</v>
      </c>
      <c r="J25" s="1198">
        <f>-'CXP 02-26 RES'!H15-'CXP 02-26 RES'!H16-'CXP 02-26 RES'!H17</f>
        <v>-828690.76</v>
      </c>
      <c r="K25" s="1378">
        <f>+'Costos a Sept-25'!B34</f>
        <v>11066720.34</v>
      </c>
      <c r="L25" s="1378">
        <f>+'Costos a Sept-25'!C34</f>
        <v>915790.08000000007</v>
      </c>
      <c r="M25" s="1378">
        <f>+'Costos a Sept-25'!D34</f>
        <v>1931201.9</v>
      </c>
      <c r="N25" s="1378">
        <f>+'Costos a Sept-25'!E34</f>
        <v>1103623.17</v>
      </c>
      <c r="O25" s="1378">
        <f>+'Costos a Sept-25'!F34</f>
        <v>807731.34</v>
      </c>
      <c r="P25" s="1378">
        <f>+'Costos a Sept-25'!G34</f>
        <v>740040.2</v>
      </c>
      <c r="Q25" s="1378">
        <f>+'Costos a Sept-25'!H34</f>
        <v>1412884.71</v>
      </c>
      <c r="R25" s="1378">
        <f>+'Costos a Sept-25'!I34</f>
        <v>3494146.35</v>
      </c>
      <c r="S25" s="1378">
        <f>+'Costos a Sept-25'!J34</f>
        <v>184710.12999999995</v>
      </c>
      <c r="T25" s="1379">
        <f>+'Costos a Sept-25'!K34</f>
        <v>551935.67999999993</v>
      </c>
      <c r="U25" s="1379">
        <f>+'Costos a Oct-25'!L34</f>
        <v>1245788.3799999999</v>
      </c>
      <c r="V25" s="1379">
        <f>+'Costos a Nov-25'!M34</f>
        <v>943821.03</v>
      </c>
      <c r="W25" s="1379">
        <f>+'Costos a Ene-26'!N34+5979.31</f>
        <v>1002260.52</v>
      </c>
      <c r="X25" s="1379">
        <f>+'Costos a Ene-26'!O34</f>
        <v>927133.48</v>
      </c>
      <c r="Y25" s="1379">
        <f>+'Costos a Feb-26'!P34</f>
        <v>1013980.0700000001</v>
      </c>
      <c r="Z25" s="1209">
        <f>SUM(U25:X25)</f>
        <v>4119003.41</v>
      </c>
    </row>
    <row r="26" spans="2:26" s="1183" customFormat="1" ht="12">
      <c r="B26" s="1197" t="s">
        <v>46</v>
      </c>
      <c r="C26" s="1198">
        <f>+'ADI 09-25'!C30</f>
        <v>19863403.175999999</v>
      </c>
      <c r="D26" s="1198">
        <f>SUM(G26:I26)</f>
        <v>0</v>
      </c>
      <c r="E26" s="1198">
        <f>+C26-D26</f>
        <v>19863403.175999999</v>
      </c>
      <c r="F26" s="1198">
        <f>SUM(G26:J26)</f>
        <v>0</v>
      </c>
      <c r="G26" s="1198">
        <f>SUM(K26:Y26)</f>
        <v>0</v>
      </c>
      <c r="H26" s="1198"/>
      <c r="I26" s="1198"/>
      <c r="J26" s="1198"/>
      <c r="K26" s="1378">
        <f>+'Costos a Sept-25'!B40</f>
        <v>0</v>
      </c>
      <c r="L26" s="1378">
        <f>+'Costos a Sept-25'!C40</f>
        <v>0</v>
      </c>
      <c r="M26" s="1378">
        <f>+'Costos a Sept-25'!D40</f>
        <v>0</v>
      </c>
      <c r="N26" s="1378">
        <f>+'Costos a Sept-25'!E40</f>
        <v>0</v>
      </c>
      <c r="O26" s="1378">
        <f>+'Costos a Sept-25'!F40</f>
        <v>0</v>
      </c>
      <c r="P26" s="1378">
        <f>+'Costos a Sept-25'!G40</f>
        <v>0</v>
      </c>
      <c r="Q26" s="1378">
        <f>+'Costos a Sept-25'!H40</f>
        <v>0</v>
      </c>
      <c r="R26" s="1378">
        <f>+'Costos a Sept-25'!I40</f>
        <v>0</v>
      </c>
      <c r="S26" s="1378">
        <f>+'Costos a Sept-25'!J40</f>
        <v>0</v>
      </c>
      <c r="T26" s="1379">
        <f>+'Costos a Sept-25'!K40</f>
        <v>0</v>
      </c>
      <c r="U26" s="1379">
        <v>0</v>
      </c>
      <c r="V26" s="1379">
        <f>+'Costos a Nov-25'!M43</f>
        <v>0</v>
      </c>
      <c r="W26" s="1379">
        <f>+'Costos a Ene-26'!N43</f>
        <v>0</v>
      </c>
      <c r="X26" s="1379">
        <f>+'Costos a Ene-26'!O43</f>
        <v>0</v>
      </c>
      <c r="Y26" s="1379">
        <f>+'Costos a Feb-26'!P43</f>
        <v>0</v>
      </c>
      <c r="Z26" s="1209">
        <f>SUM(U26:X26)</f>
        <v>0</v>
      </c>
    </row>
    <row r="27" spans="2:26" s="1183" customFormat="1" ht="12">
      <c r="B27" s="1199" t="s">
        <v>47</v>
      </c>
      <c r="C27" s="1200">
        <f>SUM(C22:C26)</f>
        <v>686100715.89923203</v>
      </c>
      <c r="D27" s="1200">
        <f t="shared" ref="D27:Z27" si="7">SUM(D22:D26)</f>
        <v>135782152.41</v>
      </c>
      <c r="E27" s="1200">
        <f t="shared" si="7"/>
        <v>550318563.48923194</v>
      </c>
      <c r="F27" s="1200">
        <f t="shared" si="7"/>
        <v>133287692.69</v>
      </c>
      <c r="G27" s="1200">
        <f t="shared" si="7"/>
        <v>135766094.97</v>
      </c>
      <c r="H27" s="1200">
        <f t="shared" si="7"/>
        <v>0</v>
      </c>
      <c r="I27" s="1200">
        <f t="shared" si="7"/>
        <v>16057.44</v>
      </c>
      <c r="J27" s="1200">
        <f t="shared" si="7"/>
        <v>-2494459.7199999997</v>
      </c>
      <c r="K27" s="1380">
        <f t="shared" si="7"/>
        <v>12160286.460000001</v>
      </c>
      <c r="L27" s="1380">
        <f t="shared" si="7"/>
        <v>959353.55</v>
      </c>
      <c r="M27" s="1380">
        <f t="shared" si="7"/>
        <v>2613690.2399999998</v>
      </c>
      <c r="N27" s="1380">
        <f t="shared" si="7"/>
        <v>1735659.41</v>
      </c>
      <c r="O27" s="1380">
        <f t="shared" si="7"/>
        <v>4178939.1799999997</v>
      </c>
      <c r="P27" s="1380">
        <f t="shared" si="7"/>
        <v>4059539.34</v>
      </c>
      <c r="Q27" s="1380">
        <f t="shared" si="7"/>
        <v>5121829.5599999996</v>
      </c>
      <c r="R27" s="1380">
        <f t="shared" si="7"/>
        <v>13348069.720000001</v>
      </c>
      <c r="S27" s="1380">
        <f t="shared" si="7"/>
        <v>18349823.130000003</v>
      </c>
      <c r="T27" s="1381">
        <f t="shared" si="7"/>
        <v>15032726.589999998</v>
      </c>
      <c r="U27" s="1381">
        <f t="shared" si="7"/>
        <v>15819287.650000002</v>
      </c>
      <c r="V27" s="1381">
        <f t="shared" si="7"/>
        <v>18030188.07</v>
      </c>
      <c r="W27" s="1381">
        <f t="shared" si="7"/>
        <v>8580703.5499999989</v>
      </c>
      <c r="X27" s="1381">
        <f t="shared" si="7"/>
        <v>8138761.2999999989</v>
      </c>
      <c r="Y27" s="1381">
        <f t="shared" ref="Y27" si="8">SUM(Y22:Y26)</f>
        <v>7637237.2199999997</v>
      </c>
      <c r="Z27" s="1210">
        <f t="shared" si="7"/>
        <v>50568940.570000008</v>
      </c>
    </row>
    <row r="28" spans="2:26" s="1183" customFormat="1" ht="13.95" customHeight="1">
      <c r="B28" s="1201" t="s">
        <v>48</v>
      </c>
      <c r="C28" s="1198">
        <f>+'ADI 09-25'!C32</f>
        <v>30500000</v>
      </c>
      <c r="D28" s="1198">
        <f>SUM(G28:I28)</f>
        <v>21208012.209999993</v>
      </c>
      <c r="E28" s="1198">
        <f>+C28-D28</f>
        <v>9291987.7900000066</v>
      </c>
      <c r="F28" s="1198">
        <f>SUM(G28:J28)</f>
        <v>21208012.209999993</v>
      </c>
      <c r="G28" s="1198">
        <f>SUM(K28:Y28)</f>
        <v>21122840.329999994</v>
      </c>
      <c r="H28" s="1198"/>
      <c r="I28" s="1198">
        <f>+'Anticipos 02-26'!D10</f>
        <v>85171.88</v>
      </c>
      <c r="J28" s="1198"/>
      <c r="K28" s="1378">
        <f>+'Costos a Sept-25'!B43</f>
        <v>12715384.379999999</v>
      </c>
      <c r="L28" s="1378">
        <f>+'Costos a Sept-25'!C43</f>
        <v>0</v>
      </c>
      <c r="M28" s="1378">
        <f>+'Costos a Sept-25'!D43</f>
        <v>0</v>
      </c>
      <c r="N28" s="1378">
        <f>+'Costos a Sept-25'!E43</f>
        <v>128745.38</v>
      </c>
      <c r="O28" s="1378">
        <f>+'Costos a Sept-25'!F43</f>
        <v>552632.57999999996</v>
      </c>
      <c r="P28" s="1378">
        <f>+'Costos a Sept-25'!G43</f>
        <v>120006</v>
      </c>
      <c r="Q28" s="1378">
        <f>+'Costos a Sept-25'!H43</f>
        <v>1543136</v>
      </c>
      <c r="R28" s="1378">
        <f>+'Costos a Sept-25'!I43</f>
        <v>300</v>
      </c>
      <c r="S28" s="1378">
        <f>+'Costos a Sept-25'!J43</f>
        <v>223322.53</v>
      </c>
      <c r="T28" s="1379">
        <f>+'Costos a Sept-25'!K43</f>
        <v>1594150.23</v>
      </c>
      <c r="U28" s="1379">
        <f>+'Costos a Oct-25'!L48</f>
        <v>842419.7</v>
      </c>
      <c r="V28" s="1379">
        <f>+'Costos a Nov-25'!M46</f>
        <v>339222.22</v>
      </c>
      <c r="W28" s="1379">
        <f>+'Costos a Ene-26'!N46</f>
        <v>2546180</v>
      </c>
      <c r="X28" s="1379">
        <f>+'Costos a Ene-26'!O46</f>
        <v>517341.31</v>
      </c>
      <c r="Y28" s="1379">
        <f>+'Costos a Feb-26'!P46</f>
        <v>0</v>
      </c>
      <c r="Z28" s="1209">
        <f>SUM(U28:X28)</f>
        <v>4245163.2299999995</v>
      </c>
    </row>
    <row r="29" spans="2:26" s="1183" customFormat="1" ht="12">
      <c r="B29" s="1197" t="s">
        <v>49</v>
      </c>
      <c r="C29" s="1198">
        <f>+'ADI 09-25'!C33</f>
        <v>25000000</v>
      </c>
      <c r="D29" s="1198">
        <f>SUM(G29:I29)</f>
        <v>24401373.949999999</v>
      </c>
      <c r="E29" s="1198">
        <f>+C29-D29</f>
        <v>598626.05000000075</v>
      </c>
      <c r="F29" s="1198">
        <f>SUM(G29:J29)</f>
        <v>22557010.309999999</v>
      </c>
      <c r="G29" s="1198">
        <f>SUM(K29:Y29)</f>
        <v>24128373.949999999</v>
      </c>
      <c r="H29" s="1198"/>
      <c r="I29" s="1198">
        <f>+'Anticipos 02-26'!D3</f>
        <v>273000</v>
      </c>
      <c r="J29" s="1198">
        <f>-'CXP 02-26 RES'!H7</f>
        <v>-1844363.64</v>
      </c>
      <c r="K29" s="1378">
        <f>+'Costos a Sept-25'!B4</f>
        <v>21168315.640000001</v>
      </c>
      <c r="L29" s="1378">
        <f>+'Costos a Sept-25'!C4</f>
        <v>239349.75</v>
      </c>
      <c r="M29" s="1378">
        <f>+'Costos a Sept-25'!D4</f>
        <v>0</v>
      </c>
      <c r="N29" s="1378">
        <f>+'Costos a Sept-25'!E4</f>
        <v>146320</v>
      </c>
      <c r="O29" s="1378">
        <f>+'Costos a Sept-25'!F4</f>
        <v>108350.26</v>
      </c>
      <c r="P29" s="1378">
        <f>+'Costos a Sept-25'!G4</f>
        <v>53100</v>
      </c>
      <c r="Q29" s="1378">
        <f>+'Costos a Sept-25'!H4</f>
        <v>0</v>
      </c>
      <c r="R29" s="1378">
        <f>+'Costos a Sept-25'!I4</f>
        <v>0</v>
      </c>
      <c r="S29" s="1378">
        <f>+'Costos a Sept-25'!J4</f>
        <v>1595686.82</v>
      </c>
      <c r="T29" s="1379">
        <f>+'Costos a Sept-25'!K4</f>
        <v>87792</v>
      </c>
      <c r="U29" s="1379">
        <f>+'Costos a Oct-25'!L4</f>
        <v>310669.15000000002</v>
      </c>
      <c r="V29" s="1379">
        <f>+'Costos a Nov-25'!M4</f>
        <v>0</v>
      </c>
      <c r="W29" s="1379">
        <v>2105.11</v>
      </c>
      <c r="X29" s="1379">
        <f>+'Costos a Ene-26'!O4</f>
        <v>0</v>
      </c>
      <c r="Y29" s="1379">
        <f>+'Costos a Feb-26'!P4</f>
        <v>416685.22</v>
      </c>
      <c r="Z29" s="1209">
        <f>SUM(U29:X29)</f>
        <v>312774.26</v>
      </c>
    </row>
    <row r="30" spans="2:26" s="1183" customFormat="1" ht="12">
      <c r="B30" s="1197" t="s">
        <v>50</v>
      </c>
      <c r="C30" s="1198">
        <f>+'ADI 09-25'!C34</f>
        <v>232739209.20512</v>
      </c>
      <c r="D30" s="1198">
        <f>SUM(G30:I30)</f>
        <v>4414348</v>
      </c>
      <c r="E30" s="1198">
        <f>+C30-D30</f>
        <v>228324861.20512</v>
      </c>
      <c r="F30" s="1198">
        <f>SUM(G30:J30)</f>
        <v>4414348</v>
      </c>
      <c r="G30" s="1198">
        <f>SUM(K30:Y30)</f>
        <v>4414348</v>
      </c>
      <c r="H30" s="1198"/>
      <c r="I30" s="1198"/>
      <c r="J30" s="1198"/>
      <c r="K30" s="1378">
        <f>+'Costos a Sept-25'!B47</f>
        <v>0</v>
      </c>
      <c r="L30" s="1378">
        <f>+'Costos a Sept-25'!C47</f>
        <v>0</v>
      </c>
      <c r="M30" s="1378">
        <f>+'Costos a Sept-25'!D47</f>
        <v>0</v>
      </c>
      <c r="N30" s="1378">
        <f>+'Costos a Sept-25'!E47</f>
        <v>0</v>
      </c>
      <c r="O30" s="1378">
        <f>+'Costos a Sept-25'!F47</f>
        <v>0</v>
      </c>
      <c r="P30" s="1378">
        <f>+'Costos a Sept-25'!G47</f>
        <v>0</v>
      </c>
      <c r="Q30" s="1378">
        <f>+'Costos a Sept-25'!H47</f>
        <v>0</v>
      </c>
      <c r="R30" s="1378">
        <f>+'Costos a Sept-25'!I47</f>
        <v>0</v>
      </c>
      <c r="S30" s="1378">
        <f>+'Costos a Sept-25'!J47</f>
        <v>0</v>
      </c>
      <c r="T30" s="1379">
        <f>+'Costos a Sept-25'!K47</f>
        <v>0</v>
      </c>
      <c r="U30" s="1379">
        <f>+'Costos a Oct-25'!L51</f>
        <v>5900</v>
      </c>
      <c r="V30" s="1379">
        <f>+'Costos a Nov-25'!M50</f>
        <v>0</v>
      </c>
      <c r="W30" s="1379">
        <f>+'Costos a Ene-26'!N50</f>
        <v>4408448</v>
      </c>
      <c r="X30" s="1379">
        <f>+'Costos a Ene-26'!O50</f>
        <v>0</v>
      </c>
      <c r="Y30" s="1379">
        <f>+'Costos a Feb-26'!P50</f>
        <v>0</v>
      </c>
      <c r="Z30" s="1371">
        <f>SUM(U30:X30)</f>
        <v>4414348</v>
      </c>
    </row>
    <row r="31" spans="2:26" s="1183" customFormat="1" ht="12">
      <c r="B31" s="1197" t="s">
        <v>51</v>
      </c>
      <c r="C31" s="1198">
        <f>+'ADI 09-25'!C35</f>
        <v>19863403.175999999</v>
      </c>
      <c r="D31" s="1198">
        <f>SUM(G31:I31)</f>
        <v>0</v>
      </c>
      <c r="E31" s="1198">
        <f>+C31-D31</f>
        <v>19863403.175999999</v>
      </c>
      <c r="F31" s="1198">
        <f>SUM(G31:J31)</f>
        <v>0</v>
      </c>
      <c r="G31" s="1198">
        <f>SUM(K31:Y31)</f>
        <v>0</v>
      </c>
      <c r="H31" s="1198"/>
      <c r="I31" s="1198"/>
      <c r="J31" s="1198"/>
      <c r="K31" s="1378">
        <f>+'Costos a Sept-25'!B45</f>
        <v>0</v>
      </c>
      <c r="L31" s="1378">
        <f>+'Costos a Sept-25'!C45</f>
        <v>0</v>
      </c>
      <c r="M31" s="1378">
        <f>+'Costos a Sept-25'!D45</f>
        <v>0</v>
      </c>
      <c r="N31" s="1378">
        <f>+'Costos a Sept-25'!E45</f>
        <v>0</v>
      </c>
      <c r="O31" s="1378">
        <f>+'Costos a Sept-25'!F45</f>
        <v>0</v>
      </c>
      <c r="P31" s="1378">
        <f>+'Costos a Sept-25'!G45</f>
        <v>0</v>
      </c>
      <c r="Q31" s="1378">
        <f>+'Costos a Sept-25'!H45</f>
        <v>0</v>
      </c>
      <c r="R31" s="1378">
        <f>+'Costos a Sept-25'!I45</f>
        <v>0</v>
      </c>
      <c r="S31" s="1378">
        <f>+'Costos a Sept-25'!J45</f>
        <v>0</v>
      </c>
      <c r="T31" s="1379">
        <f>+'Costos a Sept-25'!K45</f>
        <v>0</v>
      </c>
      <c r="U31" s="1379">
        <f>+'Costos a Oct-25'!L45</f>
        <v>0</v>
      </c>
      <c r="V31" s="1379">
        <f>+'Costos a Nov-25'!M48</f>
        <v>0</v>
      </c>
      <c r="W31" s="1379">
        <f>+'Costos a Ene-26'!N48</f>
        <v>0</v>
      </c>
      <c r="X31" s="1379">
        <f>+'Costos a Ene-26'!O48</f>
        <v>0</v>
      </c>
      <c r="Y31" s="1379">
        <f>+'Costos a Feb-26'!P48</f>
        <v>0</v>
      </c>
      <c r="Z31" s="1209">
        <f>SUM(U31:X31)</f>
        <v>0</v>
      </c>
    </row>
    <row r="32" spans="2:26" s="1183" customFormat="1" ht="12">
      <c r="B32" s="1199" t="s">
        <v>52</v>
      </c>
      <c r="C32" s="1200">
        <f>SUM(C28:C31)</f>
        <v>308102612.38111997</v>
      </c>
      <c r="D32" s="1200">
        <f t="shared" ref="D32:Z32" si="9">SUM(D28:D31)</f>
        <v>50023734.159999996</v>
      </c>
      <c r="E32" s="1200">
        <f t="shared" si="9"/>
        <v>258078878.22112</v>
      </c>
      <c r="F32" s="1200">
        <f t="shared" si="9"/>
        <v>48179370.519999996</v>
      </c>
      <c r="G32" s="1200">
        <f t="shared" si="9"/>
        <v>49665562.279999994</v>
      </c>
      <c r="H32" s="1200">
        <f t="shared" si="9"/>
        <v>0</v>
      </c>
      <c r="I32" s="1200">
        <f t="shared" si="9"/>
        <v>358171.88</v>
      </c>
      <c r="J32" s="1200">
        <f t="shared" si="9"/>
        <v>-1844363.64</v>
      </c>
      <c r="K32" s="1380">
        <f t="shared" si="9"/>
        <v>33883700.019999996</v>
      </c>
      <c r="L32" s="1380">
        <f t="shared" si="9"/>
        <v>239349.75</v>
      </c>
      <c r="M32" s="1380">
        <f t="shared" si="9"/>
        <v>0</v>
      </c>
      <c r="N32" s="1380">
        <f t="shared" si="9"/>
        <v>275065.38</v>
      </c>
      <c r="O32" s="1380">
        <f t="shared" si="9"/>
        <v>660982.84</v>
      </c>
      <c r="P32" s="1380">
        <f t="shared" si="9"/>
        <v>173106</v>
      </c>
      <c r="Q32" s="1380">
        <f t="shared" si="9"/>
        <v>1543136</v>
      </c>
      <c r="R32" s="1380">
        <f t="shared" si="9"/>
        <v>300</v>
      </c>
      <c r="S32" s="1380">
        <f t="shared" si="9"/>
        <v>1819009.35</v>
      </c>
      <c r="T32" s="1381">
        <f t="shared" si="9"/>
        <v>1681942.23</v>
      </c>
      <c r="U32" s="1381">
        <f t="shared" si="9"/>
        <v>1158988.8500000001</v>
      </c>
      <c r="V32" s="1381">
        <f t="shared" si="9"/>
        <v>339222.22</v>
      </c>
      <c r="W32" s="1381">
        <f t="shared" si="9"/>
        <v>6956733.1099999994</v>
      </c>
      <c r="X32" s="1381">
        <f t="shared" si="9"/>
        <v>517341.31</v>
      </c>
      <c r="Y32" s="1381">
        <f t="shared" ref="Y32" si="10">SUM(Y28:Y31)</f>
        <v>416685.22</v>
      </c>
      <c r="Z32" s="1210">
        <f t="shared" si="9"/>
        <v>8972285.4899999984</v>
      </c>
    </row>
    <row r="33" spans="2:26" s="1183" customFormat="1" ht="12">
      <c r="B33" s="1202" t="s">
        <v>53</v>
      </c>
      <c r="C33" s="1203">
        <f t="shared" ref="C33:Z33" si="11">+C14+C21+C27+C32</f>
        <v>3428528420.3315516</v>
      </c>
      <c r="D33" s="1203">
        <f t="shared" si="11"/>
        <v>535362700.88999999</v>
      </c>
      <c r="E33" s="1203">
        <f t="shared" si="11"/>
        <v>2893165719.4415522</v>
      </c>
      <c r="F33" s="1203">
        <f t="shared" si="11"/>
        <v>524565408.89999992</v>
      </c>
      <c r="G33" s="1203">
        <f t="shared" si="11"/>
        <v>534287452.44999993</v>
      </c>
      <c r="H33" s="1203">
        <f t="shared" si="11"/>
        <v>278099.52</v>
      </c>
      <c r="I33" s="1203">
        <f t="shared" si="11"/>
        <v>797148.91999999993</v>
      </c>
      <c r="J33" s="1203">
        <f t="shared" si="11"/>
        <v>-10797291.989999998</v>
      </c>
      <c r="K33" s="1382">
        <f t="shared" si="11"/>
        <v>151080073.93000001</v>
      </c>
      <c r="L33" s="1382">
        <f t="shared" si="11"/>
        <v>2968703.3</v>
      </c>
      <c r="M33" s="1382">
        <f t="shared" si="11"/>
        <v>2613690.2399999998</v>
      </c>
      <c r="N33" s="1382">
        <f t="shared" si="11"/>
        <v>2895724.79</v>
      </c>
      <c r="O33" s="1382">
        <f t="shared" si="11"/>
        <v>7649161.7599999998</v>
      </c>
      <c r="P33" s="1382">
        <f t="shared" si="11"/>
        <v>6705088.7199999997</v>
      </c>
      <c r="Q33" s="1382">
        <f t="shared" si="11"/>
        <v>10036771</v>
      </c>
      <c r="R33" s="1382">
        <f t="shared" si="11"/>
        <v>19175567.920000002</v>
      </c>
      <c r="S33" s="1382">
        <f t="shared" si="11"/>
        <v>195778925.68999997</v>
      </c>
      <c r="T33" s="1383">
        <f t="shared" si="11"/>
        <v>19508128.399999999</v>
      </c>
      <c r="U33" s="1383">
        <f t="shared" si="11"/>
        <v>20646777.380000003</v>
      </c>
      <c r="V33" s="1383">
        <f t="shared" si="11"/>
        <v>23609624.669999998</v>
      </c>
      <c r="W33" s="1383">
        <f t="shared" si="11"/>
        <v>34305645.439999998</v>
      </c>
      <c r="X33" s="1383">
        <f t="shared" si="11"/>
        <v>13981426.51</v>
      </c>
      <c r="Y33" s="1383">
        <f t="shared" ref="Y33" si="12">+Y14+Y21+Y27+Y32</f>
        <v>23332142.700000003</v>
      </c>
      <c r="Z33" s="1211">
        <f t="shared" si="11"/>
        <v>92543474</v>
      </c>
    </row>
    <row r="34" spans="2:26" s="1183" customFormat="1" ht="12">
      <c r="B34" s="1267" t="s">
        <v>1922</v>
      </c>
      <c r="C34" s="1268"/>
      <c r="D34" s="1268"/>
      <c r="E34" s="1268"/>
      <c r="F34" s="1268"/>
      <c r="G34" s="1268"/>
      <c r="H34" s="1268"/>
      <c r="I34" s="1268"/>
      <c r="J34" s="1268"/>
      <c r="K34" s="1205"/>
      <c r="U34" s="1435"/>
      <c r="V34" s="1435"/>
      <c r="W34" s="1627"/>
      <c r="X34" s="1627"/>
      <c r="Y34" s="1627"/>
    </row>
    <row r="35" spans="2:26" s="1183" customFormat="1" ht="12">
      <c r="C35" s="1188"/>
      <c r="D35" s="1206">
        <f t="shared" ref="D35" si="13">+D33-D14</f>
        <v>270917620.73000002</v>
      </c>
      <c r="E35" s="1206"/>
      <c r="F35" s="1206">
        <f>+F33-F14</f>
        <v>260120328.73999995</v>
      </c>
      <c r="G35" s="1206">
        <f>+G33-G34</f>
        <v>534287452.44999993</v>
      </c>
      <c r="H35" s="1206">
        <f>+H33-H34</f>
        <v>278099.52</v>
      </c>
      <c r="I35" s="1206">
        <f t="shared" ref="I35" si="14">+I33-I34</f>
        <v>797148.91999999993</v>
      </c>
      <c r="J35" s="1206">
        <f>+'CXP 02-26 RES'!H19</f>
        <v>10797291.989999998</v>
      </c>
      <c r="K35" s="1204"/>
      <c r="L35" s="1204"/>
      <c r="M35" s="1204"/>
      <c r="N35" s="1204"/>
      <c r="O35" s="1204"/>
      <c r="P35" s="1204"/>
      <c r="Q35" s="1204"/>
      <c r="R35" s="1204"/>
      <c r="S35" s="1204"/>
      <c r="T35" s="1204"/>
      <c r="U35" s="1204"/>
      <c r="V35" s="1204"/>
      <c r="W35" s="1204"/>
      <c r="X35" s="1204"/>
      <c r="Y35" s="1204"/>
    </row>
    <row r="36" spans="2:26" s="1183" customFormat="1" ht="12">
      <c r="B36" s="1205"/>
      <c r="C36" s="1207"/>
      <c r="D36" s="1204">
        <f>+D33-G33</f>
        <v>1075248.4400000572</v>
      </c>
      <c r="E36" s="1204"/>
      <c r="J36" s="1627">
        <f>+J33+J35</f>
        <v>0</v>
      </c>
    </row>
  </sheetData>
  <mergeCells count="3">
    <mergeCell ref="B3:C3"/>
    <mergeCell ref="D10:J10"/>
    <mergeCell ref="B11:C11"/>
  </mergeCells>
  <hyperlinks>
    <hyperlink ref="F1" r:id="rId1" xr:uid="{9B7941DF-E1E2-4F9E-BACB-C6211AB7E5CF}"/>
  </hyperlinks>
  <pageMargins left="0.5" right="0.69" top="0.92" bottom="1" header="0" footer="0"/>
  <pageSetup scale="38" orientation="landscape" r:id="rId2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3756-C5E5-49C5-8F37-A4DAFB843FA0}">
  <dimension ref="A3:AG37"/>
  <sheetViews>
    <sheetView showGridLines="0" workbookViewId="0">
      <selection activeCell="AE21" sqref="AE21"/>
    </sheetView>
  </sheetViews>
  <sheetFormatPr baseColWidth="10" defaultColWidth="11.44140625" defaultRowHeight="14.4"/>
  <cols>
    <col min="1" max="1" width="25.33203125" customWidth="1"/>
    <col min="2" max="2" width="11.5546875" hidden="1" customWidth="1"/>
    <col min="3" max="3" width="13.88671875" bestFit="1" customWidth="1"/>
    <col min="4" max="4" width="13.6640625" hidden="1" customWidth="1"/>
    <col min="5" max="5" width="14.33203125" bestFit="1" customWidth="1"/>
    <col min="6" max="6" width="7.33203125" style="181" bestFit="1" customWidth="1"/>
    <col min="7" max="8" width="11.5546875" hidden="1" customWidth="1"/>
    <col min="9" max="9" width="10.5546875" customWidth="1"/>
    <col min="10" max="10" width="13.109375" hidden="1" customWidth="1"/>
    <col min="11" max="11" width="4.6640625" hidden="1" customWidth="1"/>
    <col min="12" max="16" width="8.88671875" hidden="1" customWidth="1"/>
    <col min="17" max="17" width="10.44140625" hidden="1" customWidth="1"/>
    <col min="18" max="18" width="10.33203125" hidden="1" customWidth="1"/>
    <col min="19" max="20" width="10.44140625" hidden="1" customWidth="1"/>
    <col min="21" max="28" width="10.6640625" customWidth="1"/>
    <col min="29" max="29" width="11.44140625" bestFit="1" customWidth="1"/>
    <col min="30" max="30" width="13" customWidth="1"/>
  </cols>
  <sheetData>
    <row r="3" spans="1:33" ht="15.6">
      <c r="A3" s="1508" t="s">
        <v>2109</v>
      </c>
      <c r="B3" s="1505"/>
      <c r="C3" s="1505"/>
      <c r="D3" s="1505"/>
      <c r="E3" s="1505"/>
      <c r="F3" s="1506"/>
      <c r="G3" s="1505"/>
      <c r="H3" s="1505"/>
      <c r="I3" s="1505"/>
      <c r="J3" s="1505"/>
      <c r="K3" s="1505"/>
      <c r="L3" s="1505"/>
      <c r="AD3" s="1507"/>
    </row>
    <row r="4" spans="1:33">
      <c r="A4" s="1509"/>
      <c r="B4" s="1510"/>
      <c r="C4" s="1510"/>
      <c r="D4" s="1510"/>
      <c r="E4" s="1510"/>
      <c r="F4" s="1511"/>
      <c r="G4" s="1510"/>
      <c r="H4" s="1510"/>
      <c r="I4" s="1510"/>
      <c r="J4" s="1510"/>
      <c r="K4" s="1510"/>
      <c r="L4" s="1510"/>
      <c r="AD4" s="1507"/>
    </row>
    <row r="5" spans="1:33" ht="15" thickBot="1">
      <c r="A5" s="1504"/>
      <c r="B5" s="1510"/>
      <c r="C5" s="1510"/>
      <c r="D5" s="1510"/>
      <c r="E5" s="1510"/>
      <c r="F5" s="1511"/>
      <c r="G5" s="1510"/>
      <c r="H5" s="1510"/>
      <c r="I5" s="1510"/>
      <c r="J5" s="1510"/>
      <c r="K5" s="1510"/>
      <c r="L5" s="1510"/>
      <c r="AD5" s="1512"/>
    </row>
    <row r="6" spans="1:33" s="455" customFormat="1" ht="28.8">
      <c r="A6" s="1545" t="s">
        <v>2110</v>
      </c>
      <c r="B6" s="1546" t="s">
        <v>2111</v>
      </c>
      <c r="C6" s="1579" t="s">
        <v>2126</v>
      </c>
      <c r="D6" s="1579" t="s">
        <v>2127</v>
      </c>
      <c r="E6" s="1579" t="s">
        <v>2112</v>
      </c>
      <c r="F6" s="1546" t="s">
        <v>1298</v>
      </c>
      <c r="G6" s="1546" t="s">
        <v>2113</v>
      </c>
      <c r="H6" s="1546" t="s">
        <v>2114</v>
      </c>
      <c r="I6" s="1619" t="s">
        <v>2115</v>
      </c>
      <c r="J6" s="1546" t="s">
        <v>2116</v>
      </c>
      <c r="K6" s="1546" t="s">
        <v>2117</v>
      </c>
      <c r="L6" s="1547">
        <v>45748</v>
      </c>
      <c r="M6" s="1547">
        <v>45778</v>
      </c>
      <c r="N6" s="1547">
        <v>45809</v>
      </c>
      <c r="O6" s="1547">
        <v>45839</v>
      </c>
      <c r="P6" s="1547">
        <v>45870</v>
      </c>
      <c r="Q6" s="1547">
        <v>45901</v>
      </c>
      <c r="R6" s="1547">
        <v>45931</v>
      </c>
      <c r="S6" s="1547">
        <v>45962</v>
      </c>
      <c r="T6" s="1547">
        <v>45992</v>
      </c>
      <c r="U6" s="1548" t="s">
        <v>2438</v>
      </c>
      <c r="V6" s="1547">
        <v>46023</v>
      </c>
      <c r="W6" s="1547">
        <v>46054</v>
      </c>
      <c r="X6" s="1547">
        <v>46082</v>
      </c>
      <c r="Y6" s="1547">
        <v>46113</v>
      </c>
      <c r="Z6" s="1547">
        <v>46143</v>
      </c>
      <c r="AA6" s="1547">
        <v>46174</v>
      </c>
      <c r="AB6" s="1547">
        <v>46204</v>
      </c>
      <c r="AC6" s="1549" t="s">
        <v>2203</v>
      </c>
      <c r="AD6" s="1534" t="s">
        <v>2120</v>
      </c>
    </row>
    <row r="7" spans="1:33" s="455" customFormat="1" hidden="1">
      <c r="A7" s="1535" t="s">
        <v>1786</v>
      </c>
      <c r="B7" s="1536" t="s">
        <v>2122</v>
      </c>
      <c r="C7" s="1540">
        <v>15000000</v>
      </c>
      <c r="D7" s="1540">
        <v>15000000</v>
      </c>
      <c r="E7" s="1540">
        <v>0</v>
      </c>
      <c r="F7" s="1538">
        <v>0.1595</v>
      </c>
      <c r="G7" s="1537">
        <f t="shared" ref="G7:G12" si="0">+E7*F7/360*30</f>
        <v>0</v>
      </c>
      <c r="H7" s="1539">
        <v>45757</v>
      </c>
      <c r="I7" s="1539">
        <v>45761</v>
      </c>
      <c r="J7" s="1539">
        <v>45777</v>
      </c>
      <c r="K7" s="1540">
        <f t="shared" ref="K7:K12" si="1">+J7-I7</f>
        <v>16</v>
      </c>
      <c r="L7" s="1540">
        <f>+E7*F7/360*K7</f>
        <v>0</v>
      </c>
      <c r="M7" s="630">
        <f>+G7</f>
        <v>0</v>
      </c>
      <c r="N7" s="630">
        <f>+M7</f>
        <v>0</v>
      </c>
      <c r="O7" s="630">
        <f>+N7</f>
        <v>0</v>
      </c>
      <c r="P7" s="630">
        <f>+O7</f>
        <v>0</v>
      </c>
      <c r="Q7" s="630">
        <f>+P7</f>
        <v>0</v>
      </c>
      <c r="R7" s="630">
        <f>+Q7</f>
        <v>0</v>
      </c>
      <c r="S7" s="630">
        <v>199375</v>
      </c>
      <c r="T7" s="768">
        <f t="shared" ref="T7:T12" si="2">((+(E7*F7)/12)/30)*22</f>
        <v>0</v>
      </c>
      <c r="U7" s="630">
        <f>SUM(L7:T7)</f>
        <v>199375</v>
      </c>
      <c r="V7" s="630"/>
      <c r="W7" s="630"/>
      <c r="X7" s="630"/>
      <c r="Y7" s="630"/>
      <c r="Z7" s="630"/>
      <c r="AA7" s="630"/>
      <c r="AB7" s="630"/>
      <c r="AC7" s="1552">
        <f t="shared" ref="AC7:AC12" si="3">SUM(U7:X7)</f>
        <v>199375</v>
      </c>
      <c r="AD7" s="1513">
        <v>45939</v>
      </c>
    </row>
    <row r="8" spans="1:33" s="455" customFormat="1" hidden="1">
      <c r="A8" s="1535" t="s">
        <v>1786</v>
      </c>
      <c r="B8" s="1536" t="s">
        <v>2122</v>
      </c>
      <c r="C8" s="1540">
        <v>7200000</v>
      </c>
      <c r="D8" s="1540">
        <v>7200000</v>
      </c>
      <c r="E8" s="1540">
        <v>0</v>
      </c>
      <c r="F8" s="1538">
        <v>0.1595</v>
      </c>
      <c r="G8" s="1537">
        <f t="shared" si="0"/>
        <v>0</v>
      </c>
      <c r="H8" s="1539">
        <v>45792</v>
      </c>
      <c r="I8" s="1539">
        <v>45792</v>
      </c>
      <c r="J8" s="1539">
        <v>45808</v>
      </c>
      <c r="K8" s="1540">
        <f t="shared" si="1"/>
        <v>16</v>
      </c>
      <c r="L8" s="1540"/>
      <c r="M8" s="630">
        <f>+E8*F8/360*K8</f>
        <v>0</v>
      </c>
      <c r="N8" s="630">
        <f>+G8</f>
        <v>0</v>
      </c>
      <c r="O8" s="630">
        <f>+G8</f>
        <v>0</v>
      </c>
      <c r="P8" s="630">
        <f>+G8</f>
        <v>0</v>
      </c>
      <c r="Q8" s="630">
        <f>+P8</f>
        <v>0</v>
      </c>
      <c r="R8" s="630">
        <f>+Q8</f>
        <v>0</v>
      </c>
      <c r="S8" s="630">
        <v>95700</v>
      </c>
      <c r="T8" s="768">
        <f t="shared" si="2"/>
        <v>0</v>
      </c>
      <c r="U8" s="630">
        <f t="shared" ref="U8:U12" si="4">SUM(L8:T8)</f>
        <v>95700</v>
      </c>
      <c r="V8" s="630"/>
      <c r="W8" s="630"/>
      <c r="X8" s="630"/>
      <c r="Y8" s="630"/>
      <c r="Z8" s="630"/>
      <c r="AA8" s="630"/>
      <c r="AB8" s="630"/>
      <c r="AC8" s="1552">
        <f t="shared" si="3"/>
        <v>95700</v>
      </c>
      <c r="AD8" s="1513">
        <v>45939</v>
      </c>
      <c r="AG8" s="455">
        <f>250-85</f>
        <v>165</v>
      </c>
    </row>
    <row r="9" spans="1:33" s="455" customFormat="1" hidden="1">
      <c r="A9" s="1535" t="s">
        <v>1786</v>
      </c>
      <c r="B9" s="1536" t="s">
        <v>2122</v>
      </c>
      <c r="C9" s="1540">
        <v>12000000</v>
      </c>
      <c r="D9" s="1540">
        <v>12000000</v>
      </c>
      <c r="E9" s="1540">
        <v>0</v>
      </c>
      <c r="F9" s="1538">
        <v>0.1595</v>
      </c>
      <c r="G9" s="1537">
        <f t="shared" si="0"/>
        <v>0</v>
      </c>
      <c r="H9" s="1539">
        <v>45820</v>
      </c>
      <c r="I9" s="1539">
        <v>45820</v>
      </c>
      <c r="J9" s="1539">
        <v>45838</v>
      </c>
      <c r="K9" s="1540">
        <f t="shared" si="1"/>
        <v>18</v>
      </c>
      <c r="L9" s="1540"/>
      <c r="M9" s="630"/>
      <c r="N9" s="630">
        <f>+E9*F9/360*K9</f>
        <v>0</v>
      </c>
      <c r="O9" s="630">
        <f>+E9*F9/360*31</f>
        <v>0</v>
      </c>
      <c r="P9" s="630">
        <f>+O9</f>
        <v>0</v>
      </c>
      <c r="Q9" s="630">
        <f>+P9</f>
        <v>0</v>
      </c>
      <c r="R9" s="630">
        <f>+Q9</f>
        <v>0</v>
      </c>
      <c r="S9" s="630">
        <v>164816.66666666669</v>
      </c>
      <c r="T9" s="768">
        <f t="shared" si="2"/>
        <v>0</v>
      </c>
      <c r="U9" s="630">
        <f t="shared" si="4"/>
        <v>164816.66666666669</v>
      </c>
      <c r="V9" s="630"/>
      <c r="W9" s="630"/>
      <c r="X9" s="630"/>
      <c r="Y9" s="630"/>
      <c r="Z9" s="630"/>
      <c r="AA9" s="630"/>
      <c r="AB9" s="630"/>
      <c r="AC9" s="1552">
        <f t="shared" si="3"/>
        <v>164816.66666666669</v>
      </c>
      <c r="AD9" s="1513">
        <v>45939</v>
      </c>
      <c r="AG9" s="455">
        <f>320-160</f>
        <v>160</v>
      </c>
    </row>
    <row r="10" spans="1:33" s="455" customFormat="1" hidden="1">
      <c r="A10" s="1535" t="s">
        <v>1786</v>
      </c>
      <c r="B10" s="1536" t="s">
        <v>2121</v>
      </c>
      <c r="C10" s="1540">
        <f>11000000</f>
        <v>11000000</v>
      </c>
      <c r="D10" s="1540">
        <v>11000000</v>
      </c>
      <c r="E10" s="1540">
        <v>0</v>
      </c>
      <c r="F10" s="1538">
        <v>0.19</v>
      </c>
      <c r="G10" s="1537">
        <f t="shared" si="0"/>
        <v>0</v>
      </c>
      <c r="H10" s="1539">
        <v>45847</v>
      </c>
      <c r="I10" s="1539">
        <v>45854</v>
      </c>
      <c r="J10" s="1539">
        <v>45869</v>
      </c>
      <c r="K10" s="1540">
        <f t="shared" si="1"/>
        <v>15</v>
      </c>
      <c r="L10" s="1540"/>
      <c r="M10" s="630"/>
      <c r="N10" s="630"/>
      <c r="O10" s="630">
        <v>87083.33</v>
      </c>
      <c r="P10" s="630">
        <v>174166.67</v>
      </c>
      <c r="Q10" s="630">
        <v>174166.67</v>
      </c>
      <c r="R10" s="630">
        <f>((11000000*19%)/360)*7+((6000000*19%)/360)*23</f>
        <v>113472.22222222222</v>
      </c>
      <c r="S10" s="630">
        <f>+E10*F10/12</f>
        <v>0</v>
      </c>
      <c r="T10" s="768">
        <f t="shared" si="2"/>
        <v>0</v>
      </c>
      <c r="U10" s="630">
        <f t="shared" si="4"/>
        <v>548888.89222222229</v>
      </c>
      <c r="V10" s="630"/>
      <c r="W10" s="630"/>
      <c r="X10" s="630"/>
      <c r="Y10" s="630"/>
      <c r="Z10" s="630"/>
      <c r="AA10" s="630"/>
      <c r="AB10" s="630"/>
      <c r="AC10" s="1552">
        <f t="shared" si="3"/>
        <v>548888.89222222229</v>
      </c>
      <c r="AD10" s="1513">
        <v>45923</v>
      </c>
      <c r="AG10" s="455">
        <f>250-85</f>
        <v>165</v>
      </c>
    </row>
    <row r="11" spans="1:33" s="455" customFormat="1" hidden="1">
      <c r="A11" s="1535" t="s">
        <v>1786</v>
      </c>
      <c r="B11" s="1536" t="s">
        <v>2121</v>
      </c>
      <c r="C11" s="1540">
        <v>2815000</v>
      </c>
      <c r="D11" s="1540">
        <v>2815000</v>
      </c>
      <c r="E11" s="1540">
        <v>0</v>
      </c>
      <c r="F11" s="1538">
        <v>0.19</v>
      </c>
      <c r="G11" s="1537">
        <f t="shared" si="0"/>
        <v>0</v>
      </c>
      <c r="H11" s="1539">
        <v>45847</v>
      </c>
      <c r="I11" s="1539">
        <v>45862</v>
      </c>
      <c r="J11" s="1539">
        <v>45869</v>
      </c>
      <c r="K11" s="1540">
        <f t="shared" si="1"/>
        <v>7</v>
      </c>
      <c r="L11" s="1540"/>
      <c r="M11" s="630"/>
      <c r="N11" s="630"/>
      <c r="O11" s="630">
        <f>+E11*F11/360*K11</f>
        <v>0</v>
      </c>
      <c r="P11" s="630">
        <f>+G11</f>
        <v>0</v>
      </c>
      <c r="Q11" s="630">
        <f>+P11</f>
        <v>0</v>
      </c>
      <c r="R11" s="630">
        <f>+Q11</f>
        <v>0</v>
      </c>
      <c r="S11" s="630">
        <v>44570.833333333328</v>
      </c>
      <c r="T11" s="768">
        <f t="shared" si="2"/>
        <v>0</v>
      </c>
      <c r="U11" s="630">
        <f t="shared" si="4"/>
        <v>44570.833333333328</v>
      </c>
      <c r="V11" s="630"/>
      <c r="W11" s="630"/>
      <c r="X11" s="630"/>
      <c r="Y11" s="630"/>
      <c r="Z11" s="630"/>
      <c r="AA11" s="630"/>
      <c r="AB11" s="630"/>
      <c r="AC11" s="1552">
        <f t="shared" si="3"/>
        <v>44570.833333333328</v>
      </c>
      <c r="AD11" s="1513">
        <v>45923</v>
      </c>
    </row>
    <row r="12" spans="1:33" s="455" customFormat="1" hidden="1">
      <c r="A12" s="1535" t="s">
        <v>1786</v>
      </c>
      <c r="B12" s="1536" t="s">
        <v>2121</v>
      </c>
      <c r="C12" s="1540">
        <v>1185000</v>
      </c>
      <c r="D12" s="1540">
        <v>1185000</v>
      </c>
      <c r="E12" s="1540">
        <v>0</v>
      </c>
      <c r="F12" s="1538">
        <v>0.19</v>
      </c>
      <c r="G12" s="1537">
        <f t="shared" si="0"/>
        <v>0</v>
      </c>
      <c r="H12" s="1539">
        <v>45847</v>
      </c>
      <c r="I12" s="1539">
        <v>45862</v>
      </c>
      <c r="J12" s="1539">
        <v>45869</v>
      </c>
      <c r="K12" s="1540">
        <f t="shared" si="1"/>
        <v>7</v>
      </c>
      <c r="L12" s="1540"/>
      <c r="M12" s="630"/>
      <c r="N12" s="630"/>
      <c r="O12" s="630">
        <f>+E12*F12/360*K12</f>
        <v>0</v>
      </c>
      <c r="P12" s="630">
        <f>+G12</f>
        <v>0</v>
      </c>
      <c r="Q12" s="630">
        <f>+P12</f>
        <v>0</v>
      </c>
      <c r="R12" s="630">
        <f>+Q12</f>
        <v>0</v>
      </c>
      <c r="S12" s="630">
        <v>18762.5</v>
      </c>
      <c r="T12" s="768">
        <f t="shared" si="2"/>
        <v>0</v>
      </c>
      <c r="U12" s="630">
        <f t="shared" si="4"/>
        <v>18762.5</v>
      </c>
      <c r="V12" s="630"/>
      <c r="W12" s="630"/>
      <c r="X12" s="630"/>
      <c r="Y12" s="630"/>
      <c r="Z12" s="630"/>
      <c r="AA12" s="630"/>
      <c r="AB12" s="630"/>
      <c r="AC12" s="1552">
        <f t="shared" si="3"/>
        <v>18762.5</v>
      </c>
      <c r="AD12" s="1513"/>
    </row>
    <row r="13" spans="1:33" s="1472" customFormat="1" ht="18" hidden="1" customHeight="1" thickBot="1">
      <c r="A13" s="1580" t="s">
        <v>1790</v>
      </c>
      <c r="B13" s="1581"/>
      <c r="C13" s="1582">
        <f>SUM(C7:C12)</f>
        <v>49200000</v>
      </c>
      <c r="D13" s="1582">
        <f>SUM(D7:D12)</f>
        <v>49200000</v>
      </c>
      <c r="E13" s="1582">
        <f>SUM(E7:E12)</f>
        <v>0</v>
      </c>
      <c r="F13" s="1583"/>
      <c r="G13" s="1584">
        <f>SUM(G7:G12)</f>
        <v>0</v>
      </c>
      <c r="H13" s="1581"/>
      <c r="I13" s="1581"/>
      <c r="J13" s="1581"/>
      <c r="K13" s="1581"/>
      <c r="L13" s="1582">
        <f t="shared" ref="L13:T13" si="5">SUM(L7:L12)</f>
        <v>0</v>
      </c>
      <c r="M13" s="1582">
        <f t="shared" si="5"/>
        <v>0</v>
      </c>
      <c r="N13" s="1582">
        <f t="shared" si="5"/>
        <v>0</v>
      </c>
      <c r="O13" s="1582">
        <f t="shared" si="5"/>
        <v>87083.33</v>
      </c>
      <c r="P13" s="1582">
        <f t="shared" si="5"/>
        <v>174166.67</v>
      </c>
      <c r="Q13" s="1582">
        <f t="shared" si="5"/>
        <v>174166.67</v>
      </c>
      <c r="R13" s="1582">
        <f t="shared" si="5"/>
        <v>113472.22222222222</v>
      </c>
      <c r="S13" s="1582">
        <f t="shared" si="5"/>
        <v>523225</v>
      </c>
      <c r="T13" s="1582">
        <f t="shared" si="5"/>
        <v>0</v>
      </c>
      <c r="U13" s="1582"/>
      <c r="V13" s="1582">
        <f>SUM(V7:V12)</f>
        <v>0</v>
      </c>
      <c r="W13" s="1582">
        <f>SUM(W7:W12)</f>
        <v>0</v>
      </c>
      <c r="X13" s="1582">
        <f>SUM(X7:X12)</f>
        <v>0</v>
      </c>
      <c r="Y13" s="1582">
        <f t="shared" ref="Y13:AA13" si="6">SUM(Y7:Y12)</f>
        <v>0</v>
      </c>
      <c r="Z13" s="1582">
        <f t="shared" si="6"/>
        <v>0</v>
      </c>
      <c r="AA13" s="1582">
        <f t="shared" si="6"/>
        <v>0</v>
      </c>
      <c r="AB13" s="1582">
        <f t="shared" ref="AB13" si="7">SUM(AB7:AB12)</f>
        <v>0</v>
      </c>
      <c r="AC13" s="1551"/>
    </row>
    <row r="14" spans="1:33" s="455" customFormat="1">
      <c r="A14" s="1535" t="s">
        <v>2123</v>
      </c>
      <c r="B14" s="1536"/>
      <c r="C14" s="1620">
        <v>25000000</v>
      </c>
      <c r="D14" s="1620"/>
      <c r="E14" s="1620">
        <f>+C14-D14</f>
        <v>25000000</v>
      </c>
      <c r="F14" s="1538">
        <v>0.18</v>
      </c>
      <c r="G14" s="1537"/>
      <c r="H14" s="1539"/>
      <c r="I14" s="1539">
        <v>45905</v>
      </c>
      <c r="J14" s="1539"/>
      <c r="K14" s="1540"/>
      <c r="L14" s="1540"/>
      <c r="M14" s="630"/>
      <c r="N14" s="630"/>
      <c r="O14" s="630"/>
      <c r="P14" s="630"/>
      <c r="Q14" s="630">
        <f>(($C14*$F14)/360)*25</f>
        <v>312500</v>
      </c>
      <c r="R14" s="630">
        <f>(($C14*$F14)/360)*30</f>
        <v>375000</v>
      </c>
      <c r="S14" s="630">
        <f t="shared" ref="S14:AB28" si="8">(($C14*$F14)/360)*30</f>
        <v>375000</v>
      </c>
      <c r="T14" s="630">
        <f t="shared" si="8"/>
        <v>375000</v>
      </c>
      <c r="U14" s="630">
        <f>SUM(Q14:T14)</f>
        <v>1437500</v>
      </c>
      <c r="V14" s="630">
        <f>(($C14*$F14)/360)*31</f>
        <v>387500</v>
      </c>
      <c r="W14" s="630">
        <f>(($C14*$F14)/360)*30</f>
        <v>375000</v>
      </c>
      <c r="X14" s="630">
        <f>(($C14*$F14)/360)*12</f>
        <v>150000</v>
      </c>
      <c r="Y14" s="630"/>
      <c r="Z14" s="630"/>
      <c r="AA14" s="630"/>
      <c r="AB14" s="630"/>
      <c r="AC14" s="1552">
        <f>SUM(U14:AB14)</f>
        <v>2350000</v>
      </c>
      <c r="AD14" s="1513"/>
    </row>
    <row r="15" spans="1:33" s="455" customFormat="1">
      <c r="A15" s="1535" t="s">
        <v>2123</v>
      </c>
      <c r="B15" s="1536"/>
      <c r="C15" s="1620">
        <v>30184227.399999999</v>
      </c>
      <c r="D15" s="1620"/>
      <c r="E15" s="1620">
        <f t="shared" ref="E15:E21" si="9">+C15-D15</f>
        <v>30184227.399999999</v>
      </c>
      <c r="F15" s="1538">
        <v>0.18</v>
      </c>
      <c r="G15" s="1537"/>
      <c r="H15" s="1539"/>
      <c r="I15" s="1539">
        <v>45926</v>
      </c>
      <c r="J15" s="1539"/>
      <c r="K15" s="1540"/>
      <c r="L15" s="1540"/>
      <c r="M15" s="630"/>
      <c r="N15" s="630"/>
      <c r="O15" s="630"/>
      <c r="P15" s="630"/>
      <c r="Q15" s="630">
        <f>(($C15*$F15)/360)*4</f>
        <v>60368.454799999992</v>
      </c>
      <c r="R15" s="630">
        <f>(($C15*$F15)/360)*30</f>
        <v>452763.41099999996</v>
      </c>
      <c r="S15" s="630">
        <f t="shared" si="8"/>
        <v>452763.41099999996</v>
      </c>
      <c r="T15" s="630">
        <f t="shared" si="8"/>
        <v>452763.41099999996</v>
      </c>
      <c r="U15" s="630">
        <f t="shared" ref="U15:U19" si="10">SUM(Q15:T15)</f>
        <v>1418658.6878</v>
      </c>
      <c r="V15" s="630">
        <f>(($C15*$F15)/360)*31</f>
        <v>467855.52469999995</v>
      </c>
      <c r="W15" s="630">
        <f>(($C15*$F15)/360)*30</f>
        <v>452763.41099999996</v>
      </c>
      <c r="X15" s="630">
        <f>(($C15*$F15)/360)*12</f>
        <v>181105.36439999996</v>
      </c>
      <c r="Y15" s="630"/>
      <c r="Z15" s="630"/>
      <c r="AA15" s="630"/>
      <c r="AB15" s="630"/>
      <c r="AC15" s="1552">
        <f t="shared" ref="AC15:AC21" si="11">SUM(U15:AB15)</f>
        <v>2520382.9878999996</v>
      </c>
      <c r="AD15" s="1513"/>
    </row>
    <row r="16" spans="1:33" s="455" customFormat="1" hidden="1">
      <c r="A16" s="1535"/>
      <c r="B16" s="1536"/>
      <c r="C16" s="1620"/>
      <c r="D16" s="1620"/>
      <c r="E16" s="1620"/>
      <c r="F16" s="1538"/>
      <c r="G16" s="1537"/>
      <c r="H16" s="1539"/>
      <c r="I16" s="1539"/>
      <c r="J16" s="1539"/>
      <c r="K16" s="1540"/>
      <c r="L16" s="1540"/>
      <c r="M16" s="630"/>
      <c r="N16" s="630"/>
      <c r="O16" s="630"/>
      <c r="P16" s="630"/>
      <c r="Q16" s="630"/>
      <c r="R16" s="630"/>
      <c r="S16" s="630"/>
      <c r="T16" s="630"/>
      <c r="U16" s="630"/>
      <c r="V16" s="630"/>
      <c r="W16" s="630"/>
      <c r="X16" s="630"/>
      <c r="Y16" s="630"/>
      <c r="Z16" s="630"/>
      <c r="AA16" s="630"/>
      <c r="AB16" s="630"/>
      <c r="AC16" s="1552">
        <f t="shared" si="11"/>
        <v>0</v>
      </c>
      <c r="AD16" s="1513"/>
      <c r="AE16" s="455" t="s">
        <v>2340</v>
      </c>
    </row>
    <row r="17" spans="1:31" hidden="1">
      <c r="A17" s="753"/>
      <c r="C17" s="1016"/>
      <c r="D17" s="1016"/>
      <c r="E17" s="1016"/>
      <c r="AC17" s="1552">
        <f t="shared" si="11"/>
        <v>0</v>
      </c>
    </row>
    <row r="18" spans="1:31" s="455" customFormat="1">
      <c r="A18" s="1535" t="s">
        <v>2123</v>
      </c>
      <c r="B18" s="1541"/>
      <c r="C18" s="1620">
        <v>22000000</v>
      </c>
      <c r="D18" s="1620"/>
      <c r="E18" s="1620">
        <f t="shared" si="9"/>
        <v>22000000</v>
      </c>
      <c r="F18" s="1538">
        <v>0.18</v>
      </c>
      <c r="G18" s="1537"/>
      <c r="H18" s="1539"/>
      <c r="I18" s="1539">
        <v>45966</v>
      </c>
      <c r="J18" s="1539"/>
      <c r="K18" s="1540"/>
      <c r="L18" s="1540"/>
      <c r="M18" s="630"/>
      <c r="N18" s="630"/>
      <c r="O18" s="630"/>
      <c r="P18" s="630"/>
      <c r="Q18" s="630"/>
      <c r="R18" s="630"/>
      <c r="S18" s="630">
        <f>(($C18*$F18)/360)*25</f>
        <v>275000</v>
      </c>
      <c r="T18" s="630">
        <f t="shared" si="8"/>
        <v>330000</v>
      </c>
      <c r="U18" s="630">
        <f t="shared" si="10"/>
        <v>605000</v>
      </c>
      <c r="V18" s="630">
        <f>(($C18*$F18)/360)*31</f>
        <v>341000</v>
      </c>
      <c r="W18" s="630">
        <f>(($C18*$F18)/360)*30</f>
        <v>330000</v>
      </c>
      <c r="X18" s="630">
        <f>(($C18*$F18)/360)*11</f>
        <v>121000</v>
      </c>
      <c r="Y18" s="630"/>
      <c r="Z18" s="630"/>
      <c r="AA18" s="630"/>
      <c r="AB18" s="630"/>
      <c r="AC18" s="1552">
        <f t="shared" si="11"/>
        <v>1397000</v>
      </c>
      <c r="AD18" s="1513"/>
    </row>
    <row r="19" spans="1:31" s="455" customFormat="1">
      <c r="A19" s="1535" t="s">
        <v>2123</v>
      </c>
      <c r="B19" s="1541"/>
      <c r="C19" s="1620">
        <v>22815773</v>
      </c>
      <c r="D19" s="1620"/>
      <c r="E19" s="1620">
        <f t="shared" si="9"/>
        <v>22815773</v>
      </c>
      <c r="F19" s="1538">
        <v>0.18</v>
      </c>
      <c r="G19" s="1537"/>
      <c r="H19" s="1539"/>
      <c r="I19" s="1539">
        <v>45989</v>
      </c>
      <c r="J19" s="1539"/>
      <c r="K19" s="1540"/>
      <c r="L19" s="1540"/>
      <c r="M19" s="630"/>
      <c r="N19" s="630"/>
      <c r="O19" s="630"/>
      <c r="P19" s="630"/>
      <c r="Q19" s="630"/>
      <c r="R19" s="630"/>
      <c r="S19" s="630">
        <f>(($C19*$F19)/360)*2</f>
        <v>22815.772999999997</v>
      </c>
      <c r="T19" s="630">
        <f t="shared" si="8"/>
        <v>342236.59499999997</v>
      </c>
      <c r="U19" s="630">
        <f t="shared" si="10"/>
        <v>365052.36799999996</v>
      </c>
      <c r="V19" s="630">
        <f>(($C19*$F19)/360)*31</f>
        <v>353644.48149999994</v>
      </c>
      <c r="W19" s="630">
        <f>(($C19*$F19)/360)*30</f>
        <v>342236.59499999997</v>
      </c>
      <c r="X19" s="630">
        <f>(($C19*$F19)/360)*11</f>
        <v>125486.75149999998</v>
      </c>
      <c r="Y19" s="630"/>
      <c r="Z19" s="630"/>
      <c r="AA19" s="630"/>
      <c r="AB19" s="630"/>
      <c r="AC19" s="1552">
        <f t="shared" si="11"/>
        <v>1186420.1959999998</v>
      </c>
      <c r="AD19" s="1513"/>
    </row>
    <row r="20" spans="1:31" s="455" customFormat="1" hidden="1">
      <c r="A20" s="1535" t="s">
        <v>2123</v>
      </c>
      <c r="B20" s="1541"/>
      <c r="C20" s="1620"/>
      <c r="D20" s="1620"/>
      <c r="E20" s="1620">
        <f t="shared" si="9"/>
        <v>0</v>
      </c>
      <c r="F20" s="1538"/>
      <c r="G20" s="1537"/>
      <c r="H20" s="1539"/>
      <c r="I20" s="1539"/>
      <c r="J20" s="1539"/>
      <c r="K20" s="1540"/>
      <c r="L20" s="1540"/>
      <c r="M20" s="630"/>
      <c r="N20" s="630"/>
      <c r="O20" s="630"/>
      <c r="P20" s="630"/>
      <c r="Q20" s="630"/>
      <c r="R20" s="630"/>
      <c r="S20" s="630"/>
      <c r="T20" s="630"/>
      <c r="U20" s="630"/>
      <c r="V20" s="630"/>
      <c r="W20" s="630"/>
      <c r="X20" s="630"/>
      <c r="Y20" s="630"/>
      <c r="Z20" s="630"/>
      <c r="AA20" s="630"/>
      <c r="AB20" s="630"/>
      <c r="AC20" s="1552">
        <f t="shared" si="11"/>
        <v>0</v>
      </c>
      <c r="AD20" s="1513"/>
      <c r="AE20" s="455" t="s">
        <v>2340</v>
      </c>
    </row>
    <row r="21" spans="1:31" s="455" customFormat="1">
      <c r="A21" s="1818" t="s">
        <v>2123</v>
      </c>
      <c r="B21" s="1819"/>
      <c r="C21" s="1820">
        <v>75000000</v>
      </c>
      <c r="D21" s="1820"/>
      <c r="E21" s="1820">
        <f t="shared" si="9"/>
        <v>75000000</v>
      </c>
      <c r="F21" s="1538">
        <v>0.18</v>
      </c>
      <c r="G21" s="1537"/>
      <c r="H21" s="1539"/>
      <c r="I21" s="1539"/>
      <c r="J21" s="1539"/>
      <c r="K21" s="1540"/>
      <c r="L21" s="1540"/>
      <c r="M21" s="630"/>
      <c r="N21" s="630"/>
      <c r="O21" s="630"/>
      <c r="P21" s="630"/>
      <c r="Q21" s="630"/>
      <c r="R21" s="630"/>
      <c r="S21" s="630"/>
      <c r="T21" s="630"/>
      <c r="U21" s="630"/>
      <c r="V21" s="630"/>
      <c r="W21" s="630"/>
      <c r="X21" s="630"/>
      <c r="Y21" s="630"/>
      <c r="Z21" s="630"/>
      <c r="AA21" s="630">
        <f>(($C21*$F21)/360)*30</f>
        <v>1125000</v>
      </c>
      <c r="AB21" s="630">
        <f>(($C21*$F21)/360)*30</f>
        <v>1125000</v>
      </c>
      <c r="AC21" s="1552">
        <f t="shared" si="11"/>
        <v>2250000</v>
      </c>
      <c r="AD21" s="1513"/>
    </row>
    <row r="22" spans="1:31" s="455" customFormat="1">
      <c r="A22" s="1818" t="s">
        <v>2123</v>
      </c>
      <c r="B22" s="1819"/>
      <c r="C22" s="1820">
        <v>25000000</v>
      </c>
      <c r="D22" s="1820"/>
      <c r="E22" s="1820">
        <f t="shared" ref="E22" si="12">+C22-D22</f>
        <v>25000000</v>
      </c>
      <c r="F22" s="1538">
        <v>0.18</v>
      </c>
      <c r="G22" s="1537"/>
      <c r="H22" s="1539"/>
      <c r="I22" s="1539"/>
      <c r="J22" s="1539"/>
      <c r="K22" s="1540"/>
      <c r="L22" s="1540"/>
      <c r="M22" s="630"/>
      <c r="N22" s="630"/>
      <c r="O22" s="630"/>
      <c r="P22" s="630"/>
      <c r="Q22" s="630"/>
      <c r="R22" s="630"/>
      <c r="S22" s="630"/>
      <c r="T22" s="630"/>
      <c r="U22" s="630"/>
      <c r="V22" s="630"/>
      <c r="W22" s="630"/>
      <c r="X22" s="630"/>
      <c r="Y22" s="630"/>
      <c r="Z22" s="630"/>
      <c r="AA22" s="630"/>
      <c r="AB22" s="630">
        <f>(($C22*$F22)/360)*30</f>
        <v>375000</v>
      </c>
      <c r="AC22" s="1552">
        <f t="shared" ref="AC22" si="13">SUM(U22:AB22)</f>
        <v>375000</v>
      </c>
      <c r="AD22" s="1513"/>
    </row>
    <row r="23" spans="1:31" s="1472" customFormat="1" ht="18.600000000000001" customHeight="1">
      <c r="A23" s="1556" t="s">
        <v>2124</v>
      </c>
      <c r="B23" s="1557"/>
      <c r="C23" s="1816">
        <f>SUM(C14:C22)</f>
        <v>200000000.40000001</v>
      </c>
      <c r="D23" s="1816">
        <f t="shared" ref="D23:T23" si="14">SUM(D14:D21)</f>
        <v>0</v>
      </c>
      <c r="E23" s="1816">
        <f>SUM(E14:E22)</f>
        <v>200000000.40000001</v>
      </c>
      <c r="F23" s="1815"/>
      <c r="G23" s="1550">
        <f t="shared" si="14"/>
        <v>0</v>
      </c>
      <c r="H23" s="1550">
        <f t="shared" si="14"/>
        <v>0</v>
      </c>
      <c r="I23" s="1550"/>
      <c r="J23" s="1550">
        <f t="shared" si="14"/>
        <v>0</v>
      </c>
      <c r="K23" s="1550">
        <f t="shared" si="14"/>
        <v>0</v>
      </c>
      <c r="L23" s="1550">
        <f t="shared" si="14"/>
        <v>0</v>
      </c>
      <c r="M23" s="1550">
        <f t="shared" si="14"/>
        <v>0</v>
      </c>
      <c r="N23" s="1550">
        <f t="shared" si="14"/>
        <v>0</v>
      </c>
      <c r="O23" s="1550">
        <f t="shared" si="14"/>
        <v>0</v>
      </c>
      <c r="P23" s="1550">
        <f t="shared" si="14"/>
        <v>0</v>
      </c>
      <c r="Q23" s="1550">
        <f t="shared" si="14"/>
        <v>372868.45480000001</v>
      </c>
      <c r="R23" s="1550">
        <f t="shared" si="14"/>
        <v>827763.41099999996</v>
      </c>
      <c r="S23" s="1550">
        <f t="shared" si="14"/>
        <v>1125579.1839999999</v>
      </c>
      <c r="T23" s="1550">
        <f t="shared" si="14"/>
        <v>1500000.0059999998</v>
      </c>
      <c r="U23" s="1550">
        <f>SUM(U14:U22)</f>
        <v>3826211.0557999997</v>
      </c>
      <c r="V23" s="1550">
        <f t="shared" ref="V23:AB23" si="15">SUM(V14:V22)</f>
        <v>1550000.0061999999</v>
      </c>
      <c r="W23" s="1550">
        <f t="shared" si="15"/>
        <v>1500000.0059999998</v>
      </c>
      <c r="X23" s="1550">
        <f t="shared" si="15"/>
        <v>577592.11589999998</v>
      </c>
      <c r="Y23" s="1550">
        <f t="shared" si="15"/>
        <v>0</v>
      </c>
      <c r="Z23" s="1550">
        <f t="shared" si="15"/>
        <v>0</v>
      </c>
      <c r="AA23" s="1550">
        <f t="shared" si="15"/>
        <v>1125000</v>
      </c>
      <c r="AB23" s="1550">
        <f t="shared" si="15"/>
        <v>1500000</v>
      </c>
      <c r="AC23" s="1551">
        <f>SUM(AC14:AC22)</f>
        <v>10078803.183899999</v>
      </c>
    </row>
    <row r="24" spans="1:31" s="455" customFormat="1">
      <c r="A24" s="1535"/>
      <c r="B24" s="1541"/>
      <c r="C24" s="1620"/>
      <c r="D24" s="1620"/>
      <c r="E24" s="1620"/>
      <c r="F24" s="1538"/>
      <c r="G24" s="1537"/>
      <c r="H24" s="1539"/>
      <c r="I24" s="1539"/>
      <c r="J24" s="1539"/>
      <c r="K24" s="1540"/>
      <c r="L24" s="1540"/>
      <c r="M24" s="630"/>
      <c r="N24" s="630"/>
      <c r="O24" s="630"/>
      <c r="P24" s="630"/>
      <c r="Q24" s="630"/>
      <c r="R24" s="630"/>
      <c r="S24" s="630"/>
      <c r="T24" s="630"/>
      <c r="U24" s="630"/>
      <c r="V24" s="630"/>
      <c r="W24" s="630"/>
      <c r="X24" s="630"/>
      <c r="Y24" s="630"/>
      <c r="Z24" s="630"/>
      <c r="AA24" s="630"/>
      <c r="AB24" s="630"/>
      <c r="AC24" s="632"/>
      <c r="AD24" s="1513"/>
    </row>
    <row r="25" spans="1:31" s="455" customFormat="1">
      <c r="A25" s="1535" t="s">
        <v>2341</v>
      </c>
      <c r="B25" s="1541"/>
      <c r="C25" s="1620">
        <v>100000000</v>
      </c>
      <c r="D25" s="1620"/>
      <c r="E25" s="1620">
        <f t="shared" ref="E25:E28" si="16">+C25-D25</f>
        <v>100000000</v>
      </c>
      <c r="F25" s="1538">
        <v>0.13750000000000001</v>
      </c>
      <c r="G25" s="1537"/>
      <c r="H25" s="1539"/>
      <c r="I25" s="1539">
        <v>46076</v>
      </c>
      <c r="J25" s="1539"/>
      <c r="K25" s="1540"/>
      <c r="L25" s="154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>
        <f>(($C25*$F25)/360)*20</f>
        <v>763888.88888888899</v>
      </c>
      <c r="Y25" s="630">
        <f t="shared" si="8"/>
        <v>1145833.3333333335</v>
      </c>
      <c r="Z25" s="630">
        <f t="shared" si="8"/>
        <v>1145833.3333333335</v>
      </c>
      <c r="AA25" s="630">
        <f t="shared" si="8"/>
        <v>1145833.3333333335</v>
      </c>
      <c r="AB25" s="630">
        <f t="shared" si="8"/>
        <v>1145833.3333333335</v>
      </c>
      <c r="AC25" s="1552">
        <f>SUM(X25:AB25)</f>
        <v>5347222.2222222239</v>
      </c>
      <c r="AD25" s="1513"/>
    </row>
    <row r="26" spans="1:31" s="455" customFormat="1">
      <c r="A26" s="1818" t="s">
        <v>2341</v>
      </c>
      <c r="B26" s="1819"/>
      <c r="C26" s="1820">
        <v>25000000</v>
      </c>
      <c r="D26" s="1820"/>
      <c r="E26" s="1820">
        <f t="shared" si="16"/>
        <v>25000000</v>
      </c>
      <c r="F26" s="1538">
        <v>0.13750000000000001</v>
      </c>
      <c r="G26" s="1537"/>
      <c r="H26" s="1539"/>
      <c r="I26" s="1539">
        <v>46113</v>
      </c>
      <c r="J26" s="1539"/>
      <c r="K26" s="1540"/>
      <c r="L26" s="1540"/>
      <c r="M26" s="630"/>
      <c r="N26" s="630"/>
      <c r="O26" s="630"/>
      <c r="P26" s="630"/>
      <c r="Q26" s="630"/>
      <c r="R26" s="630"/>
      <c r="S26" s="630"/>
      <c r="T26" s="630"/>
      <c r="U26" s="630"/>
      <c r="V26" s="630"/>
      <c r="W26" s="630"/>
      <c r="X26" s="630"/>
      <c r="Y26" s="630">
        <f t="shared" si="8"/>
        <v>286458.33333333337</v>
      </c>
      <c r="Z26" s="630">
        <f t="shared" si="8"/>
        <v>286458.33333333337</v>
      </c>
      <c r="AA26" s="630">
        <f t="shared" si="8"/>
        <v>286458.33333333337</v>
      </c>
      <c r="AB26" s="630">
        <f t="shared" si="8"/>
        <v>286458.33333333337</v>
      </c>
      <c r="AC26" s="1552">
        <f t="shared" ref="AC26:AC28" si="17">SUM(X26:AB26)</f>
        <v>1145833.3333333335</v>
      </c>
      <c r="AD26" s="1513"/>
    </row>
    <row r="27" spans="1:31" s="455" customFormat="1">
      <c r="A27" s="1818" t="s">
        <v>2341</v>
      </c>
      <c r="B27" s="1819"/>
      <c r="C27" s="1820">
        <v>55000000</v>
      </c>
      <c r="D27" s="1820"/>
      <c r="E27" s="1820">
        <f t="shared" si="16"/>
        <v>55000000</v>
      </c>
      <c r="F27" s="1538">
        <v>0.13750000000000001</v>
      </c>
      <c r="G27" s="1537"/>
      <c r="H27" s="1539"/>
      <c r="I27" s="1539">
        <v>46143</v>
      </c>
      <c r="J27" s="1539"/>
      <c r="K27" s="1540"/>
      <c r="L27" s="1540"/>
      <c r="M27" s="630"/>
      <c r="N27" s="630"/>
      <c r="O27" s="630"/>
      <c r="P27" s="630"/>
      <c r="Q27" s="630"/>
      <c r="R27" s="630"/>
      <c r="S27" s="630"/>
      <c r="T27" s="630"/>
      <c r="U27" s="630"/>
      <c r="V27" s="630"/>
      <c r="W27" s="630"/>
      <c r="X27" s="630"/>
      <c r="Y27" s="630"/>
      <c r="Z27" s="630">
        <f t="shared" si="8"/>
        <v>630208.33333333337</v>
      </c>
      <c r="AA27" s="630">
        <f t="shared" si="8"/>
        <v>630208.33333333337</v>
      </c>
      <c r="AB27" s="630">
        <f t="shared" si="8"/>
        <v>630208.33333333337</v>
      </c>
      <c r="AC27" s="1552">
        <f t="shared" si="17"/>
        <v>1890625</v>
      </c>
      <c r="AD27" s="1513"/>
    </row>
    <row r="28" spans="1:31" s="455" customFormat="1">
      <c r="A28" s="1818"/>
      <c r="B28" s="1819"/>
      <c r="C28" s="1820">
        <v>20000000</v>
      </c>
      <c r="D28" s="1820"/>
      <c r="E28" s="1820">
        <f t="shared" si="16"/>
        <v>20000000</v>
      </c>
      <c r="F28" s="1538">
        <v>0.13750000000000001</v>
      </c>
      <c r="G28" s="1537"/>
      <c r="H28" s="1539"/>
      <c r="I28" s="1539">
        <v>46174</v>
      </c>
      <c r="J28" s="1539"/>
      <c r="K28" s="1540"/>
      <c r="L28" s="1540"/>
      <c r="M28" s="630"/>
      <c r="N28" s="630"/>
      <c r="O28" s="630"/>
      <c r="P28" s="630"/>
      <c r="Q28" s="630"/>
      <c r="R28" s="630"/>
      <c r="S28" s="630"/>
      <c r="T28" s="630"/>
      <c r="U28" s="630"/>
      <c r="V28" s="630"/>
      <c r="W28" s="630"/>
      <c r="X28" s="630"/>
      <c r="Y28" s="630"/>
      <c r="Z28" s="630"/>
      <c r="AA28" s="630">
        <f t="shared" si="8"/>
        <v>229166.66666666666</v>
      </c>
      <c r="AB28" s="630">
        <f t="shared" si="8"/>
        <v>229166.66666666666</v>
      </c>
      <c r="AC28" s="1552">
        <f t="shared" si="17"/>
        <v>458333.33333333331</v>
      </c>
      <c r="AD28" s="1513"/>
    </row>
    <row r="29" spans="1:31" s="455" customFormat="1">
      <c r="A29" s="1556" t="s">
        <v>2342</v>
      </c>
      <c r="B29" s="1557"/>
      <c r="C29" s="1616">
        <f>SUM(C25:C28)</f>
        <v>200000000</v>
      </c>
      <c r="D29" s="1616"/>
      <c r="E29" s="1616">
        <f>SUM(E25:E28)</f>
        <v>200000000</v>
      </c>
      <c r="F29" s="1558"/>
      <c r="G29" s="1558"/>
      <c r="H29" s="1558"/>
      <c r="I29" s="1616"/>
      <c r="J29" s="1558"/>
      <c r="K29" s="1558"/>
      <c r="L29" s="1550"/>
      <c r="M29" s="1550"/>
      <c r="N29" s="1550"/>
      <c r="O29" s="1550"/>
      <c r="P29" s="1550"/>
      <c r="Q29" s="1550"/>
      <c r="R29" s="1550"/>
      <c r="S29" s="1550"/>
      <c r="T29" s="1550"/>
      <c r="U29" s="1550">
        <f t="shared" ref="U29:W29" si="18">SUM(U25:U27)</f>
        <v>0</v>
      </c>
      <c r="V29" s="1550">
        <f t="shared" si="18"/>
        <v>0</v>
      </c>
      <c r="W29" s="1550">
        <f t="shared" si="18"/>
        <v>0</v>
      </c>
      <c r="X29" s="1550">
        <f>SUM(X25:X28)</f>
        <v>763888.88888888899</v>
      </c>
      <c r="Y29" s="1550">
        <f t="shared" ref="Y29:AB29" si="19">SUM(Y25:Y28)</f>
        <v>1432291.666666667</v>
      </c>
      <c r="Z29" s="1550">
        <f t="shared" si="19"/>
        <v>2062500.0000000005</v>
      </c>
      <c r="AA29" s="1550">
        <f t="shared" si="19"/>
        <v>2291666.666666667</v>
      </c>
      <c r="AB29" s="1550">
        <f t="shared" si="19"/>
        <v>2291666.666666667</v>
      </c>
      <c r="AC29" s="1551">
        <f>SUM(AC25:AC28)</f>
        <v>8842013.8888888918</v>
      </c>
      <c r="AD29" s="1513"/>
    </row>
    <row r="30" spans="1:31" s="455" customFormat="1">
      <c r="A30" s="1535"/>
      <c r="B30" s="1541"/>
      <c r="C30" s="1620"/>
      <c r="D30" s="1620"/>
      <c r="E30" s="1620"/>
      <c r="F30" s="1538"/>
      <c r="G30" s="1537"/>
      <c r="H30" s="1539"/>
      <c r="I30" s="1539"/>
      <c r="J30" s="1539"/>
      <c r="K30" s="1540"/>
      <c r="L30" s="1540"/>
      <c r="M30" s="630"/>
      <c r="N30" s="630"/>
      <c r="O30" s="630"/>
      <c r="P30" s="630"/>
      <c r="Q30" s="630"/>
      <c r="R30" s="630"/>
      <c r="S30" s="630"/>
      <c r="T30" s="630"/>
      <c r="U30" s="630"/>
      <c r="V30" s="630"/>
      <c r="W30" s="630"/>
      <c r="X30" s="630"/>
      <c r="Y30" s="630"/>
      <c r="Z30" s="630"/>
      <c r="AA30" s="630"/>
      <c r="AB30" s="630"/>
      <c r="AC30" s="632"/>
      <c r="AD30" s="1513"/>
    </row>
    <row r="31" spans="1:31" s="1472" customFormat="1" ht="15" thickBot="1">
      <c r="A31" s="1617" t="s">
        <v>2439</v>
      </c>
      <c r="B31" s="1561"/>
      <c r="C31" s="1817">
        <f>+C13+C23</f>
        <v>249200000.40000001</v>
      </c>
      <c r="D31" s="1817">
        <f>+D13+D23</f>
        <v>49200000</v>
      </c>
      <c r="E31" s="1817">
        <f>+E13+E23</f>
        <v>200000000.40000001</v>
      </c>
      <c r="F31" s="1562"/>
      <c r="G31" s="1562">
        <f>+G13+G23</f>
        <v>0</v>
      </c>
      <c r="H31" s="1562">
        <f>+H13+H23</f>
        <v>0</v>
      </c>
      <c r="I31" s="1562"/>
      <c r="J31" s="1562">
        <f t="shared" ref="J31:T31" si="20">+J13+J23</f>
        <v>0</v>
      </c>
      <c r="K31" s="1562">
        <f t="shared" si="20"/>
        <v>0</v>
      </c>
      <c r="L31" s="1563">
        <f t="shared" si="20"/>
        <v>0</v>
      </c>
      <c r="M31" s="1563">
        <f t="shared" si="20"/>
        <v>0</v>
      </c>
      <c r="N31" s="1563">
        <f t="shared" si="20"/>
        <v>0</v>
      </c>
      <c r="O31" s="1563">
        <f t="shared" si="20"/>
        <v>87083.33</v>
      </c>
      <c r="P31" s="1563">
        <f t="shared" si="20"/>
        <v>174166.67</v>
      </c>
      <c r="Q31" s="1563">
        <f t="shared" si="20"/>
        <v>547035.12479999999</v>
      </c>
      <c r="R31" s="1563">
        <f t="shared" si="20"/>
        <v>941235.63322222221</v>
      </c>
      <c r="S31" s="1563">
        <f t="shared" si="20"/>
        <v>1648804.1839999999</v>
      </c>
      <c r="T31" s="1563">
        <f t="shared" si="20"/>
        <v>1500000.0059999998</v>
      </c>
      <c r="U31" s="1563">
        <f t="shared" ref="U31:AB31" si="21">+U13+U23+U29</f>
        <v>3826211.0557999997</v>
      </c>
      <c r="V31" s="1563">
        <f t="shared" si="21"/>
        <v>1550000.0061999999</v>
      </c>
      <c r="W31" s="1563">
        <f t="shared" si="21"/>
        <v>1500000.0059999998</v>
      </c>
      <c r="X31" s="1563">
        <f t="shared" si="21"/>
        <v>1341481.0047888891</v>
      </c>
      <c r="Y31" s="1563">
        <f t="shared" si="21"/>
        <v>1432291.666666667</v>
      </c>
      <c r="Z31" s="1563">
        <f t="shared" si="21"/>
        <v>2062500.0000000005</v>
      </c>
      <c r="AA31" s="1563">
        <f t="shared" si="21"/>
        <v>3416666.666666667</v>
      </c>
      <c r="AB31" s="1563">
        <f t="shared" si="21"/>
        <v>3791666.666666667</v>
      </c>
      <c r="AC31" s="1564">
        <f>+AC29+AC23</f>
        <v>18920817.07278889</v>
      </c>
    </row>
    <row r="34" spans="24:24">
      <c r="X34" s="368"/>
    </row>
    <row r="35" spans="24:24">
      <c r="X35" s="368"/>
    </row>
    <row r="36" spans="24:24">
      <c r="X36" s="368"/>
    </row>
    <row r="37" spans="24:24">
      <c r="X37" s="509"/>
    </row>
  </sheetData>
  <pageMargins left="0.7" right="0.7" top="0.75" bottom="0.75" header="0.3" footer="0.3"/>
  <pageSetup orientation="portrait" r:id="rId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095D8-7992-4EBC-9169-E7E6751A7A4D}">
  <dimension ref="A1:G62"/>
  <sheetViews>
    <sheetView showGridLines="0" zoomScaleNormal="100" workbookViewId="0">
      <selection activeCell="J11" sqref="J11"/>
    </sheetView>
  </sheetViews>
  <sheetFormatPr baseColWidth="10" defaultColWidth="8" defaultRowHeight="11.4"/>
  <cols>
    <col min="1" max="1" width="1.33203125" style="1738" customWidth="1"/>
    <col min="2" max="2" width="42.6640625" style="1738" customWidth="1"/>
    <col min="3" max="3" width="13.33203125" style="1738" customWidth="1"/>
    <col min="4" max="4" width="4.88671875" style="1738" customWidth="1"/>
    <col min="5" max="5" width="8" style="1738"/>
    <col min="6" max="6" width="73.88671875" style="1738" bestFit="1" customWidth="1"/>
    <col min="7" max="7" width="12.6640625" style="1738" bestFit="1" customWidth="1"/>
    <col min="8" max="16384" width="8" style="1738"/>
  </cols>
  <sheetData>
    <row r="1" spans="1:7" s="1746" customFormat="1" ht="16.649999999999999" customHeight="1">
      <c r="A1" s="2008" t="s">
        <v>235</v>
      </c>
      <c r="B1" s="2008"/>
      <c r="C1" s="2008"/>
      <c r="D1" s="2008"/>
      <c r="E1" s="2009"/>
      <c r="F1" s="2009"/>
      <c r="G1" s="2009"/>
    </row>
    <row r="2" spans="1:7" s="1745" customFormat="1" ht="14.4" customHeight="1">
      <c r="A2" s="2010" t="s">
        <v>236</v>
      </c>
      <c r="B2" s="2010"/>
      <c r="C2" s="2010"/>
      <c r="D2" s="2010"/>
      <c r="E2" s="2011"/>
      <c r="F2" s="2011"/>
      <c r="G2" s="2011"/>
    </row>
    <row r="3" spans="1:7" s="1745" customFormat="1" ht="14.4" customHeight="1">
      <c r="A3" s="2010" t="s">
        <v>2365</v>
      </c>
      <c r="B3" s="2010"/>
      <c r="C3" s="2010"/>
      <c r="D3" s="2010"/>
      <c r="E3" s="2011"/>
      <c r="F3" s="2011"/>
      <c r="G3" s="2011"/>
    </row>
    <row r="4" spans="1:7" ht="13.35" customHeight="1"/>
    <row r="5" spans="1:7" s="1744" customFormat="1" ht="12.15" customHeight="1">
      <c r="A5" s="2012"/>
      <c r="B5" s="2013" t="s">
        <v>238</v>
      </c>
      <c r="C5" s="2014" t="s">
        <v>2440</v>
      </c>
      <c r="D5" s="2014"/>
      <c r="E5" s="2015"/>
      <c r="F5" s="2015"/>
      <c r="G5" s="2015"/>
    </row>
    <row r="6" spans="1:7" ht="13.35" customHeight="1"/>
    <row r="7" spans="1:7" s="1744" customFormat="1" ht="12.15" customHeight="1">
      <c r="A7" s="2012" t="s">
        <v>239</v>
      </c>
      <c r="B7" s="2012"/>
      <c r="C7" s="2012"/>
      <c r="D7" s="2012"/>
      <c r="E7" s="2015"/>
      <c r="F7" s="2015"/>
      <c r="G7" s="2015"/>
    </row>
    <row r="8" spans="1:7" ht="10.95" customHeight="1">
      <c r="A8" s="2016"/>
      <c r="B8" s="2016" t="s">
        <v>638</v>
      </c>
      <c r="C8" s="2016"/>
      <c r="D8" s="2016"/>
    </row>
    <row r="9" spans="1:7" ht="10.95" customHeight="1">
      <c r="B9" s="1740" t="s">
        <v>639</v>
      </c>
      <c r="C9" s="1741">
        <v>1546739.73</v>
      </c>
      <c r="D9" s="1740"/>
    </row>
    <row r="10" spans="1:7" ht="10.95" customHeight="1">
      <c r="B10" s="1740" t="s">
        <v>1608</v>
      </c>
      <c r="C10" s="1741">
        <v>10342120.5</v>
      </c>
      <c r="D10" s="1740" t="s">
        <v>641</v>
      </c>
      <c r="F10" s="1440" t="s">
        <v>2246</v>
      </c>
      <c r="G10" s="1691">
        <f>-'FLUJO 02-26'!C26</f>
        <v>-52921894.709999979</v>
      </c>
    </row>
    <row r="11" spans="1:7" ht="10.95" customHeight="1">
      <c r="B11" s="1740" t="s">
        <v>640</v>
      </c>
      <c r="C11" s="1741">
        <v>4213958.6100000003</v>
      </c>
      <c r="D11" s="1740" t="s">
        <v>641</v>
      </c>
      <c r="F11" s="1440" t="s">
        <v>2247</v>
      </c>
      <c r="G11" s="1566">
        <f>+C16</f>
        <v>51717239.93999999</v>
      </c>
    </row>
    <row r="12" spans="1:7" ht="10.95" customHeight="1">
      <c r="B12" s="1740" t="s">
        <v>1392</v>
      </c>
      <c r="C12" s="1741">
        <v>35398268.229999997</v>
      </c>
      <c r="D12" s="1740" t="s">
        <v>641</v>
      </c>
      <c r="F12" s="1696" t="s">
        <v>191</v>
      </c>
      <c r="G12" s="1697">
        <f>+G10+G11</f>
        <v>-1204654.7699999884</v>
      </c>
    </row>
    <row r="13" spans="1:7" ht="10.95" customHeight="1">
      <c r="B13" s="1740" t="s">
        <v>1394</v>
      </c>
      <c r="C13" s="1741">
        <v>22672.46</v>
      </c>
      <c r="D13" s="1740"/>
    </row>
    <row r="14" spans="1:7" ht="10.95" customHeight="1">
      <c r="B14" s="1740" t="s">
        <v>844</v>
      </c>
      <c r="C14" s="1741">
        <v>190068.87</v>
      </c>
      <c r="D14" s="1740" t="s">
        <v>641</v>
      </c>
    </row>
    <row r="15" spans="1:7" ht="10.95" customHeight="1">
      <c r="B15" s="1740" t="s">
        <v>845</v>
      </c>
      <c r="C15" s="1741">
        <v>3411.54</v>
      </c>
      <c r="D15" s="1740"/>
    </row>
    <row r="16" spans="1:7" ht="10.95" customHeight="1">
      <c r="B16" s="2017" t="s">
        <v>642</v>
      </c>
      <c r="C16" s="2018">
        <f>SUM(C9:C15)</f>
        <v>51717239.93999999</v>
      </c>
      <c r="D16" s="2017"/>
    </row>
    <row r="17" spans="1:4" ht="10.95" customHeight="1">
      <c r="A17" s="2016"/>
      <c r="B17" s="2016" t="s">
        <v>240</v>
      </c>
      <c r="C17" s="2016"/>
      <c r="D17" s="2016"/>
    </row>
    <row r="18" spans="1:4" ht="10.95" customHeight="1">
      <c r="A18" s="2016"/>
      <c r="B18" s="1740" t="s">
        <v>1826</v>
      </c>
      <c r="C18" s="1741">
        <v>4864503.43</v>
      </c>
      <c r="D18" s="1740"/>
    </row>
    <row r="19" spans="1:4" ht="10.95" customHeight="1">
      <c r="B19" s="1740" t="s">
        <v>241</v>
      </c>
      <c r="C19" s="1741">
        <v>797149</v>
      </c>
      <c r="D19" s="1740"/>
    </row>
    <row r="20" spans="1:4" ht="10.95" customHeight="1">
      <c r="B20" s="2017" t="s">
        <v>242</v>
      </c>
      <c r="C20" s="2018">
        <f>SUM(C18:C19)</f>
        <v>5661652.4299999997</v>
      </c>
      <c r="D20" s="2017"/>
    </row>
    <row r="21" spans="1:4" ht="10.95" customHeight="1">
      <c r="A21" s="2016"/>
      <c r="B21" s="2016" t="s">
        <v>243</v>
      </c>
      <c r="C21" s="2016"/>
      <c r="D21" s="2016"/>
    </row>
    <row r="22" spans="1:4" ht="10.95" customHeight="1">
      <c r="B22" s="1740" t="s">
        <v>1278</v>
      </c>
      <c r="C22" s="1741">
        <v>4.1900000000000004</v>
      </c>
      <c r="D22" s="1740"/>
    </row>
    <row r="23" spans="1:4" ht="10.95" customHeight="1">
      <c r="B23" s="1740" t="s">
        <v>800</v>
      </c>
      <c r="C23" s="1741">
        <v>372984169.14999998</v>
      </c>
      <c r="D23" s="1740"/>
    </row>
    <row r="24" spans="1:4" ht="10.95" customHeight="1">
      <c r="B24" s="1740" t="s">
        <v>245</v>
      </c>
      <c r="C24" s="1741">
        <v>135766094.97</v>
      </c>
      <c r="D24" s="1740"/>
    </row>
    <row r="25" spans="1:4" ht="10.95" customHeight="1">
      <c r="B25" s="1740" t="s">
        <v>801</v>
      </c>
      <c r="C25" s="1741">
        <v>25537188.329999998</v>
      </c>
      <c r="D25" s="1740"/>
    </row>
    <row r="26" spans="1:4" ht="10.95" customHeight="1">
      <c r="B26" s="2017" t="s">
        <v>247</v>
      </c>
      <c r="C26" s="2018">
        <f>SUM(C22:C25)</f>
        <v>534287456.63999993</v>
      </c>
      <c r="D26" s="2017"/>
    </row>
    <row r="27" spans="1:4" ht="10.95" customHeight="1">
      <c r="A27" s="2017" t="s">
        <v>248</v>
      </c>
      <c r="C27" s="2018">
        <f>(0 + ((C16 + C20) + C26))</f>
        <v>591666349.00999987</v>
      </c>
      <c r="D27" s="2017"/>
    </row>
    <row r="28" spans="1:4" ht="13.35" customHeight="1"/>
    <row r="29" spans="1:4" s="1744" customFormat="1" ht="12.15" customHeight="1">
      <c r="A29" s="2012" t="s">
        <v>249</v>
      </c>
      <c r="B29" s="2012"/>
      <c r="C29" s="2012"/>
      <c r="D29" s="2012"/>
    </row>
    <row r="30" spans="1:4" ht="10.95" customHeight="1">
      <c r="A30" s="2016"/>
      <c r="B30" s="2016" t="s">
        <v>250</v>
      </c>
      <c r="C30" s="2016"/>
      <c r="D30" s="2016"/>
    </row>
    <row r="31" spans="1:4" ht="10.95" customHeight="1">
      <c r="B31" s="1740" t="s">
        <v>1825</v>
      </c>
      <c r="C31" s="1741">
        <v>100000000</v>
      </c>
      <c r="D31" s="1740"/>
    </row>
    <row r="32" spans="1:4" ht="10.95" customHeight="1">
      <c r="B32" s="1740" t="s">
        <v>799</v>
      </c>
      <c r="C32" s="1741">
        <v>148292.69</v>
      </c>
      <c r="D32" s="1740" t="s">
        <v>641</v>
      </c>
    </row>
    <row r="33" spans="1:7" ht="10.95" customHeight="1">
      <c r="B33" s="1740" t="s">
        <v>251</v>
      </c>
      <c r="C33" s="1741">
        <v>10782504.49</v>
      </c>
      <c r="D33" s="1740" t="s">
        <v>641</v>
      </c>
    </row>
    <row r="34" spans="1:7" ht="10.95" customHeight="1">
      <c r="B34" s="1740" t="s">
        <v>2196</v>
      </c>
      <c r="C34" s="1741">
        <v>60392.11</v>
      </c>
      <c r="D34" s="1740"/>
    </row>
    <row r="35" spans="1:7" ht="10.95" customHeight="1">
      <c r="B35" s="1740" t="s">
        <v>802</v>
      </c>
      <c r="C35" s="1741">
        <v>149890886.94</v>
      </c>
      <c r="D35" s="1740"/>
    </row>
    <row r="36" spans="1:7" ht="10.95" customHeight="1">
      <c r="B36" s="1740" t="s">
        <v>1284</v>
      </c>
      <c r="C36" s="1741">
        <v>28310.400000000001</v>
      </c>
      <c r="D36" s="1740"/>
    </row>
    <row r="37" spans="1:7" ht="10.95" customHeight="1">
      <c r="B37" s="1740" t="s">
        <v>804</v>
      </c>
      <c r="C37" s="1741">
        <v>349567.78</v>
      </c>
      <c r="D37" s="1740"/>
    </row>
    <row r="38" spans="1:7" ht="10.95" customHeight="1">
      <c r="B38" s="1740" t="s">
        <v>2441</v>
      </c>
      <c r="C38" s="1741">
        <v>16400</v>
      </c>
      <c r="D38" s="1740"/>
    </row>
    <row r="39" spans="1:7" ht="10.95" customHeight="1">
      <c r="B39" s="1740" t="s">
        <v>2442</v>
      </c>
      <c r="C39" s="1741">
        <v>32800</v>
      </c>
      <c r="D39" s="1740"/>
    </row>
    <row r="40" spans="1:7" ht="10.95" customHeight="1">
      <c r="B40" s="1740" t="s">
        <v>813</v>
      </c>
      <c r="C40" s="1741">
        <v>316680.8</v>
      </c>
      <c r="D40" s="1740"/>
    </row>
    <row r="41" spans="1:7" ht="10.95" customHeight="1">
      <c r="B41" s="1740" t="s">
        <v>2248</v>
      </c>
      <c r="C41" s="1741">
        <v>28694.26</v>
      </c>
      <c r="D41" s="1740"/>
    </row>
    <row r="42" spans="1:7" ht="10.95" customHeight="1">
      <c r="B42" s="1740" t="s">
        <v>2443</v>
      </c>
      <c r="C42" s="1741">
        <v>3.54</v>
      </c>
      <c r="D42" s="1740"/>
    </row>
    <row r="43" spans="1:7" ht="10.95" customHeight="1">
      <c r="B43" s="2017" t="s">
        <v>253</v>
      </c>
      <c r="C43" s="2018">
        <f>SUM(C31:C42)</f>
        <v>261654533.00999999</v>
      </c>
      <c r="D43" s="2017"/>
    </row>
    <row r="44" spans="1:7" ht="10.95" customHeight="1">
      <c r="A44" s="2017" t="s">
        <v>254</v>
      </c>
      <c r="C44" s="2018">
        <f>(0 + C43)</f>
        <v>261654533.00999999</v>
      </c>
      <c r="D44" s="2017"/>
    </row>
    <row r="45" spans="1:7" ht="13.35" customHeight="1">
      <c r="F45" s="447" t="s">
        <v>2444</v>
      </c>
      <c r="G45" s="447"/>
    </row>
    <row r="46" spans="1:7" ht="10.95" customHeight="1">
      <c r="B46" s="2019" t="s">
        <v>255</v>
      </c>
      <c r="C46" s="2020">
        <f>(C27 - C44)</f>
        <v>330011815.99999988</v>
      </c>
      <c r="D46" s="2019"/>
      <c r="F46" s="449" t="s">
        <v>236</v>
      </c>
      <c r="G46" s="449"/>
    </row>
    <row r="47" spans="1:7" ht="13.35" customHeight="1">
      <c r="F47" s="449" t="s">
        <v>2445</v>
      </c>
      <c r="G47" s="449"/>
    </row>
    <row r="48" spans="1:7" s="1744" customFormat="1" ht="12.15" customHeight="1">
      <c r="A48" s="2012" t="s">
        <v>256</v>
      </c>
      <c r="B48" s="2012"/>
      <c r="C48" s="2012"/>
      <c r="D48" s="2012"/>
      <c r="E48" s="2015"/>
      <c r="F48"/>
      <c r="G48"/>
    </row>
    <row r="49" spans="1:7" ht="10.95" customHeight="1">
      <c r="B49" s="1742" t="s">
        <v>257</v>
      </c>
      <c r="C49" s="1743">
        <v>329948451.97000003</v>
      </c>
      <c r="F49" s="451" t="s">
        <v>238</v>
      </c>
      <c r="G49" s="452" t="s">
        <v>2446</v>
      </c>
    </row>
    <row r="50" spans="1:7" ht="10.95" customHeight="1">
      <c r="B50" s="1740" t="s">
        <v>647</v>
      </c>
      <c r="C50" s="1741">
        <v>-2829860.77</v>
      </c>
      <c r="F50"/>
      <c r="G50"/>
    </row>
    <row r="51" spans="1:7" ht="10.95" customHeight="1">
      <c r="B51" s="1740" t="s">
        <v>846</v>
      </c>
      <c r="C51" s="1741">
        <v>2893224.8</v>
      </c>
      <c r="F51"/>
      <c r="G51"/>
    </row>
    <row r="52" spans="1:7" ht="10.95" customHeight="1">
      <c r="A52" s="2017" t="s">
        <v>258</v>
      </c>
      <c r="C52" s="2018">
        <f>SUM(C49:C51)</f>
        <v>330011816.00000006</v>
      </c>
      <c r="F52" s="454" t="s">
        <v>2447</v>
      </c>
      <c r="G52" s="454"/>
    </row>
    <row r="53" spans="1:7" ht="13.35" customHeight="1">
      <c r="F53" s="455" t="s">
        <v>2448</v>
      </c>
      <c r="G53" s="456">
        <v>2225921.06</v>
      </c>
    </row>
    <row r="54" spans="1:7" ht="13.35" customHeight="1">
      <c r="F54" s="457" t="s">
        <v>2449</v>
      </c>
      <c r="G54" s="458">
        <f>SUM(G53:G53)</f>
        <v>2225921.06</v>
      </c>
    </row>
    <row r="55" spans="1:7" ht="10.95" customHeight="1">
      <c r="A55" s="1739" t="s">
        <v>814</v>
      </c>
      <c r="F55"/>
      <c r="G55"/>
    </row>
    <row r="56" spans="1:7" ht="10.95" customHeight="1">
      <c r="A56" s="2021" t="s">
        <v>2440</v>
      </c>
      <c r="F56" s="454" t="s">
        <v>2450</v>
      </c>
      <c r="G56" s="454"/>
    </row>
    <row r="57" spans="1:7" ht="10.95" customHeight="1">
      <c r="A57" s="1739" t="s">
        <v>2451</v>
      </c>
      <c r="F57" s="459" t="s">
        <v>2452</v>
      </c>
      <c r="G57" s="460">
        <v>180008.57</v>
      </c>
    </row>
    <row r="58" spans="1:7" ht="14.4">
      <c r="F58" s="459" t="s">
        <v>2453</v>
      </c>
      <c r="G58" s="460">
        <v>476571.59</v>
      </c>
    </row>
    <row r="59" spans="1:7" ht="14.4">
      <c r="F59" s="459" t="s">
        <v>2454</v>
      </c>
      <c r="G59" s="460">
        <v>2128.6799999999998</v>
      </c>
    </row>
    <row r="60" spans="1:7" ht="12">
      <c r="F60" s="457" t="s">
        <v>2455</v>
      </c>
      <c r="G60" s="458">
        <f>SUM(G57:G59)</f>
        <v>658708.84000000008</v>
      </c>
    </row>
    <row r="61" spans="1:7" ht="14.4">
      <c r="F61"/>
      <c r="G61"/>
    </row>
    <row r="62" spans="1:7" ht="12">
      <c r="F62" s="461" t="s">
        <v>2456</v>
      </c>
      <c r="G62" s="462">
        <f>+G54-G60</f>
        <v>1567212.22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660F9-496A-4F71-B41A-79EB71AC3274}">
  <dimension ref="A1:D28"/>
  <sheetViews>
    <sheetView showGridLines="0" topLeftCell="A3" zoomScale="110" zoomScaleNormal="110" workbookViewId="0">
      <selection activeCell="D8" sqref="D8"/>
    </sheetView>
  </sheetViews>
  <sheetFormatPr baseColWidth="10" defaultColWidth="8" defaultRowHeight="11.4"/>
  <cols>
    <col min="1" max="1" width="7" style="1440" customWidth="1"/>
    <col min="2" max="2" width="35.44140625" style="1440" customWidth="1"/>
    <col min="3" max="3" width="20.5546875" style="1440" customWidth="1"/>
    <col min="4" max="4" width="11.5546875" style="1440" bestFit="1" customWidth="1"/>
    <col min="5" max="16384" width="8" style="1440"/>
  </cols>
  <sheetData>
    <row r="1" spans="1:4" s="1437" customFormat="1" ht="16.649999999999999" customHeight="1">
      <c r="A1" s="2168"/>
      <c r="B1" s="2168"/>
      <c r="C1" s="2168"/>
    </row>
    <row r="2" spans="1:4" s="1439" customFormat="1" ht="21.6" customHeight="1">
      <c r="A2" s="2171" t="s">
        <v>236</v>
      </c>
      <c r="B2" s="2171"/>
      <c r="C2" s="2171"/>
    </row>
    <row r="3" spans="1:4" s="1439" customFormat="1" ht="14.4" customHeight="1">
      <c r="A3" s="2172" t="s">
        <v>2457</v>
      </c>
      <c r="B3" s="2172"/>
      <c r="C3" s="2172"/>
    </row>
    <row r="4" spans="1:4" ht="4.95" customHeight="1" thickBot="1"/>
    <row r="5" spans="1:4" s="1444" customFormat="1" ht="13.2">
      <c r="A5" s="1502"/>
      <c r="B5" s="1501" t="s">
        <v>2084</v>
      </c>
      <c r="C5" s="1598" t="s">
        <v>2009</v>
      </c>
    </row>
    <row r="6" spans="1:4" ht="9" customHeight="1">
      <c r="A6" s="1491"/>
      <c r="C6" s="1495"/>
    </row>
    <row r="7" spans="1:4" s="1444" customFormat="1" ht="13.2">
      <c r="A7" s="1494" t="s">
        <v>2085</v>
      </c>
      <c r="B7" s="1445"/>
      <c r="C7" s="1493"/>
    </row>
    <row r="8" spans="1:4">
      <c r="A8" s="1491"/>
      <c r="B8" s="1450" t="s">
        <v>2086</v>
      </c>
      <c r="C8" s="1601">
        <f>+'BCE 02-26'!C16</f>
        <v>51717239.93999999</v>
      </c>
    </row>
    <row r="9" spans="1:4">
      <c r="A9" s="1491"/>
      <c r="B9" s="1450" t="s">
        <v>241</v>
      </c>
      <c r="C9" s="1601">
        <f>+'BCE 02-26'!C20</f>
        <v>5661652.4299999997</v>
      </c>
    </row>
    <row r="10" spans="1:4">
      <c r="A10" s="1491"/>
      <c r="B10" s="1450" t="s">
        <v>2087</v>
      </c>
      <c r="C10" s="1601">
        <f>+'BCE 02-26'!C26</f>
        <v>534287456.63999993</v>
      </c>
      <c r="D10" s="1440" t="s">
        <v>2251</v>
      </c>
    </row>
    <row r="11" spans="1:4" ht="12">
      <c r="A11" s="1498" t="s">
        <v>2088</v>
      </c>
      <c r="C11" s="1602">
        <f>(0 + ((C8 + C9) + C10))</f>
        <v>591666349.00999987</v>
      </c>
    </row>
    <row r="12" spans="1:4" ht="8.4" customHeight="1">
      <c r="A12" s="1491"/>
      <c r="C12" s="1495"/>
    </row>
    <row r="13" spans="1:4" s="1444" customFormat="1" ht="13.2">
      <c r="A13" s="1494" t="s">
        <v>2089</v>
      </c>
      <c r="B13" s="1445"/>
      <c r="C13" s="1493"/>
    </row>
    <row r="14" spans="1:4">
      <c r="A14" s="1491"/>
      <c r="B14" s="1450" t="s">
        <v>1825</v>
      </c>
      <c r="C14" s="1601">
        <f>+'BCE 02-26'!C31</f>
        <v>100000000</v>
      </c>
    </row>
    <row r="15" spans="1:4">
      <c r="A15" s="1491"/>
      <c r="B15" s="1450" t="s">
        <v>251</v>
      </c>
      <c r="C15" s="1601">
        <f>+'BCE 02-26'!C32+'BCE 02-26'!C33</f>
        <v>10930797.18</v>
      </c>
    </row>
    <row r="16" spans="1:4">
      <c r="A16" s="1491"/>
      <c r="B16" s="1450" t="s">
        <v>802</v>
      </c>
      <c r="C16" s="1601">
        <f>+'BCE 02-26'!C34+'BCE 02-26'!C35</f>
        <v>149951279.05000001</v>
      </c>
      <c r="D16" s="1503"/>
    </row>
    <row r="17" spans="1:3">
      <c r="A17" s="1491"/>
      <c r="B17" s="1450" t="s">
        <v>2090</v>
      </c>
      <c r="C17" s="1601">
        <f>SUM('BCE 02-26'!C36:C42)</f>
        <v>772456.78</v>
      </c>
    </row>
    <row r="18" spans="1:3" ht="12">
      <c r="A18" s="1498" t="s">
        <v>2091</v>
      </c>
      <c r="C18" s="1602">
        <f>SUM(C14:C17)</f>
        <v>261654533.01000002</v>
      </c>
    </row>
    <row r="19" spans="1:3">
      <c r="A19" s="1491"/>
      <c r="C19" s="1603"/>
    </row>
    <row r="20" spans="1:3" ht="18" customHeight="1">
      <c r="A20" s="1607"/>
      <c r="B20" s="1461" t="s">
        <v>2092</v>
      </c>
      <c r="C20" s="1604">
        <f>(C11 - C18)</f>
        <v>330011815.99999988</v>
      </c>
    </row>
    <row r="21" spans="1:3">
      <c r="A21" s="1491"/>
      <c r="C21" s="1495"/>
    </row>
    <row r="22" spans="1:3" s="1444" customFormat="1" ht="13.2">
      <c r="A22" s="1494" t="s">
        <v>2093</v>
      </c>
      <c r="B22" s="1445"/>
      <c r="C22" s="1493"/>
    </row>
    <row r="23" spans="1:3">
      <c r="A23" s="1491"/>
      <c r="B23" s="1446" t="s">
        <v>2094</v>
      </c>
      <c r="C23" s="1605">
        <f>+'BCE 02-26'!C49</f>
        <v>329948451.97000003</v>
      </c>
    </row>
    <row r="24" spans="1:3">
      <c r="A24" s="1491"/>
      <c r="B24" s="1450" t="s">
        <v>647</v>
      </c>
      <c r="C24" s="1601">
        <f>+'BCE 02-26'!C50</f>
        <v>-2829860.77</v>
      </c>
    </row>
    <row r="25" spans="1:3">
      <c r="A25" s="1491"/>
      <c r="B25" s="1450" t="s">
        <v>846</v>
      </c>
      <c r="C25" s="1601">
        <f>+'BCE 02-26'!C51</f>
        <v>2893224.8</v>
      </c>
    </row>
    <row r="26" spans="1:3" ht="12">
      <c r="A26" s="1498" t="s">
        <v>2095</v>
      </c>
      <c r="C26" s="1602">
        <f>SUM(C23:C25)</f>
        <v>330011816.00000006</v>
      </c>
    </row>
    <row r="27" spans="1:3">
      <c r="A27" s="1491"/>
      <c r="B27" s="1446"/>
      <c r="C27" s="1605"/>
    </row>
    <row r="28" spans="1:3" ht="19.2" customHeight="1" thickBot="1">
      <c r="A28" s="1608"/>
      <c r="B28" s="1489" t="s">
        <v>2095</v>
      </c>
      <c r="C28" s="1606">
        <f>+C26</f>
        <v>330011816.00000006</v>
      </c>
    </row>
  </sheetData>
  <mergeCells count="3">
    <mergeCell ref="A1:C1"/>
    <mergeCell ref="A2:C2"/>
    <mergeCell ref="A3:C3"/>
  </mergeCells>
  <pageMargins left="0.7" right="0.7" top="0.75" bottom="0.75" header="0.3" footer="0.3"/>
  <pageSetup paperSize="9" fitToWidth="0" fitToHeight="0" orientation="portrait" horizontalDpi="0" verticalDpi="0"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1AA37-8389-481F-9D95-4F22F2F6C009}">
  <dimension ref="B2:J22"/>
  <sheetViews>
    <sheetView topLeftCell="B1" zoomScale="110" zoomScaleNormal="110" workbookViewId="0">
      <selection activeCell="F16" sqref="F16"/>
    </sheetView>
  </sheetViews>
  <sheetFormatPr baseColWidth="10" defaultColWidth="11.44140625" defaultRowHeight="14.4"/>
  <cols>
    <col min="2" max="2" width="24.33203125" bestFit="1" customWidth="1"/>
    <col min="3" max="3" width="14.109375" bestFit="1" customWidth="1"/>
    <col min="4" max="4" width="12.6640625" customWidth="1"/>
    <col min="5" max="5" width="37.109375" bestFit="1" customWidth="1"/>
    <col min="6" max="6" width="15.6640625" bestFit="1" customWidth="1"/>
    <col min="7" max="7" width="16.88671875" bestFit="1" customWidth="1"/>
    <col min="8" max="10" width="15.6640625" bestFit="1" customWidth="1"/>
  </cols>
  <sheetData>
    <row r="2" spans="2:10">
      <c r="E2" t="s">
        <v>2098</v>
      </c>
      <c r="F2" s="110">
        <v>5</v>
      </c>
      <c r="G2" s="110">
        <v>12</v>
      </c>
      <c r="H2" s="110">
        <v>12</v>
      </c>
      <c r="I2" s="110">
        <v>12</v>
      </c>
      <c r="J2" s="110">
        <v>12</v>
      </c>
    </row>
    <row r="3" spans="2:10" ht="15" thickBot="1">
      <c r="E3" t="s">
        <v>2099</v>
      </c>
      <c r="F3">
        <f>+F2</f>
        <v>5</v>
      </c>
      <c r="G3">
        <f>+F3+G2</f>
        <v>17</v>
      </c>
      <c r="H3">
        <f t="shared" ref="H3:J3" si="0">+G3+H2</f>
        <v>29</v>
      </c>
      <c r="I3">
        <f t="shared" si="0"/>
        <v>41</v>
      </c>
      <c r="J3">
        <f t="shared" si="0"/>
        <v>53</v>
      </c>
    </row>
    <row r="4" spans="2:10" ht="16.2" thickBot="1">
      <c r="F4" s="735">
        <v>46082</v>
      </c>
      <c r="G4" s="735">
        <v>46113</v>
      </c>
      <c r="H4" s="735">
        <v>46143</v>
      </c>
      <c r="I4" s="735">
        <v>46174</v>
      </c>
      <c r="J4" s="735">
        <v>46204</v>
      </c>
    </row>
    <row r="5" spans="2:10">
      <c r="B5" s="1476" t="s">
        <v>2100</v>
      </c>
      <c r="C5" s="1481">
        <v>150500</v>
      </c>
      <c r="E5" t="s">
        <v>2101</v>
      </c>
      <c r="F5" s="370">
        <f>+(+F2*$C$6)*62</f>
        <v>4665500</v>
      </c>
      <c r="G5" s="370">
        <f t="shared" ref="G5:J5" si="1">+(+G2*$C$6)*62</f>
        <v>11197200</v>
      </c>
      <c r="H5" s="370">
        <f t="shared" si="1"/>
        <v>11197200</v>
      </c>
      <c r="I5" s="370">
        <f t="shared" si="1"/>
        <v>11197200</v>
      </c>
      <c r="J5" s="370">
        <f t="shared" si="1"/>
        <v>11197200</v>
      </c>
    </row>
    <row r="6" spans="2:10" ht="15" thickBot="1">
      <c r="B6" s="1477" t="s">
        <v>2102</v>
      </c>
      <c r="C6" s="1478">
        <f>+C5*0.1</f>
        <v>15050</v>
      </c>
      <c r="E6" t="s">
        <v>2103</v>
      </c>
      <c r="F6" s="370">
        <v>0</v>
      </c>
      <c r="G6" s="370">
        <f>+(+F3*$C$8)*62</f>
        <v>310000</v>
      </c>
      <c r="H6" s="370">
        <f t="shared" ref="H6:J6" si="2">+(+G3*$C$8)*62</f>
        <v>1054000</v>
      </c>
      <c r="I6" s="370">
        <f t="shared" si="2"/>
        <v>1798000</v>
      </c>
      <c r="J6" s="370">
        <f t="shared" si="2"/>
        <v>2542000</v>
      </c>
    </row>
    <row r="7" spans="2:10">
      <c r="C7" s="1479"/>
      <c r="E7" t="s">
        <v>2104</v>
      </c>
      <c r="F7" s="370">
        <f>+F18</f>
        <v>4666914.22</v>
      </c>
      <c r="G7" s="370">
        <f t="shared" ref="G7:J7" si="3">+G18</f>
        <v>8483913.2200000007</v>
      </c>
      <c r="H7" s="370">
        <f t="shared" si="3"/>
        <v>8104701.3799999999</v>
      </c>
      <c r="I7" s="370">
        <f t="shared" si="3"/>
        <v>7557884.3200000003</v>
      </c>
      <c r="J7" s="370">
        <f t="shared" si="3"/>
        <v>8115904.7800000003</v>
      </c>
    </row>
    <row r="8" spans="2:10">
      <c r="B8" t="s">
        <v>2105</v>
      </c>
      <c r="C8" s="1480">
        <v>1000</v>
      </c>
      <c r="E8" s="433" t="s">
        <v>2106</v>
      </c>
      <c r="F8" s="1174">
        <f>SUM(F5:F7)</f>
        <v>9332414.2199999988</v>
      </c>
      <c r="G8" s="1174">
        <f>SUM(G5:G7)</f>
        <v>19991113.219999999</v>
      </c>
      <c r="H8" s="1174">
        <f>SUM(H5:H7)</f>
        <v>20355901.379999999</v>
      </c>
      <c r="I8" s="1174">
        <f>SUM(I5:I7)</f>
        <v>20553084.32</v>
      </c>
      <c r="J8" s="1174">
        <f>SUM(J5:J7)</f>
        <v>21855104.780000001</v>
      </c>
    </row>
    <row r="9" spans="2:10">
      <c r="F9" s="567">
        <v>16500000</v>
      </c>
      <c r="G9" s="370">
        <v>18000000</v>
      </c>
      <c r="H9" s="370">
        <v>18000000</v>
      </c>
      <c r="I9" s="370">
        <v>18000000</v>
      </c>
      <c r="J9" s="370">
        <v>18000000</v>
      </c>
    </row>
    <row r="11" spans="2:10" hidden="1"/>
    <row r="12" spans="2:10" hidden="1">
      <c r="E12" t="s">
        <v>2107</v>
      </c>
      <c r="G12" s="1482">
        <f>((51773+18669)*1.18)*65</f>
        <v>5402901.3999999994</v>
      </c>
    </row>
    <row r="13" spans="2:10" hidden="1">
      <c r="E13" t="s">
        <v>2108</v>
      </c>
      <c r="F13" s="1482">
        <f>((+F2*$C$5)*8.14%)*65</f>
        <v>3981477.5</v>
      </c>
      <c r="G13" s="1482">
        <f t="shared" ref="G13:J13" si="4">((+G2*$C$5)*8.14%)*65</f>
        <v>9555546</v>
      </c>
      <c r="H13" s="1482">
        <f t="shared" si="4"/>
        <v>9555546</v>
      </c>
      <c r="I13" s="1482">
        <f t="shared" si="4"/>
        <v>9555546</v>
      </c>
      <c r="J13" s="1482">
        <f t="shared" si="4"/>
        <v>9555546</v>
      </c>
    </row>
    <row r="14" spans="2:10" hidden="1">
      <c r="F14" s="1483">
        <f>SUM(F12:F13)</f>
        <v>3981477.5</v>
      </c>
      <c r="G14" s="1483">
        <f t="shared" ref="G14:J14" si="5">SUM(G12:G13)</f>
        <v>14958447.399999999</v>
      </c>
      <c r="H14" s="1483">
        <f t="shared" si="5"/>
        <v>9555546</v>
      </c>
      <c r="I14" s="1483">
        <f t="shared" si="5"/>
        <v>9555546</v>
      </c>
      <c r="J14" s="1483">
        <f t="shared" si="5"/>
        <v>9555546</v>
      </c>
    </row>
    <row r="15" spans="2:10" ht="15" thickBot="1"/>
    <row r="16" spans="2:10">
      <c r="D16" s="2182" t="s">
        <v>2104</v>
      </c>
      <c r="E16" t="s">
        <v>2344</v>
      </c>
      <c r="F16" s="1707">
        <v>75272.81</v>
      </c>
      <c r="G16" s="1707">
        <v>136837.31</v>
      </c>
      <c r="H16" s="1707">
        <v>130720.99</v>
      </c>
      <c r="I16" s="1707">
        <v>121901.36</v>
      </c>
      <c r="J16" s="1708">
        <v>130901.69</v>
      </c>
    </row>
    <row r="17" spans="4:10">
      <c r="D17" s="2182"/>
      <c r="E17" s="753"/>
      <c r="F17" s="1709">
        <v>62</v>
      </c>
      <c r="G17" s="1709">
        <v>62</v>
      </c>
      <c r="H17" s="1709">
        <v>62</v>
      </c>
      <c r="I17" s="1709">
        <v>62</v>
      </c>
      <c r="J17" s="1710">
        <v>62</v>
      </c>
    </row>
    <row r="18" spans="4:10" ht="15" thickBot="1">
      <c r="D18" s="2182"/>
      <c r="E18" s="1477"/>
      <c r="F18" s="1711">
        <f>+F16*F17</f>
        <v>4666914.22</v>
      </c>
      <c r="G18" s="1711">
        <f t="shared" ref="G18:J18" si="6">+G16*G17</f>
        <v>8483913.2200000007</v>
      </c>
      <c r="H18" s="1711">
        <f t="shared" si="6"/>
        <v>8104701.3799999999</v>
      </c>
      <c r="I18" s="1711">
        <f t="shared" si="6"/>
        <v>7557884.3200000003</v>
      </c>
      <c r="J18" s="1712">
        <f t="shared" si="6"/>
        <v>8115904.7800000003</v>
      </c>
    </row>
    <row r="19" spans="4:10" ht="15" thickBot="1"/>
    <row r="20" spans="4:10">
      <c r="E20" s="2175" t="s">
        <v>1721</v>
      </c>
      <c r="F20" s="1701">
        <f>+(+$C$5*0.0826)*F2</f>
        <v>62156.500000000007</v>
      </c>
      <c r="G20" s="1701">
        <f>+(+$C$5*0.0826)*G2</f>
        <v>149175.6</v>
      </c>
      <c r="H20" s="1701">
        <f>+(+$C$5*0.0826)*H2</f>
        <v>149175.6</v>
      </c>
      <c r="I20" s="1701">
        <f>+(+$C$5*0.0826)*I2</f>
        <v>149175.6</v>
      </c>
      <c r="J20" s="1731">
        <f>+(+$C$5*0.0826)*J2</f>
        <v>149175.6</v>
      </c>
    </row>
    <row r="21" spans="4:10">
      <c r="E21" s="2176"/>
      <c r="F21" s="455">
        <v>62.5</v>
      </c>
      <c r="G21" s="455">
        <v>62.5</v>
      </c>
      <c r="H21" s="455">
        <v>62.5</v>
      </c>
      <c r="I21" s="455">
        <v>62.5</v>
      </c>
      <c r="J21" s="1702">
        <v>62.5</v>
      </c>
    </row>
    <row r="22" spans="4:10" ht="15" thickBot="1">
      <c r="E22" s="2177"/>
      <c r="F22" s="1703">
        <f t="shared" ref="F22:J22" si="7">+F20*F21</f>
        <v>3884781.2500000005</v>
      </c>
      <c r="G22" s="1703">
        <f t="shared" si="7"/>
        <v>9323475</v>
      </c>
      <c r="H22" s="1703">
        <f t="shared" si="7"/>
        <v>9323475</v>
      </c>
      <c r="I22" s="1703">
        <f t="shared" si="7"/>
        <v>9323475</v>
      </c>
      <c r="J22" s="1704">
        <f t="shared" si="7"/>
        <v>9323475</v>
      </c>
    </row>
  </sheetData>
  <mergeCells count="2">
    <mergeCell ref="D16:D18"/>
    <mergeCell ref="E20:E22"/>
  </mergeCells>
  <pageMargins left="0.7" right="0.7" top="0.75" bottom="0.75" header="0.3" footer="0.3"/>
  <pageSetup orientation="portrait" r:id="rId1"/>
  <legacyDrawing r:id="rId2"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FA5E0-B614-4791-A30C-3C81B81EA5E1}">
  <dimension ref="A1:M185"/>
  <sheetViews>
    <sheetView showGridLines="0" topLeftCell="E147" zoomScaleNormal="100" workbookViewId="0">
      <selection activeCell="P84" sqref="P84"/>
    </sheetView>
  </sheetViews>
  <sheetFormatPr baseColWidth="10" defaultColWidth="8" defaultRowHeight="11.4"/>
  <cols>
    <col min="1" max="1" width="47.109375" style="1440" customWidth="1"/>
    <col min="2" max="2" width="12.6640625" style="1440" customWidth="1"/>
    <col min="3" max="3" width="19.88671875" style="1440" customWidth="1"/>
    <col min="4" max="4" width="18" style="1747" bestFit="1" customWidth="1"/>
    <col min="5" max="5" width="19.44140625" style="1658" bestFit="1" customWidth="1"/>
    <col min="6" max="8" width="12.109375" style="400" bestFit="1" customWidth="1"/>
    <col min="9" max="9" width="13" style="400" bestFit="1" customWidth="1"/>
    <col min="10" max="10" width="12.109375" style="400" bestFit="1" customWidth="1"/>
    <col min="11" max="11" width="8" style="1440"/>
    <col min="12" max="12" width="25.6640625" style="1440" bestFit="1" customWidth="1"/>
    <col min="13" max="13" width="13" style="1568" bestFit="1" customWidth="1"/>
    <col min="14" max="16384" width="8" style="1440"/>
  </cols>
  <sheetData>
    <row r="1" spans="1:10" s="1437" customFormat="1" ht="16.649999999999999" customHeight="1">
      <c r="A1" s="1436" t="s">
        <v>771</v>
      </c>
      <c r="B1" s="1436"/>
      <c r="C1" s="1436"/>
      <c r="D1" s="1778"/>
      <c r="E1" s="1689"/>
      <c r="F1" s="1777"/>
      <c r="G1" s="1777"/>
      <c r="H1" s="1777"/>
      <c r="I1" s="1777"/>
      <c r="J1" s="1777"/>
    </row>
    <row r="2" spans="1:10" s="1439" customFormat="1" ht="14.4" customHeight="1">
      <c r="A2" s="1438" t="s">
        <v>236</v>
      </c>
      <c r="B2" s="1438"/>
      <c r="C2" s="1438"/>
      <c r="D2" s="1776"/>
      <c r="E2" s="1686"/>
      <c r="F2" s="1775"/>
      <c r="G2" s="1775"/>
      <c r="H2" s="1775"/>
      <c r="I2" s="1775"/>
      <c r="J2" s="1775"/>
    </row>
    <row r="3" spans="1:10" s="1439" customFormat="1" ht="14.4" customHeight="1">
      <c r="A3" s="1438" t="s">
        <v>2365</v>
      </c>
      <c r="B3" s="1438"/>
      <c r="C3" s="1438"/>
      <c r="D3" s="1776"/>
      <c r="E3" s="1686"/>
      <c r="F3" s="1775"/>
      <c r="G3" s="1775"/>
      <c r="H3" s="1775"/>
      <c r="I3" s="1775"/>
      <c r="J3" s="1775"/>
    </row>
    <row r="4" spans="1:10" s="1439" customFormat="1" ht="14.4" customHeight="1">
      <c r="A4" s="1438" t="s">
        <v>724</v>
      </c>
      <c r="B4" s="1438"/>
      <c r="C4" s="1438"/>
      <c r="D4" s="1776"/>
      <c r="E4" s="1686"/>
      <c r="F4" s="1775"/>
      <c r="G4" s="1775"/>
      <c r="H4" s="1775"/>
      <c r="I4" s="1775"/>
      <c r="J4" s="1775"/>
    </row>
    <row r="5" spans="1:10" ht="13.35" customHeight="1"/>
    <row r="6" spans="1:10" s="1444" customFormat="1" ht="12.15" customHeight="1">
      <c r="A6" s="1441" t="s">
        <v>690</v>
      </c>
      <c r="B6" s="1441" t="s">
        <v>689</v>
      </c>
      <c r="C6" s="1441" t="s">
        <v>773</v>
      </c>
      <c r="D6" s="1774" t="s">
        <v>2458</v>
      </c>
      <c r="E6" s="1683" t="s">
        <v>2053</v>
      </c>
      <c r="F6" s="1773">
        <v>46082</v>
      </c>
      <c r="G6" s="1773">
        <v>46113</v>
      </c>
      <c r="H6" s="1773">
        <v>46143</v>
      </c>
      <c r="I6" s="1773">
        <v>46174</v>
      </c>
      <c r="J6" s="1773">
        <v>46204</v>
      </c>
    </row>
    <row r="7" spans="1:10" ht="13.35" customHeight="1">
      <c r="D7" s="1749"/>
      <c r="E7" s="1762"/>
      <c r="F7" s="1568"/>
      <c r="G7" s="1568"/>
      <c r="H7" s="1568"/>
      <c r="I7" s="1568"/>
      <c r="J7" s="1568"/>
    </row>
    <row r="8" spans="1:10" s="1444" customFormat="1" ht="12.15" customHeight="1">
      <c r="A8" s="1445" t="s">
        <v>2132</v>
      </c>
      <c r="B8" s="1445"/>
      <c r="C8" s="1445"/>
      <c r="D8" s="1766"/>
      <c r="E8" s="1760"/>
      <c r="F8" s="1569"/>
      <c r="G8" s="1569"/>
      <c r="H8" s="1569"/>
      <c r="I8" s="1569"/>
      <c r="J8" s="1569"/>
    </row>
    <row r="9" spans="1:10" ht="10.95" customHeight="1">
      <c r="A9" s="1446" t="s">
        <v>301</v>
      </c>
      <c r="B9" s="1447">
        <v>45888</v>
      </c>
      <c r="C9" s="1446" t="s">
        <v>1629</v>
      </c>
      <c r="D9" s="1765">
        <v>1427678.42</v>
      </c>
      <c r="E9" s="1757">
        <f>SUM(F9:J9)</f>
        <v>1427678.42</v>
      </c>
      <c r="F9" s="1570">
        <f>+D9</f>
        <v>1427678.42</v>
      </c>
      <c r="G9" s="1570"/>
      <c r="H9" s="1570"/>
      <c r="I9" s="1570"/>
      <c r="J9" s="1570"/>
    </row>
    <row r="10" spans="1:10" ht="10.95" customHeight="1">
      <c r="A10" s="1450" t="s">
        <v>327</v>
      </c>
      <c r="B10" s="1451">
        <v>46076</v>
      </c>
      <c r="C10" s="1450" t="s">
        <v>2366</v>
      </c>
      <c r="D10" s="1764">
        <v>416685.22</v>
      </c>
      <c r="E10" s="1757">
        <f>SUM(F10:J10)</f>
        <v>416685.22</v>
      </c>
      <c r="F10" s="1571">
        <f>+D10</f>
        <v>416685.22</v>
      </c>
      <c r="G10" s="1571"/>
      <c r="H10" s="1571"/>
      <c r="I10" s="1571"/>
      <c r="J10" s="1571"/>
    </row>
    <row r="11" spans="1:10" ht="10.95" customHeight="1">
      <c r="A11" s="1454" t="s">
        <v>2133</v>
      </c>
      <c r="B11" s="1454"/>
      <c r="C11" s="1454"/>
      <c r="D11" s="1763">
        <f t="shared" ref="D11:J11" si="0">SUM(D9:D10)</f>
        <v>1844363.64</v>
      </c>
      <c r="E11" s="1754">
        <f t="shared" si="0"/>
        <v>1844363.64</v>
      </c>
      <c r="F11" s="1572">
        <f t="shared" si="0"/>
        <v>1844363.64</v>
      </c>
      <c r="G11" s="1572">
        <f t="shared" si="0"/>
        <v>0</v>
      </c>
      <c r="H11" s="1572">
        <f t="shared" si="0"/>
        <v>0</v>
      </c>
      <c r="I11" s="1572">
        <f t="shared" si="0"/>
        <v>0</v>
      </c>
      <c r="J11" s="1572">
        <f t="shared" si="0"/>
        <v>0</v>
      </c>
    </row>
    <row r="12" spans="1:10" ht="13.35" customHeight="1">
      <c r="D12" s="1749"/>
      <c r="E12" s="1762"/>
      <c r="F12" s="1568">
        <f t="shared" ref="F12:F28" si="1">+D12</f>
        <v>0</v>
      </c>
      <c r="G12" s="1568"/>
      <c r="H12" s="1568"/>
      <c r="I12" s="1568"/>
      <c r="J12" s="1568"/>
    </row>
    <row r="13" spans="1:10" s="1444" customFormat="1" ht="12.15" customHeight="1">
      <c r="A13" s="1445" t="s">
        <v>1030</v>
      </c>
      <c r="B13" s="1445"/>
      <c r="C13" s="1445"/>
      <c r="D13" s="1766"/>
      <c r="E13" s="1760"/>
      <c r="F13" s="1569">
        <f t="shared" si="1"/>
        <v>0</v>
      </c>
      <c r="G13" s="1569"/>
      <c r="H13" s="1569"/>
      <c r="I13" s="1569"/>
      <c r="J13" s="1569"/>
    </row>
    <row r="14" spans="1:10" ht="10.95" customHeight="1">
      <c r="A14" s="1446" t="s">
        <v>1116</v>
      </c>
      <c r="B14" s="1447">
        <v>46060</v>
      </c>
      <c r="C14" s="1446" t="s">
        <v>2367</v>
      </c>
      <c r="D14" s="1765">
        <v>48000</v>
      </c>
      <c r="E14" s="1757">
        <f t="shared" ref="E14:E30" si="2">SUM(F14:J14)</f>
        <v>48000</v>
      </c>
      <c r="F14" s="1570">
        <f t="shared" si="1"/>
        <v>48000</v>
      </c>
      <c r="G14" s="1570"/>
      <c r="H14" s="1570"/>
      <c r="I14" s="1570"/>
      <c r="J14" s="1570"/>
    </row>
    <row r="15" spans="1:10" ht="10.95" customHeight="1">
      <c r="A15" s="1450" t="s">
        <v>2210</v>
      </c>
      <c r="B15" s="1451">
        <v>46063</v>
      </c>
      <c r="C15" s="1450" t="s">
        <v>2368</v>
      </c>
      <c r="D15" s="1764">
        <v>1104.01</v>
      </c>
      <c r="E15" s="1757">
        <f t="shared" si="2"/>
        <v>1104.01</v>
      </c>
      <c r="F15" s="1571">
        <f t="shared" si="1"/>
        <v>1104.01</v>
      </c>
      <c r="G15" s="1571"/>
      <c r="H15" s="1571"/>
      <c r="I15" s="1571"/>
      <c r="J15" s="1571"/>
    </row>
    <row r="16" spans="1:10" ht="10.95" customHeight="1">
      <c r="A16" s="1450" t="s">
        <v>1116</v>
      </c>
      <c r="B16" s="1451">
        <v>46069</v>
      </c>
      <c r="C16" s="1450" t="s">
        <v>2369</v>
      </c>
      <c r="D16" s="1764">
        <v>6840</v>
      </c>
      <c r="E16" s="1757">
        <f t="shared" si="2"/>
        <v>6840</v>
      </c>
      <c r="F16" s="1571">
        <f t="shared" si="1"/>
        <v>6840</v>
      </c>
      <c r="G16" s="1571"/>
      <c r="H16" s="1571"/>
      <c r="I16" s="1571"/>
      <c r="J16" s="1571"/>
    </row>
    <row r="17" spans="1:13" ht="10.95" customHeight="1">
      <c r="A17" s="1450" t="s">
        <v>2257</v>
      </c>
      <c r="B17" s="1451">
        <v>46071</v>
      </c>
      <c r="C17" s="1450" t="s">
        <v>2370</v>
      </c>
      <c r="D17" s="1764">
        <v>153504</v>
      </c>
      <c r="E17" s="1757">
        <f t="shared" si="2"/>
        <v>153504</v>
      </c>
      <c r="F17" s="1571">
        <f t="shared" si="1"/>
        <v>153504</v>
      </c>
      <c r="G17" s="1571"/>
      <c r="H17" s="1571"/>
      <c r="I17" s="1571"/>
      <c r="J17" s="1571"/>
    </row>
    <row r="18" spans="1:13" ht="10.95" customHeight="1">
      <c r="A18" s="1450" t="s">
        <v>1084</v>
      </c>
      <c r="B18" s="1451">
        <v>46076</v>
      </c>
      <c r="C18" s="1450" t="s">
        <v>2371</v>
      </c>
      <c r="D18" s="1764">
        <v>7669</v>
      </c>
      <c r="E18" s="1757">
        <f t="shared" si="2"/>
        <v>7669</v>
      </c>
      <c r="F18" s="1571">
        <f t="shared" si="1"/>
        <v>7669</v>
      </c>
      <c r="G18" s="1571"/>
      <c r="H18" s="1571"/>
      <c r="I18" s="1571"/>
      <c r="J18" s="1571"/>
    </row>
    <row r="19" spans="1:13" ht="10.95" customHeight="1">
      <c r="A19" s="1446" t="s">
        <v>1116</v>
      </c>
      <c r="B19" s="1447">
        <v>46059</v>
      </c>
      <c r="C19" s="1446" t="s">
        <v>2372</v>
      </c>
      <c r="D19" s="1765">
        <v>52800</v>
      </c>
      <c r="E19" s="1757">
        <f t="shared" si="2"/>
        <v>52800</v>
      </c>
      <c r="F19" s="1570">
        <f t="shared" si="1"/>
        <v>52800</v>
      </c>
      <c r="G19" s="1570"/>
      <c r="H19" s="1570"/>
      <c r="I19" s="1570"/>
      <c r="J19" s="1570"/>
    </row>
    <row r="20" spans="1:13" ht="10.95" customHeight="1">
      <c r="A20" s="1450" t="s">
        <v>1116</v>
      </c>
      <c r="B20" s="1451">
        <v>46059</v>
      </c>
      <c r="C20" s="1450" t="s">
        <v>2373</v>
      </c>
      <c r="D20" s="1764">
        <v>195</v>
      </c>
      <c r="E20" s="1757">
        <f t="shared" si="2"/>
        <v>195</v>
      </c>
      <c r="F20" s="1571">
        <f t="shared" si="1"/>
        <v>195</v>
      </c>
      <c r="G20" s="1571"/>
      <c r="H20" s="1571"/>
      <c r="I20" s="1571"/>
      <c r="J20" s="1571"/>
    </row>
    <row r="21" spans="1:13" ht="10.95" customHeight="1">
      <c r="A21" s="1450" t="s">
        <v>1116</v>
      </c>
      <c r="B21" s="1451">
        <v>46060</v>
      </c>
      <c r="C21" s="1450" t="s">
        <v>2374</v>
      </c>
      <c r="D21" s="1764">
        <v>91200</v>
      </c>
      <c r="E21" s="1757">
        <f t="shared" si="2"/>
        <v>91200</v>
      </c>
      <c r="F21" s="1571">
        <f t="shared" si="1"/>
        <v>91200</v>
      </c>
      <c r="G21" s="1571"/>
      <c r="H21" s="1571"/>
      <c r="I21" s="1571"/>
      <c r="J21" s="1571"/>
    </row>
    <row r="22" spans="1:13" ht="10.95" customHeight="1">
      <c r="A22" s="1450" t="s">
        <v>1116</v>
      </c>
      <c r="B22" s="1451">
        <v>46069</v>
      </c>
      <c r="C22" s="1450" t="s">
        <v>2375</v>
      </c>
      <c r="D22" s="1764">
        <v>16269.5</v>
      </c>
      <c r="E22" s="1757">
        <f t="shared" si="2"/>
        <v>16269.5</v>
      </c>
      <c r="F22" s="1571">
        <f t="shared" si="1"/>
        <v>16269.5</v>
      </c>
      <c r="G22" s="1571"/>
      <c r="H22" s="1571"/>
      <c r="I22" s="1571"/>
      <c r="J22" s="1571"/>
    </row>
    <row r="23" spans="1:13" ht="10.95" customHeight="1">
      <c r="A23" s="1450" t="s">
        <v>2210</v>
      </c>
      <c r="B23" s="1451">
        <v>46069</v>
      </c>
      <c r="C23" s="1450" t="s">
        <v>2376</v>
      </c>
      <c r="D23" s="1764">
        <v>54204.98</v>
      </c>
      <c r="E23" s="1757">
        <f t="shared" si="2"/>
        <v>54204.98</v>
      </c>
      <c r="F23" s="1571">
        <f t="shared" si="1"/>
        <v>54204.98</v>
      </c>
      <c r="G23" s="1571"/>
      <c r="H23" s="1571"/>
      <c r="I23" s="1571"/>
      <c r="J23" s="1571"/>
    </row>
    <row r="24" spans="1:13" ht="10.95" customHeight="1">
      <c r="A24" s="1450" t="s">
        <v>1084</v>
      </c>
      <c r="B24" s="1451">
        <v>46070</v>
      </c>
      <c r="C24" s="1450" t="s">
        <v>2377</v>
      </c>
      <c r="D24" s="1764">
        <v>9500</v>
      </c>
      <c r="E24" s="1757">
        <f t="shared" si="2"/>
        <v>9500</v>
      </c>
      <c r="F24" s="1571">
        <f t="shared" si="1"/>
        <v>9500</v>
      </c>
      <c r="G24" s="1571"/>
      <c r="H24" s="1571"/>
      <c r="I24" s="1571"/>
      <c r="J24" s="1571"/>
    </row>
    <row r="25" spans="1:13" ht="10.95" customHeight="1">
      <c r="A25" s="1450" t="s">
        <v>2210</v>
      </c>
      <c r="B25" s="1451">
        <v>46071</v>
      </c>
      <c r="C25" s="1450" t="s">
        <v>2378</v>
      </c>
      <c r="D25" s="1764">
        <v>21999.919999999998</v>
      </c>
      <c r="E25" s="1757">
        <f t="shared" si="2"/>
        <v>21999.919999999998</v>
      </c>
      <c r="F25" s="1571">
        <f t="shared" si="1"/>
        <v>21999.919999999998</v>
      </c>
      <c r="G25" s="1571"/>
      <c r="H25" s="1571"/>
      <c r="I25" s="1571"/>
      <c r="J25" s="1571"/>
    </row>
    <row r="26" spans="1:13" ht="10.95" customHeight="1">
      <c r="A26" s="1450" t="s">
        <v>2210</v>
      </c>
      <c r="B26" s="1451">
        <v>46072</v>
      </c>
      <c r="C26" s="1450" t="s">
        <v>2379</v>
      </c>
      <c r="D26" s="1764">
        <v>12690.84</v>
      </c>
      <c r="E26" s="1757">
        <f t="shared" si="2"/>
        <v>12690.84</v>
      </c>
      <c r="F26" s="1571">
        <f t="shared" si="1"/>
        <v>12690.84</v>
      </c>
      <c r="G26" s="1571"/>
      <c r="H26" s="1571"/>
      <c r="I26" s="1571"/>
      <c r="J26" s="1571"/>
    </row>
    <row r="27" spans="1:13" ht="10.95" customHeight="1">
      <c r="A27" s="1450" t="s">
        <v>1116</v>
      </c>
      <c r="B27" s="1451">
        <v>46077</v>
      </c>
      <c r="C27" s="1450" t="s">
        <v>2380</v>
      </c>
      <c r="D27" s="1764">
        <v>3358.42</v>
      </c>
      <c r="E27" s="1757">
        <f t="shared" si="2"/>
        <v>3358.42</v>
      </c>
      <c r="F27" s="1571">
        <f t="shared" si="1"/>
        <v>3358.42</v>
      </c>
      <c r="G27" s="1571"/>
      <c r="H27" s="1571"/>
      <c r="I27" s="1571"/>
      <c r="J27" s="1571"/>
    </row>
    <row r="28" spans="1:13" ht="10.95" customHeight="1">
      <c r="A28" s="1450" t="s">
        <v>1337</v>
      </c>
      <c r="B28" s="1451">
        <v>46077</v>
      </c>
      <c r="C28" s="1450" t="s">
        <v>2381</v>
      </c>
      <c r="D28" s="1764">
        <v>4838</v>
      </c>
      <c r="E28" s="1757">
        <f t="shared" si="2"/>
        <v>4838</v>
      </c>
      <c r="F28" s="1571">
        <f t="shared" si="1"/>
        <v>4838</v>
      </c>
      <c r="G28" s="1571"/>
      <c r="H28" s="1571"/>
      <c r="I28" s="1571"/>
      <c r="J28" s="1571"/>
      <c r="M28" s="1568" t="s">
        <v>1764</v>
      </c>
    </row>
    <row r="29" spans="1:13" ht="10.95" customHeight="1">
      <c r="A29" s="1672" t="s">
        <v>2346</v>
      </c>
      <c r="B29" s="1673"/>
      <c r="C29" s="1672"/>
      <c r="D29" s="1758"/>
      <c r="E29" s="1757">
        <f t="shared" si="2"/>
        <v>23903185.490000002</v>
      </c>
      <c r="F29" s="1771">
        <f>690000+M36</f>
        <v>3953185.4899999998</v>
      </c>
      <c r="G29" s="1771">
        <v>1900000</v>
      </c>
      <c r="H29" s="1771">
        <v>4600000</v>
      </c>
      <c r="I29" s="1771">
        <v>11200000</v>
      </c>
      <c r="J29" s="1771">
        <v>2250000</v>
      </c>
    </row>
    <row r="30" spans="1:13" ht="10.95" customHeight="1">
      <c r="A30" s="1672" t="s">
        <v>2054</v>
      </c>
      <c r="B30" s="1673"/>
      <c r="C30" s="1672"/>
      <c r="D30" s="1758"/>
      <c r="E30" s="1757">
        <f t="shared" si="2"/>
        <v>760716.2</v>
      </c>
      <c r="F30" s="1772">
        <f>403581*0.2</f>
        <v>80716.200000000012</v>
      </c>
      <c r="G30" s="1771">
        <f>850000*0.2</f>
        <v>170000</v>
      </c>
      <c r="H30" s="1771">
        <f t="shared" ref="H30:J30" si="3">850000*0.2</f>
        <v>170000</v>
      </c>
      <c r="I30" s="1771">
        <f t="shared" si="3"/>
        <v>170000</v>
      </c>
      <c r="J30" s="1771">
        <f t="shared" si="3"/>
        <v>170000</v>
      </c>
      <c r="L30" s="1440" t="s">
        <v>2459</v>
      </c>
      <c r="M30" s="1568">
        <v>7350000</v>
      </c>
    </row>
    <row r="31" spans="1:13" ht="10.95" customHeight="1">
      <c r="A31" s="1454" t="s">
        <v>1831</v>
      </c>
      <c r="B31" s="1454"/>
      <c r="C31" s="1454"/>
      <c r="D31" s="1763">
        <f t="shared" ref="D31:J31" si="4">SUM(D14:D30)</f>
        <v>484173.67</v>
      </c>
      <c r="E31" s="1754">
        <f t="shared" si="4"/>
        <v>25148075.360000003</v>
      </c>
      <c r="F31" s="1572">
        <f t="shared" si="4"/>
        <v>4518075.3600000003</v>
      </c>
      <c r="G31" s="1572">
        <f t="shared" si="4"/>
        <v>2070000</v>
      </c>
      <c r="H31" s="1572">
        <f t="shared" si="4"/>
        <v>4770000</v>
      </c>
      <c r="I31" s="1572">
        <f t="shared" si="4"/>
        <v>11370000</v>
      </c>
      <c r="J31" s="1572">
        <f t="shared" si="4"/>
        <v>2420000</v>
      </c>
      <c r="K31" s="1455"/>
      <c r="L31" s="1440" t="s">
        <v>2460</v>
      </c>
      <c r="M31" s="1568">
        <f>+'Costos a Feb-26'!U6</f>
        <v>3179721.24</v>
      </c>
    </row>
    <row r="32" spans="1:13" ht="13.35" customHeight="1">
      <c r="D32" s="1749"/>
      <c r="E32" s="1762"/>
      <c r="F32" s="1568">
        <f t="shared" ref="F32:F63" si="5">+D32</f>
        <v>0</v>
      </c>
      <c r="G32" s="1568"/>
      <c r="H32" s="1568"/>
      <c r="I32" s="1568"/>
      <c r="J32" s="1568"/>
      <c r="L32" s="1440" t="s">
        <v>2461</v>
      </c>
      <c r="M32" s="1568">
        <f>+M30-M31</f>
        <v>4170278.76</v>
      </c>
    </row>
    <row r="33" spans="1:13" s="1444" customFormat="1" ht="12.15" customHeight="1">
      <c r="A33" s="1445" t="s">
        <v>2056</v>
      </c>
      <c r="B33" s="1445"/>
      <c r="C33" s="1445"/>
      <c r="D33" s="1766"/>
      <c r="E33" s="1760"/>
      <c r="F33" s="1569">
        <f t="shared" si="5"/>
        <v>0</v>
      </c>
      <c r="G33" s="1569"/>
      <c r="H33" s="1569"/>
      <c r="I33" s="1569"/>
      <c r="J33" s="1569"/>
      <c r="L33" s="1444" t="s">
        <v>2052</v>
      </c>
      <c r="M33" s="1780">
        <f>+D31</f>
        <v>484173.67</v>
      </c>
    </row>
    <row r="34" spans="1:13" ht="10.95" customHeight="1">
      <c r="A34" s="1446" t="s">
        <v>2220</v>
      </c>
      <c r="B34" s="1447">
        <v>46051</v>
      </c>
      <c r="C34" s="1446" t="s">
        <v>2282</v>
      </c>
      <c r="D34" s="1765">
        <v>23425.1</v>
      </c>
      <c r="E34" s="1757">
        <f t="shared" ref="E34:E65" si="6">SUM(F34:J34)</f>
        <v>23425.1</v>
      </c>
      <c r="F34" s="1570">
        <f t="shared" si="5"/>
        <v>23425.1</v>
      </c>
      <c r="G34" s="1570"/>
      <c r="H34" s="1570"/>
      <c r="I34" s="1570"/>
      <c r="J34" s="1570"/>
      <c r="L34" s="1440" t="s">
        <v>2461</v>
      </c>
      <c r="M34" s="1568">
        <f>+M32-M33</f>
        <v>3686105.09</v>
      </c>
    </row>
    <row r="35" spans="1:13" ht="10.95" customHeight="1">
      <c r="A35" s="1450" t="s">
        <v>1116</v>
      </c>
      <c r="B35" s="1451">
        <v>46052</v>
      </c>
      <c r="C35" s="1450" t="s">
        <v>2285</v>
      </c>
      <c r="D35" s="1764">
        <v>66195.34</v>
      </c>
      <c r="E35" s="1757">
        <f t="shared" si="6"/>
        <v>66195.34</v>
      </c>
      <c r="F35" s="1571">
        <f t="shared" si="5"/>
        <v>66195.34</v>
      </c>
      <c r="G35" s="1571"/>
      <c r="H35" s="1571"/>
      <c r="I35" s="1571"/>
      <c r="J35" s="1571"/>
      <c r="L35" s="1440" t="s">
        <v>2462</v>
      </c>
      <c r="M35" s="1568">
        <f>+'Anticipos 02-26'!D5</f>
        <v>422919.6</v>
      </c>
    </row>
    <row r="36" spans="1:13" ht="10.95" customHeight="1">
      <c r="A36" s="1450" t="s">
        <v>1116</v>
      </c>
      <c r="B36" s="1451">
        <v>46052</v>
      </c>
      <c r="C36" s="1450" t="s">
        <v>2283</v>
      </c>
      <c r="D36" s="1764">
        <v>45592.49</v>
      </c>
      <c r="E36" s="1757">
        <f t="shared" si="6"/>
        <v>45592.49</v>
      </c>
      <c r="F36" s="1571">
        <f t="shared" si="5"/>
        <v>45592.49</v>
      </c>
      <c r="G36" s="1571"/>
      <c r="H36" s="1571"/>
      <c r="I36" s="1571"/>
      <c r="J36" s="1571"/>
      <c r="M36" s="1568">
        <f>+M34-M35</f>
        <v>3263185.4899999998</v>
      </c>
    </row>
    <row r="37" spans="1:13" ht="10.95" customHeight="1">
      <c r="A37" s="1450" t="s">
        <v>1116</v>
      </c>
      <c r="B37" s="1451">
        <v>46052</v>
      </c>
      <c r="C37" s="1450" t="s">
        <v>2284</v>
      </c>
      <c r="D37" s="1764">
        <v>2240.1999999999998</v>
      </c>
      <c r="E37" s="1757">
        <f t="shared" si="6"/>
        <v>2240.1999999999998</v>
      </c>
      <c r="F37" s="1571">
        <f t="shared" si="5"/>
        <v>2240.1999999999998</v>
      </c>
      <c r="G37" s="1571"/>
      <c r="H37" s="1571"/>
      <c r="I37" s="1571"/>
      <c r="J37" s="1571"/>
    </row>
    <row r="38" spans="1:13" ht="10.95" customHeight="1">
      <c r="A38" s="1450" t="s">
        <v>1116</v>
      </c>
      <c r="B38" s="1451">
        <v>46052</v>
      </c>
      <c r="C38" s="1450" t="s">
        <v>2286</v>
      </c>
      <c r="D38" s="1764">
        <v>5800</v>
      </c>
      <c r="E38" s="1757">
        <f t="shared" si="6"/>
        <v>5800</v>
      </c>
      <c r="F38" s="1571">
        <f t="shared" si="5"/>
        <v>5800</v>
      </c>
      <c r="G38" s="1571"/>
      <c r="H38" s="1571"/>
      <c r="I38" s="1571"/>
      <c r="J38" s="1571"/>
    </row>
    <row r="39" spans="1:13" ht="10.95" customHeight="1">
      <c r="A39" s="1450" t="s">
        <v>2210</v>
      </c>
      <c r="B39" s="1451">
        <v>46053</v>
      </c>
      <c r="C39" s="1450" t="s">
        <v>2287</v>
      </c>
      <c r="D39" s="1764">
        <v>1834.83</v>
      </c>
      <c r="E39" s="1757">
        <f t="shared" si="6"/>
        <v>1834.83</v>
      </c>
      <c r="F39" s="1571">
        <f t="shared" si="5"/>
        <v>1834.83</v>
      </c>
      <c r="G39" s="1571"/>
      <c r="H39" s="1571"/>
      <c r="I39" s="1571"/>
      <c r="J39" s="1571"/>
    </row>
    <row r="40" spans="1:13" ht="10.95" customHeight="1">
      <c r="A40" s="1450" t="s">
        <v>2210</v>
      </c>
      <c r="B40" s="1451">
        <v>46055</v>
      </c>
      <c r="C40" s="1450" t="s">
        <v>2382</v>
      </c>
      <c r="D40" s="1764">
        <v>5603.56</v>
      </c>
      <c r="E40" s="1757">
        <f t="shared" si="6"/>
        <v>5603.56</v>
      </c>
      <c r="F40" s="1571">
        <f t="shared" si="5"/>
        <v>5603.56</v>
      </c>
      <c r="G40" s="1571"/>
      <c r="H40" s="1571"/>
      <c r="I40" s="1571"/>
      <c r="J40" s="1571"/>
    </row>
    <row r="41" spans="1:13" ht="10.95" customHeight="1">
      <c r="A41" s="1450" t="s">
        <v>2210</v>
      </c>
      <c r="B41" s="1451">
        <v>46057</v>
      </c>
      <c r="C41" s="1450" t="s">
        <v>2383</v>
      </c>
      <c r="D41" s="1764">
        <v>170434.85</v>
      </c>
      <c r="E41" s="1757">
        <f t="shared" si="6"/>
        <v>170434.85</v>
      </c>
      <c r="F41" s="1571">
        <f t="shared" si="5"/>
        <v>170434.85</v>
      </c>
      <c r="G41" s="1571"/>
      <c r="H41" s="1571"/>
      <c r="I41" s="1571"/>
      <c r="J41" s="1571"/>
    </row>
    <row r="42" spans="1:13" ht="10.95" customHeight="1">
      <c r="A42" s="1450" t="s">
        <v>2210</v>
      </c>
      <c r="B42" s="1451">
        <v>46057</v>
      </c>
      <c r="C42" s="1450" t="s">
        <v>2384</v>
      </c>
      <c r="D42" s="1764">
        <v>4005.51</v>
      </c>
      <c r="E42" s="1757">
        <f t="shared" si="6"/>
        <v>4005.51</v>
      </c>
      <c r="F42" s="1571">
        <f t="shared" si="5"/>
        <v>4005.51</v>
      </c>
      <c r="G42" s="1571"/>
      <c r="H42" s="1571"/>
      <c r="I42" s="1571"/>
      <c r="J42" s="1571"/>
    </row>
    <row r="43" spans="1:13" ht="10.95" customHeight="1">
      <c r="A43" s="1450" t="s">
        <v>2220</v>
      </c>
      <c r="B43" s="1451">
        <v>46058</v>
      </c>
      <c r="C43" s="1450" t="s">
        <v>2385</v>
      </c>
      <c r="D43" s="1764">
        <v>803.18</v>
      </c>
      <c r="E43" s="1757">
        <f t="shared" si="6"/>
        <v>803.18</v>
      </c>
      <c r="F43" s="1571">
        <f t="shared" si="5"/>
        <v>803.18</v>
      </c>
      <c r="G43" s="1571"/>
      <c r="H43" s="1571"/>
      <c r="I43" s="1571"/>
      <c r="J43" s="1571"/>
    </row>
    <row r="44" spans="1:13" ht="10.95" customHeight="1">
      <c r="A44" s="1450" t="s">
        <v>2220</v>
      </c>
      <c r="B44" s="1451">
        <v>46058</v>
      </c>
      <c r="C44" s="1450" t="s">
        <v>2386</v>
      </c>
      <c r="D44" s="1764">
        <v>75253.929999999993</v>
      </c>
      <c r="E44" s="1757">
        <f t="shared" si="6"/>
        <v>75253.929999999993</v>
      </c>
      <c r="F44" s="1571">
        <f t="shared" si="5"/>
        <v>75253.929999999993</v>
      </c>
      <c r="G44" s="1571"/>
      <c r="H44" s="1571"/>
      <c r="I44" s="1571"/>
      <c r="J44" s="1571"/>
    </row>
    <row r="45" spans="1:13" ht="10.95" customHeight="1">
      <c r="A45" s="1450" t="s">
        <v>1116</v>
      </c>
      <c r="B45" s="1451">
        <v>46059</v>
      </c>
      <c r="C45" s="1450" t="s">
        <v>2387</v>
      </c>
      <c r="D45" s="1764">
        <v>340000.56</v>
      </c>
      <c r="E45" s="1757">
        <f t="shared" si="6"/>
        <v>340000.56</v>
      </c>
      <c r="F45" s="1571">
        <f t="shared" si="5"/>
        <v>340000.56</v>
      </c>
      <c r="G45" s="1571"/>
      <c r="H45" s="1571"/>
      <c r="I45" s="1571"/>
      <c r="J45" s="1571"/>
    </row>
    <row r="46" spans="1:13" ht="10.95" customHeight="1">
      <c r="A46" s="1450" t="s">
        <v>1116</v>
      </c>
      <c r="B46" s="1451">
        <v>46059</v>
      </c>
      <c r="C46" s="1450" t="s">
        <v>2388</v>
      </c>
      <c r="D46" s="1764">
        <v>117600</v>
      </c>
      <c r="E46" s="1757">
        <f t="shared" si="6"/>
        <v>117600</v>
      </c>
      <c r="F46" s="1571">
        <f t="shared" si="5"/>
        <v>117600</v>
      </c>
      <c r="G46" s="1571"/>
      <c r="H46" s="1571"/>
      <c r="I46" s="1571"/>
      <c r="J46" s="1571"/>
    </row>
    <row r="47" spans="1:13" ht="10.95" customHeight="1">
      <c r="A47" s="1450" t="s">
        <v>2210</v>
      </c>
      <c r="B47" s="1451">
        <v>46059</v>
      </c>
      <c r="C47" s="1450" t="s">
        <v>2389</v>
      </c>
      <c r="D47" s="1764">
        <v>10259.379999999999</v>
      </c>
      <c r="E47" s="1757">
        <f t="shared" si="6"/>
        <v>10259.379999999999</v>
      </c>
      <c r="F47" s="1571">
        <f t="shared" si="5"/>
        <v>10259.379999999999</v>
      </c>
      <c r="G47" s="1571"/>
      <c r="H47" s="1571"/>
      <c r="I47" s="1571"/>
      <c r="J47" s="1571"/>
    </row>
    <row r="48" spans="1:13" ht="10.95" customHeight="1">
      <c r="A48" s="1450" t="s">
        <v>2210</v>
      </c>
      <c r="B48" s="1451">
        <v>46063</v>
      </c>
      <c r="C48" s="1450" t="s">
        <v>2390</v>
      </c>
      <c r="D48" s="1764">
        <v>2621.82</v>
      </c>
      <c r="E48" s="1757">
        <f t="shared" si="6"/>
        <v>2621.82</v>
      </c>
      <c r="F48" s="1571">
        <f t="shared" si="5"/>
        <v>2621.82</v>
      </c>
      <c r="G48" s="1571"/>
      <c r="H48" s="1571"/>
      <c r="I48" s="1571"/>
      <c r="J48" s="1571"/>
    </row>
    <row r="49" spans="1:10" ht="10.95" customHeight="1">
      <c r="A49" s="1450" t="s">
        <v>1116</v>
      </c>
      <c r="B49" s="1451">
        <v>46064</v>
      </c>
      <c r="C49" s="1450" t="s">
        <v>2391</v>
      </c>
      <c r="D49" s="1764">
        <v>294000</v>
      </c>
      <c r="E49" s="1757">
        <f t="shared" si="6"/>
        <v>294000</v>
      </c>
      <c r="F49" s="1571">
        <f t="shared" si="5"/>
        <v>294000</v>
      </c>
      <c r="G49" s="1571"/>
      <c r="H49" s="1571"/>
      <c r="I49" s="1571"/>
      <c r="J49" s="1571"/>
    </row>
    <row r="50" spans="1:10" ht="10.95" customHeight="1">
      <c r="A50" s="1450" t="s">
        <v>1116</v>
      </c>
      <c r="B50" s="1451">
        <v>46064</v>
      </c>
      <c r="C50" s="1450" t="s">
        <v>2392</v>
      </c>
      <c r="D50" s="1764">
        <v>13552</v>
      </c>
      <c r="E50" s="1757">
        <f t="shared" si="6"/>
        <v>13552</v>
      </c>
      <c r="F50" s="1571">
        <f t="shared" si="5"/>
        <v>13552</v>
      </c>
      <c r="G50" s="1571"/>
      <c r="H50" s="1571"/>
      <c r="I50" s="1571"/>
      <c r="J50" s="1571"/>
    </row>
    <row r="51" spans="1:10" ht="10.95" customHeight="1">
      <c r="A51" s="1450" t="s">
        <v>1116</v>
      </c>
      <c r="B51" s="1451">
        <v>46064</v>
      </c>
      <c r="C51" s="1450" t="s">
        <v>2393</v>
      </c>
      <c r="D51" s="1764">
        <v>612000.88</v>
      </c>
      <c r="E51" s="1757">
        <f t="shared" si="6"/>
        <v>612000.88</v>
      </c>
      <c r="F51" s="1571">
        <f t="shared" si="5"/>
        <v>612000.88</v>
      </c>
      <c r="G51" s="1571"/>
      <c r="H51" s="1571"/>
      <c r="I51" s="1571"/>
      <c r="J51" s="1571"/>
    </row>
    <row r="52" spans="1:10" ht="10.95" customHeight="1">
      <c r="A52" s="1450" t="s">
        <v>2394</v>
      </c>
      <c r="B52" s="1451">
        <v>46065</v>
      </c>
      <c r="C52" s="1450" t="s">
        <v>2395</v>
      </c>
      <c r="D52" s="1764">
        <v>217296</v>
      </c>
      <c r="E52" s="1757">
        <f t="shared" si="6"/>
        <v>217296</v>
      </c>
      <c r="F52" s="1571">
        <f t="shared" si="5"/>
        <v>217296</v>
      </c>
      <c r="G52" s="1571"/>
      <c r="H52" s="1571"/>
      <c r="I52" s="1571"/>
      <c r="J52" s="1571"/>
    </row>
    <row r="53" spans="1:10" ht="10.95" customHeight="1">
      <c r="A53" s="1450" t="s">
        <v>1116</v>
      </c>
      <c r="B53" s="1451">
        <v>46067</v>
      </c>
      <c r="C53" s="1450" t="s">
        <v>2396</v>
      </c>
      <c r="D53" s="1764">
        <v>40791.599999999999</v>
      </c>
      <c r="E53" s="1757">
        <f t="shared" si="6"/>
        <v>40791.599999999999</v>
      </c>
      <c r="F53" s="1571">
        <f t="shared" si="5"/>
        <v>40791.599999999999</v>
      </c>
      <c r="G53" s="1571"/>
      <c r="H53" s="1571"/>
      <c r="I53" s="1571"/>
      <c r="J53" s="1571"/>
    </row>
    <row r="54" spans="1:10" ht="10.95" customHeight="1">
      <c r="A54" s="1450" t="s">
        <v>2265</v>
      </c>
      <c r="B54" s="1451">
        <v>46067</v>
      </c>
      <c r="C54" s="1450" t="s">
        <v>2397</v>
      </c>
      <c r="D54" s="1764">
        <v>83100.2</v>
      </c>
      <c r="E54" s="1757">
        <f t="shared" si="6"/>
        <v>83100.2</v>
      </c>
      <c r="F54" s="1571">
        <f t="shared" si="5"/>
        <v>83100.2</v>
      </c>
      <c r="G54" s="1571"/>
      <c r="H54" s="1571"/>
      <c r="I54" s="1571"/>
      <c r="J54" s="1571"/>
    </row>
    <row r="55" spans="1:10" ht="10.95" customHeight="1">
      <c r="A55" s="1450" t="s">
        <v>1116</v>
      </c>
      <c r="B55" s="1451">
        <v>46069</v>
      </c>
      <c r="C55" s="1450" t="s">
        <v>2398</v>
      </c>
      <c r="D55" s="1764">
        <v>384</v>
      </c>
      <c r="E55" s="1757">
        <f t="shared" si="6"/>
        <v>384</v>
      </c>
      <c r="F55" s="1571">
        <f t="shared" si="5"/>
        <v>384</v>
      </c>
      <c r="G55" s="1571"/>
      <c r="H55" s="1571"/>
      <c r="I55" s="1571"/>
      <c r="J55" s="1571"/>
    </row>
    <row r="56" spans="1:10" ht="10.95" customHeight="1">
      <c r="A56" s="1450" t="s">
        <v>1116</v>
      </c>
      <c r="B56" s="1451">
        <v>46069</v>
      </c>
      <c r="C56" s="1450" t="s">
        <v>2399</v>
      </c>
      <c r="D56" s="1764">
        <v>176162</v>
      </c>
      <c r="E56" s="1757">
        <f t="shared" si="6"/>
        <v>176162</v>
      </c>
      <c r="F56" s="1571">
        <f t="shared" si="5"/>
        <v>176162</v>
      </c>
      <c r="G56" s="1571"/>
      <c r="H56" s="1571"/>
      <c r="I56" s="1571"/>
      <c r="J56" s="1571"/>
    </row>
    <row r="57" spans="1:10" ht="10.95" customHeight="1">
      <c r="A57" s="1450" t="s">
        <v>2400</v>
      </c>
      <c r="B57" s="1451">
        <v>46069</v>
      </c>
      <c r="C57" s="1450" t="s">
        <v>2401</v>
      </c>
      <c r="D57" s="1764">
        <v>243582.06</v>
      </c>
      <c r="E57" s="1757">
        <f t="shared" si="6"/>
        <v>243582.06</v>
      </c>
      <c r="F57" s="1571">
        <f t="shared" si="5"/>
        <v>243582.06</v>
      </c>
      <c r="G57" s="1571"/>
      <c r="H57" s="1571"/>
      <c r="I57" s="1571"/>
      <c r="J57" s="1571"/>
    </row>
    <row r="58" spans="1:10" ht="10.95" customHeight="1">
      <c r="A58" s="1450" t="s">
        <v>2220</v>
      </c>
      <c r="B58" s="1451">
        <v>46069</v>
      </c>
      <c r="C58" s="1450" t="s">
        <v>2402</v>
      </c>
      <c r="D58" s="1764">
        <v>30238.04</v>
      </c>
      <c r="E58" s="1757">
        <f t="shared" si="6"/>
        <v>30238.04</v>
      </c>
      <c r="F58" s="1571">
        <f t="shared" si="5"/>
        <v>30238.04</v>
      </c>
      <c r="G58" s="1571"/>
      <c r="H58" s="1571"/>
      <c r="I58" s="1571"/>
      <c r="J58" s="1571"/>
    </row>
    <row r="59" spans="1:10" ht="10.95" customHeight="1">
      <c r="A59" s="1450" t="s">
        <v>2220</v>
      </c>
      <c r="B59" s="1451">
        <v>46069</v>
      </c>
      <c r="C59" s="1450" t="s">
        <v>2403</v>
      </c>
      <c r="D59" s="1764">
        <v>3508.4</v>
      </c>
      <c r="E59" s="1757">
        <f t="shared" si="6"/>
        <v>3508.4</v>
      </c>
      <c r="F59" s="1571">
        <f t="shared" si="5"/>
        <v>3508.4</v>
      </c>
      <c r="G59" s="1571"/>
      <c r="H59" s="1571"/>
      <c r="I59" s="1571"/>
      <c r="J59" s="1571"/>
    </row>
    <row r="60" spans="1:10" ht="10.95" customHeight="1">
      <c r="A60" s="1450" t="s">
        <v>1116</v>
      </c>
      <c r="B60" s="1451">
        <v>46070</v>
      </c>
      <c r="C60" s="1450" t="s">
        <v>2404</v>
      </c>
      <c r="D60" s="1764">
        <v>3150</v>
      </c>
      <c r="E60" s="1757">
        <f t="shared" si="6"/>
        <v>3150</v>
      </c>
      <c r="F60" s="1571">
        <f t="shared" si="5"/>
        <v>3150</v>
      </c>
      <c r="G60" s="1571"/>
      <c r="H60" s="1571"/>
      <c r="I60" s="1571"/>
      <c r="J60" s="1571"/>
    </row>
    <row r="61" spans="1:10" ht="10.95" customHeight="1">
      <c r="A61" s="1450" t="s">
        <v>2400</v>
      </c>
      <c r="B61" s="1451">
        <v>46070</v>
      </c>
      <c r="C61" s="1450" t="s">
        <v>2405</v>
      </c>
      <c r="D61" s="1764">
        <v>240141.36</v>
      </c>
      <c r="E61" s="1757">
        <f t="shared" si="6"/>
        <v>240141.36</v>
      </c>
      <c r="F61" s="1571">
        <f t="shared" si="5"/>
        <v>240141.36</v>
      </c>
      <c r="G61" s="1571"/>
      <c r="H61" s="1571"/>
      <c r="I61" s="1571"/>
      <c r="J61" s="1571"/>
    </row>
    <row r="62" spans="1:10" ht="10.95" customHeight="1">
      <c r="A62" s="1450" t="s">
        <v>2406</v>
      </c>
      <c r="B62" s="1451">
        <v>46071</v>
      </c>
      <c r="C62" s="1450" t="s">
        <v>2407</v>
      </c>
      <c r="D62" s="1764">
        <v>18644</v>
      </c>
      <c r="E62" s="1757">
        <f t="shared" si="6"/>
        <v>18644</v>
      </c>
      <c r="F62" s="1571">
        <f t="shared" si="5"/>
        <v>18644</v>
      </c>
      <c r="G62" s="1571"/>
      <c r="H62" s="1571"/>
      <c r="I62" s="1571"/>
      <c r="J62" s="1571"/>
    </row>
    <row r="63" spans="1:10" ht="10.95" customHeight="1">
      <c r="A63" s="1450" t="s">
        <v>1116</v>
      </c>
      <c r="B63" s="1451">
        <v>46072</v>
      </c>
      <c r="C63" s="1450" t="s">
        <v>2408</v>
      </c>
      <c r="D63" s="1764">
        <v>12200</v>
      </c>
      <c r="E63" s="1757">
        <f t="shared" si="6"/>
        <v>12200</v>
      </c>
      <c r="F63" s="1571">
        <f t="shared" si="5"/>
        <v>12200</v>
      </c>
      <c r="G63" s="1571"/>
      <c r="H63" s="1571"/>
      <c r="I63" s="1571"/>
      <c r="J63" s="1571"/>
    </row>
    <row r="64" spans="1:10" ht="10.95" customHeight="1">
      <c r="A64" s="1450" t="s">
        <v>1116</v>
      </c>
      <c r="B64" s="1451">
        <v>46072</v>
      </c>
      <c r="C64" s="1450" t="s">
        <v>2409</v>
      </c>
      <c r="D64" s="1764">
        <v>4524</v>
      </c>
      <c r="E64" s="1757">
        <f t="shared" si="6"/>
        <v>4524</v>
      </c>
      <c r="F64" s="1571">
        <f t="shared" ref="F64:F85" si="7">+D64</f>
        <v>4524</v>
      </c>
      <c r="G64" s="1571"/>
      <c r="H64" s="1571"/>
      <c r="I64" s="1571"/>
      <c r="J64" s="1571"/>
    </row>
    <row r="65" spans="1:10" ht="10.95" customHeight="1">
      <c r="A65" s="1450" t="s">
        <v>1116</v>
      </c>
      <c r="B65" s="1451">
        <v>46072</v>
      </c>
      <c r="C65" s="1450" t="s">
        <v>2410</v>
      </c>
      <c r="D65" s="1764">
        <v>614000.34</v>
      </c>
      <c r="E65" s="1757">
        <f t="shared" si="6"/>
        <v>614000.34</v>
      </c>
      <c r="F65" s="1571">
        <f t="shared" si="7"/>
        <v>614000.34</v>
      </c>
      <c r="G65" s="1571"/>
      <c r="H65" s="1571"/>
      <c r="I65" s="1571"/>
      <c r="J65" s="1571"/>
    </row>
    <row r="66" spans="1:10" ht="10.95" customHeight="1">
      <c r="A66" s="1450" t="s">
        <v>2400</v>
      </c>
      <c r="B66" s="1451">
        <v>46072</v>
      </c>
      <c r="C66" s="1450" t="s">
        <v>2411</v>
      </c>
      <c r="D66" s="1764">
        <v>240141.37</v>
      </c>
      <c r="E66" s="1757">
        <f t="shared" ref="E66:E87" si="8">SUM(F66:J66)</f>
        <v>240141.37</v>
      </c>
      <c r="F66" s="1571">
        <f t="shared" si="7"/>
        <v>240141.37</v>
      </c>
      <c r="G66" s="1571"/>
      <c r="H66" s="1571"/>
      <c r="I66" s="1571"/>
      <c r="J66" s="1571"/>
    </row>
    <row r="67" spans="1:10" ht="10.95" customHeight="1">
      <c r="A67" s="1450" t="s">
        <v>2400</v>
      </c>
      <c r="B67" s="1451">
        <v>46072</v>
      </c>
      <c r="C67" s="1450" t="s">
        <v>2412</v>
      </c>
      <c r="D67" s="1764">
        <v>240141.36</v>
      </c>
      <c r="E67" s="1757">
        <f t="shared" si="8"/>
        <v>240141.36</v>
      </c>
      <c r="F67" s="1571">
        <f t="shared" si="7"/>
        <v>240141.36</v>
      </c>
      <c r="G67" s="1571"/>
      <c r="H67" s="1571"/>
      <c r="I67" s="1571"/>
      <c r="J67" s="1571"/>
    </row>
    <row r="68" spans="1:10" ht="10.95" customHeight="1">
      <c r="A68" s="1450" t="s">
        <v>1116</v>
      </c>
      <c r="B68" s="1451">
        <v>46073</v>
      </c>
      <c r="C68" s="1450" t="s">
        <v>2413</v>
      </c>
      <c r="D68" s="1764">
        <v>16769.46</v>
      </c>
      <c r="E68" s="1757">
        <f t="shared" si="8"/>
        <v>16769.46</v>
      </c>
      <c r="F68" s="1571">
        <f t="shared" si="7"/>
        <v>16769.46</v>
      </c>
      <c r="G68" s="1571"/>
      <c r="H68" s="1571"/>
      <c r="I68" s="1571"/>
      <c r="J68" s="1571"/>
    </row>
    <row r="69" spans="1:10" ht="10.95" customHeight="1">
      <c r="A69" s="1450" t="s">
        <v>1116</v>
      </c>
      <c r="B69" s="1451">
        <v>46073</v>
      </c>
      <c r="C69" s="1450" t="s">
        <v>2414</v>
      </c>
      <c r="D69" s="1764">
        <v>23796</v>
      </c>
      <c r="E69" s="1757">
        <f t="shared" si="8"/>
        <v>23796</v>
      </c>
      <c r="F69" s="1571">
        <f t="shared" si="7"/>
        <v>23796</v>
      </c>
      <c r="G69" s="1571"/>
      <c r="H69" s="1571"/>
      <c r="I69" s="1571"/>
      <c r="J69" s="1571"/>
    </row>
    <row r="70" spans="1:10" ht="10.95" customHeight="1">
      <c r="A70" s="1450" t="s">
        <v>2210</v>
      </c>
      <c r="B70" s="1451">
        <v>46073</v>
      </c>
      <c r="C70" s="1450" t="s">
        <v>2415</v>
      </c>
      <c r="D70" s="1764">
        <v>60171.69</v>
      </c>
      <c r="E70" s="1757">
        <f t="shared" si="8"/>
        <v>60171.69</v>
      </c>
      <c r="F70" s="1571">
        <f t="shared" si="7"/>
        <v>60171.69</v>
      </c>
      <c r="G70" s="1571"/>
      <c r="H70" s="1571"/>
      <c r="I70" s="1571"/>
      <c r="J70" s="1571"/>
    </row>
    <row r="71" spans="1:10" ht="10.95" customHeight="1">
      <c r="A71" s="1450" t="s">
        <v>1116</v>
      </c>
      <c r="B71" s="1451">
        <v>46076</v>
      </c>
      <c r="C71" s="1450" t="s">
        <v>2416</v>
      </c>
      <c r="D71" s="1764">
        <v>2975</v>
      </c>
      <c r="E71" s="1757">
        <f t="shared" si="8"/>
        <v>2975</v>
      </c>
      <c r="F71" s="1571">
        <f t="shared" si="7"/>
        <v>2975</v>
      </c>
      <c r="G71" s="1571"/>
      <c r="H71" s="1571"/>
      <c r="I71" s="1571"/>
      <c r="J71" s="1571"/>
    </row>
    <row r="72" spans="1:10" ht="10.95" customHeight="1">
      <c r="A72" s="1450" t="s">
        <v>2267</v>
      </c>
      <c r="B72" s="1451">
        <v>46077</v>
      </c>
      <c r="C72" s="1450" t="s">
        <v>2417</v>
      </c>
      <c r="D72" s="1764">
        <v>14124.6</v>
      </c>
      <c r="E72" s="1757">
        <f t="shared" si="8"/>
        <v>14124.6</v>
      </c>
      <c r="F72" s="1571">
        <f t="shared" si="7"/>
        <v>14124.6</v>
      </c>
      <c r="G72" s="1571"/>
      <c r="H72" s="1571"/>
      <c r="I72" s="1571"/>
      <c r="J72" s="1571"/>
    </row>
    <row r="73" spans="1:10" ht="10.95" customHeight="1">
      <c r="A73" s="1450" t="s">
        <v>2220</v>
      </c>
      <c r="B73" s="1451">
        <v>46078</v>
      </c>
      <c r="C73" s="1450" t="s">
        <v>2418</v>
      </c>
      <c r="D73" s="1764">
        <v>110830.86</v>
      </c>
      <c r="E73" s="1757">
        <f t="shared" si="8"/>
        <v>110830.86</v>
      </c>
      <c r="F73" s="1571">
        <f t="shared" si="7"/>
        <v>110830.86</v>
      </c>
      <c r="G73" s="1571"/>
      <c r="H73" s="1571"/>
      <c r="I73" s="1571"/>
      <c r="J73" s="1571"/>
    </row>
    <row r="74" spans="1:10" ht="10.95" customHeight="1">
      <c r="A74" s="1450" t="s">
        <v>1116</v>
      </c>
      <c r="B74" s="1451">
        <v>46079</v>
      </c>
      <c r="C74" s="1450" t="s">
        <v>2419</v>
      </c>
      <c r="D74" s="1764">
        <v>342500.12</v>
      </c>
      <c r="E74" s="1757">
        <f t="shared" si="8"/>
        <v>342500.12</v>
      </c>
      <c r="F74" s="1571">
        <f t="shared" si="7"/>
        <v>342500.12</v>
      </c>
      <c r="G74" s="1571"/>
      <c r="H74" s="1571"/>
      <c r="I74" s="1571"/>
      <c r="J74" s="1571"/>
    </row>
    <row r="75" spans="1:10" ht="10.95" customHeight="1">
      <c r="A75" s="1450" t="s">
        <v>1116</v>
      </c>
      <c r="B75" s="1451">
        <v>46081</v>
      </c>
      <c r="C75" s="1450" t="s">
        <v>2420</v>
      </c>
      <c r="D75" s="1764">
        <v>28950</v>
      </c>
      <c r="E75" s="1757">
        <f t="shared" si="8"/>
        <v>28950</v>
      </c>
      <c r="F75" s="1571">
        <f t="shared" si="7"/>
        <v>28950</v>
      </c>
      <c r="G75" s="1571"/>
      <c r="H75" s="1571"/>
      <c r="I75" s="1571"/>
      <c r="J75" s="1571"/>
    </row>
    <row r="76" spans="1:10" ht="10.95" customHeight="1">
      <c r="A76" s="1446" t="s">
        <v>1116</v>
      </c>
      <c r="B76" s="1447">
        <v>46059</v>
      </c>
      <c r="C76" s="1446" t="s">
        <v>2372</v>
      </c>
      <c r="D76" s="1765">
        <v>16696</v>
      </c>
      <c r="E76" s="1757">
        <f t="shared" si="8"/>
        <v>16696</v>
      </c>
      <c r="F76" s="1570">
        <f t="shared" si="7"/>
        <v>16696</v>
      </c>
      <c r="G76" s="1570"/>
      <c r="H76" s="1570"/>
      <c r="I76" s="1570"/>
      <c r="J76" s="1570"/>
    </row>
    <row r="77" spans="1:10" ht="10.95" customHeight="1">
      <c r="A77" s="1450" t="s">
        <v>1116</v>
      </c>
      <c r="B77" s="1451">
        <v>46059</v>
      </c>
      <c r="C77" s="1450" t="s">
        <v>2373</v>
      </c>
      <c r="D77" s="1764">
        <v>9674</v>
      </c>
      <c r="E77" s="1757">
        <f t="shared" si="8"/>
        <v>9674</v>
      </c>
      <c r="F77" s="1571">
        <f t="shared" si="7"/>
        <v>9674</v>
      </c>
      <c r="G77" s="1571"/>
      <c r="H77" s="1571"/>
      <c r="I77" s="1571"/>
      <c r="J77" s="1571"/>
    </row>
    <row r="78" spans="1:10" ht="10.95" customHeight="1">
      <c r="A78" s="1450" t="s">
        <v>1116</v>
      </c>
      <c r="B78" s="1451">
        <v>46060</v>
      </c>
      <c r="C78" s="1450" t="s">
        <v>2374</v>
      </c>
      <c r="D78" s="1764">
        <v>8850</v>
      </c>
      <c r="E78" s="1757">
        <f t="shared" si="8"/>
        <v>8850</v>
      </c>
      <c r="F78" s="1571">
        <f t="shared" si="7"/>
        <v>8850</v>
      </c>
      <c r="G78" s="1571"/>
      <c r="H78" s="1571"/>
      <c r="I78" s="1571"/>
      <c r="J78" s="1571"/>
    </row>
    <row r="79" spans="1:10" ht="10.95" customHeight="1">
      <c r="A79" s="1450" t="s">
        <v>1116</v>
      </c>
      <c r="B79" s="1451">
        <v>46069</v>
      </c>
      <c r="C79" s="1450" t="s">
        <v>2375</v>
      </c>
      <c r="D79" s="1764">
        <v>26825</v>
      </c>
      <c r="E79" s="1757">
        <f t="shared" si="8"/>
        <v>26825</v>
      </c>
      <c r="F79" s="1571">
        <f t="shared" si="7"/>
        <v>26825</v>
      </c>
      <c r="G79" s="1571"/>
      <c r="H79" s="1571"/>
      <c r="I79" s="1571"/>
      <c r="J79" s="1571"/>
    </row>
    <row r="80" spans="1:10" ht="10.95" customHeight="1">
      <c r="A80" s="1450" t="s">
        <v>2210</v>
      </c>
      <c r="B80" s="1451">
        <v>46069</v>
      </c>
      <c r="C80" s="1450" t="s">
        <v>2376</v>
      </c>
      <c r="D80" s="1764">
        <v>36699.980000000003</v>
      </c>
      <c r="E80" s="1757">
        <f t="shared" si="8"/>
        <v>36699.980000000003</v>
      </c>
      <c r="F80" s="1571">
        <f t="shared" si="7"/>
        <v>36699.980000000003</v>
      </c>
      <c r="G80" s="1571"/>
      <c r="H80" s="1571"/>
      <c r="I80" s="1571"/>
      <c r="J80" s="1571"/>
    </row>
    <row r="81" spans="1:13" ht="10.95" customHeight="1">
      <c r="A81" s="1450" t="s">
        <v>1084</v>
      </c>
      <c r="B81" s="1451">
        <v>46070</v>
      </c>
      <c r="C81" s="1450" t="s">
        <v>2377</v>
      </c>
      <c r="D81" s="1764">
        <v>27157</v>
      </c>
      <c r="E81" s="1757">
        <f t="shared" si="8"/>
        <v>27157</v>
      </c>
      <c r="F81" s="1571">
        <f t="shared" si="7"/>
        <v>27157</v>
      </c>
      <c r="G81" s="1571"/>
      <c r="H81" s="1571"/>
      <c r="I81" s="1571"/>
      <c r="J81" s="1571"/>
    </row>
    <row r="82" spans="1:13" ht="10.95" customHeight="1">
      <c r="A82" s="1450" t="s">
        <v>2210</v>
      </c>
      <c r="B82" s="1451">
        <v>46071</v>
      </c>
      <c r="C82" s="1450" t="s">
        <v>2378</v>
      </c>
      <c r="D82" s="1764">
        <v>61653.2</v>
      </c>
      <c r="E82" s="1757">
        <f t="shared" si="8"/>
        <v>61653.2</v>
      </c>
      <c r="F82" s="1571">
        <f t="shared" si="7"/>
        <v>61653.2</v>
      </c>
      <c r="G82" s="1571"/>
      <c r="H82" s="1571"/>
      <c r="I82" s="1571"/>
      <c r="J82" s="1571"/>
    </row>
    <row r="83" spans="1:13" ht="10.95" customHeight="1">
      <c r="A83" s="1450" t="s">
        <v>2210</v>
      </c>
      <c r="B83" s="1451">
        <v>46072</v>
      </c>
      <c r="C83" s="1450" t="s">
        <v>2379</v>
      </c>
      <c r="D83" s="1764">
        <v>19012</v>
      </c>
      <c r="E83" s="1757">
        <f t="shared" si="8"/>
        <v>19012</v>
      </c>
      <c r="F83" s="1571">
        <f t="shared" si="7"/>
        <v>19012</v>
      </c>
      <c r="G83" s="1571"/>
      <c r="H83" s="1571"/>
      <c r="I83" s="1571"/>
      <c r="J83" s="1571"/>
    </row>
    <row r="84" spans="1:13" ht="10.95" customHeight="1">
      <c r="A84" s="1450" t="s">
        <v>1116</v>
      </c>
      <c r="B84" s="1451">
        <v>46077</v>
      </c>
      <c r="C84" s="1450" t="s">
        <v>2380</v>
      </c>
      <c r="D84" s="1764">
        <v>96</v>
      </c>
      <c r="E84" s="1757">
        <f t="shared" si="8"/>
        <v>96</v>
      </c>
      <c r="F84" s="1571">
        <f t="shared" si="7"/>
        <v>96</v>
      </c>
      <c r="G84" s="1571"/>
      <c r="H84" s="1571"/>
      <c r="I84" s="1571"/>
      <c r="J84" s="1571"/>
      <c r="M84" s="1568" t="s">
        <v>1765</v>
      </c>
    </row>
    <row r="85" spans="1:13" ht="10.95" customHeight="1">
      <c r="A85" s="1450" t="s">
        <v>1337</v>
      </c>
      <c r="B85" s="1451">
        <v>46077</v>
      </c>
      <c r="C85" s="1450" t="s">
        <v>2381</v>
      </c>
      <c r="D85" s="1764">
        <v>6136</v>
      </c>
      <c r="E85" s="1757">
        <f t="shared" si="8"/>
        <v>6136</v>
      </c>
      <c r="F85" s="1571">
        <f t="shared" si="7"/>
        <v>6136</v>
      </c>
      <c r="G85" s="1571"/>
      <c r="H85" s="1571"/>
      <c r="I85" s="1571"/>
      <c r="J85" s="1571"/>
    </row>
    <row r="86" spans="1:13" ht="10.95" customHeight="1">
      <c r="A86" s="1672" t="s">
        <v>2346</v>
      </c>
      <c r="B86" s="1673"/>
      <c r="C86" s="1672"/>
      <c r="D86" s="1758"/>
      <c r="E86" s="1757">
        <f t="shared" si="8"/>
        <v>212780563.15000001</v>
      </c>
      <c r="F86" s="1771">
        <f>12000000+M90</f>
        <v>10880563.149999999</v>
      </c>
      <c r="G86" s="1771">
        <f>29200000+9000000</f>
        <v>38200000</v>
      </c>
      <c r="H86" s="1771">
        <f>38000000+9000000</f>
        <v>47000000</v>
      </c>
      <c r="I86" s="1771">
        <f>68100000+7000000</f>
        <v>75100000</v>
      </c>
      <c r="J86" s="1771">
        <v>41600000</v>
      </c>
      <c r="L86" s="1440" t="s">
        <v>2459</v>
      </c>
      <c r="M86" s="1568">
        <v>6600000</v>
      </c>
    </row>
    <row r="87" spans="1:13" ht="10.95" customHeight="1">
      <c r="A87" s="1672" t="s">
        <v>2054</v>
      </c>
      <c r="B87" s="1673"/>
      <c r="C87" s="1672"/>
      <c r="D87" s="1758"/>
      <c r="E87" s="1757">
        <f t="shared" si="8"/>
        <v>3042864.8</v>
      </c>
      <c r="F87" s="1772">
        <f>403581*0.8</f>
        <v>322864.80000000005</v>
      </c>
      <c r="G87" s="1771">
        <f>850000*0.8</f>
        <v>680000</v>
      </c>
      <c r="H87" s="1771">
        <f t="shared" ref="H87:J87" si="9">850000*0.8</f>
        <v>680000</v>
      </c>
      <c r="I87" s="1771">
        <f t="shared" si="9"/>
        <v>680000</v>
      </c>
      <c r="J87" s="1771">
        <f t="shared" si="9"/>
        <v>680000</v>
      </c>
      <c r="L87" s="1440" t="s">
        <v>2460</v>
      </c>
      <c r="M87" s="1568">
        <f>+'Costos a Feb-26'!Q8</f>
        <v>9545791.0600000005</v>
      </c>
    </row>
    <row r="88" spans="1:13" ht="10.95" customHeight="1">
      <c r="A88" s="1454" t="s">
        <v>2057</v>
      </c>
      <c r="B88" s="1454"/>
      <c r="C88" s="1454"/>
      <c r="D88" s="1763">
        <f t="shared" ref="D88:J88" si="10">SUM(D34:D87)</f>
        <v>4772145.2700000005</v>
      </c>
      <c r="E88" s="1754">
        <f t="shared" si="10"/>
        <v>220595573.22000003</v>
      </c>
      <c r="F88" s="1572">
        <f t="shared" si="10"/>
        <v>15975573.219999999</v>
      </c>
      <c r="G88" s="1572">
        <f t="shared" si="10"/>
        <v>38880000</v>
      </c>
      <c r="H88" s="1572">
        <f t="shared" si="10"/>
        <v>47680000</v>
      </c>
      <c r="I88" s="1572">
        <f t="shared" si="10"/>
        <v>75780000</v>
      </c>
      <c r="J88" s="1572">
        <f t="shared" si="10"/>
        <v>42280000</v>
      </c>
      <c r="L88" s="1440" t="s">
        <v>2461</v>
      </c>
      <c r="M88" s="1568">
        <f>+M86-M87</f>
        <v>-2945791.0600000005</v>
      </c>
    </row>
    <row r="89" spans="1:13" ht="13.35" customHeight="1">
      <c r="D89" s="1749"/>
      <c r="E89" s="1762"/>
      <c r="F89" s="1568">
        <f>+D89</f>
        <v>0</v>
      </c>
      <c r="G89" s="1568"/>
      <c r="H89" s="1568"/>
      <c r="I89" s="1568"/>
      <c r="J89" s="1568"/>
      <c r="L89" s="1440" t="s">
        <v>2052</v>
      </c>
      <c r="M89" s="1568">
        <f>+D88</f>
        <v>4772145.2700000005</v>
      </c>
    </row>
    <row r="90" spans="1:13" s="1444" customFormat="1" ht="12.15" customHeight="1">
      <c r="A90" s="1445" t="s">
        <v>1036</v>
      </c>
      <c r="B90" s="1445"/>
      <c r="C90" s="1445"/>
      <c r="D90" s="1761"/>
      <c r="E90" s="1760"/>
      <c r="F90" s="1759"/>
      <c r="G90" s="1759"/>
      <c r="H90" s="1759"/>
      <c r="I90" s="1759"/>
      <c r="J90" s="1759"/>
      <c r="L90" s="1440" t="s">
        <v>2461</v>
      </c>
      <c r="M90" s="1780">
        <f>+M88+M89+M88</f>
        <v>-1119436.8500000006</v>
      </c>
    </row>
    <row r="91" spans="1:13" ht="10.95" customHeight="1">
      <c r="A91" s="1672" t="s">
        <v>2347</v>
      </c>
      <c r="B91" s="1673"/>
      <c r="C91" s="1672"/>
      <c r="D91" s="1758"/>
      <c r="E91" s="1757">
        <f>SUM(F91:J91)</f>
        <v>11800000</v>
      </c>
      <c r="F91" s="1756">
        <v>2360000</v>
      </c>
      <c r="G91" s="1756">
        <v>2360000</v>
      </c>
      <c r="H91" s="1756">
        <v>2360000</v>
      </c>
      <c r="I91" s="1756">
        <v>2360000</v>
      </c>
      <c r="J91" s="1756">
        <v>2360000</v>
      </c>
    </row>
    <row r="92" spans="1:13" ht="10.95" customHeight="1">
      <c r="A92" s="1454" t="s">
        <v>2348</v>
      </c>
      <c r="B92" s="1454"/>
      <c r="C92" s="1454"/>
      <c r="D92" s="1763">
        <f t="shared" ref="D92:J92" si="11">SUM(D91:D91)</f>
        <v>0</v>
      </c>
      <c r="E92" s="1754">
        <f t="shared" si="11"/>
        <v>11800000</v>
      </c>
      <c r="F92" s="1753">
        <f t="shared" si="11"/>
        <v>2360000</v>
      </c>
      <c r="G92" s="1753">
        <f t="shared" si="11"/>
        <v>2360000</v>
      </c>
      <c r="H92" s="1753">
        <f t="shared" si="11"/>
        <v>2360000</v>
      </c>
      <c r="I92" s="1753">
        <f t="shared" si="11"/>
        <v>2360000</v>
      </c>
      <c r="J92" s="1753">
        <f t="shared" si="11"/>
        <v>2360000</v>
      </c>
      <c r="M92" s="1568">
        <f>+M34</f>
        <v>3686105.09</v>
      </c>
    </row>
    <row r="93" spans="1:13" ht="13.35" customHeight="1">
      <c r="D93" s="1749"/>
      <c r="E93" s="1762"/>
      <c r="F93" s="1568"/>
      <c r="G93" s="1568"/>
      <c r="H93" s="1568"/>
      <c r="I93" s="1568"/>
      <c r="J93" s="1568"/>
    </row>
    <row r="94" spans="1:13" s="1444" customFormat="1" ht="12.15" customHeight="1">
      <c r="A94" s="1445" t="s">
        <v>2288</v>
      </c>
      <c r="B94" s="1445"/>
      <c r="C94" s="1445"/>
      <c r="D94" s="1766"/>
      <c r="E94" s="1760"/>
      <c r="F94" s="1569">
        <f>+D94</f>
        <v>0</v>
      </c>
      <c r="G94" s="1569"/>
      <c r="H94" s="1569"/>
      <c r="I94" s="1569"/>
      <c r="J94" s="1569"/>
      <c r="M94" s="1780"/>
    </row>
    <row r="95" spans="1:13" ht="10.95" customHeight="1">
      <c r="A95" s="1446" t="s">
        <v>2289</v>
      </c>
      <c r="B95" s="1447">
        <v>46056</v>
      </c>
      <c r="C95" s="1446" t="s">
        <v>2421</v>
      </c>
      <c r="D95" s="1765">
        <v>8105.89</v>
      </c>
      <c r="E95" s="1757">
        <f>SUM(F95:J95)</f>
        <v>8105.89</v>
      </c>
      <c r="F95" s="1570">
        <f>+D95</f>
        <v>8105.89</v>
      </c>
      <c r="G95" s="1570"/>
      <c r="H95" s="1570"/>
      <c r="I95" s="1570"/>
      <c r="J95" s="1570"/>
    </row>
    <row r="96" spans="1:13" ht="10.95" customHeight="1">
      <c r="A96" s="1672" t="s">
        <v>2463</v>
      </c>
      <c r="B96" s="1673"/>
      <c r="C96" s="1672"/>
      <c r="D96" s="1758"/>
      <c r="E96" s="1757">
        <f>SUM(F96:J96)</f>
        <v>1387881.96</v>
      </c>
      <c r="F96" s="1756">
        <v>462627.32</v>
      </c>
      <c r="G96" s="1756">
        <v>462627.32</v>
      </c>
      <c r="H96" s="1756">
        <v>462627.32</v>
      </c>
      <c r="I96" s="1756"/>
      <c r="J96" s="1756"/>
    </row>
    <row r="97" spans="1:10" ht="10.95" customHeight="1">
      <c r="A97" s="1672" t="s">
        <v>2349</v>
      </c>
      <c r="B97" s="1673"/>
      <c r="C97" s="1672"/>
      <c r="D97" s="1758"/>
      <c r="E97" s="1757">
        <f>SUM(F97:J97)</f>
        <v>3250000</v>
      </c>
      <c r="F97" s="1756">
        <v>650000</v>
      </c>
      <c r="G97" s="1756">
        <v>650000</v>
      </c>
      <c r="H97" s="1756">
        <v>650000</v>
      </c>
      <c r="I97" s="1756">
        <v>650000</v>
      </c>
      <c r="J97" s="1756">
        <v>650000</v>
      </c>
    </row>
    <row r="98" spans="1:10" ht="10.95" customHeight="1">
      <c r="A98" s="1454" t="s">
        <v>2141</v>
      </c>
      <c r="B98" s="1454"/>
      <c r="C98" s="1454"/>
      <c r="D98" s="1763">
        <f t="shared" ref="D98:J98" si="12">SUM(D95:D97)</f>
        <v>8105.89</v>
      </c>
      <c r="E98" s="1754">
        <f t="shared" si="12"/>
        <v>4645987.8499999996</v>
      </c>
      <c r="F98" s="1572">
        <f t="shared" si="12"/>
        <v>1120733.21</v>
      </c>
      <c r="G98" s="1572">
        <f t="shared" si="12"/>
        <v>1112627.32</v>
      </c>
      <c r="H98" s="1572">
        <f t="shared" si="12"/>
        <v>1112627.32</v>
      </c>
      <c r="I98" s="1572">
        <f t="shared" si="12"/>
        <v>650000</v>
      </c>
      <c r="J98" s="1572">
        <f t="shared" si="12"/>
        <v>650000</v>
      </c>
    </row>
    <row r="99" spans="1:10" ht="13.35" customHeight="1">
      <c r="D99" s="1749"/>
      <c r="E99" s="1762"/>
      <c r="F99" s="1568">
        <f>+D99</f>
        <v>0</v>
      </c>
      <c r="G99" s="1568"/>
      <c r="H99" s="1568"/>
      <c r="I99" s="1568"/>
      <c r="J99" s="1568"/>
    </row>
    <row r="100" spans="1:10" s="1444" customFormat="1" ht="12.15" customHeight="1">
      <c r="A100" s="1445" t="s">
        <v>1308</v>
      </c>
      <c r="B100" s="1445"/>
      <c r="C100" s="1445"/>
      <c r="D100" s="1766"/>
      <c r="E100" s="1760"/>
      <c r="F100" s="1569">
        <f>+D100</f>
        <v>0</v>
      </c>
      <c r="G100" s="1569"/>
      <c r="H100" s="1569"/>
      <c r="I100" s="1569"/>
      <c r="J100" s="1569"/>
    </row>
    <row r="101" spans="1:10" ht="10.95" customHeight="1">
      <c r="A101" s="1446" t="s">
        <v>1045</v>
      </c>
      <c r="B101" s="1447">
        <v>46053</v>
      </c>
      <c r="C101" s="1446" t="s">
        <v>2291</v>
      </c>
      <c r="D101" s="1765">
        <v>94777.600000000006</v>
      </c>
      <c r="E101" s="1757">
        <f>SUM(F101:J101)</f>
        <v>94777.600000000006</v>
      </c>
      <c r="F101" s="1570">
        <f>+D101</f>
        <v>94777.600000000006</v>
      </c>
      <c r="G101" s="1570"/>
      <c r="H101" s="1570"/>
      <c r="I101" s="1570"/>
      <c r="J101" s="1570"/>
    </row>
    <row r="102" spans="1:10" ht="10.95" customHeight="1">
      <c r="A102" s="1450" t="s">
        <v>1045</v>
      </c>
      <c r="B102" s="1451">
        <v>46081</v>
      </c>
      <c r="C102" s="1450" t="s">
        <v>2422</v>
      </c>
      <c r="D102" s="1764">
        <v>85337.600000000006</v>
      </c>
      <c r="E102" s="1757">
        <f>SUM(F102:J102)</f>
        <v>85337.600000000006</v>
      </c>
      <c r="F102" s="1571">
        <f>+D102</f>
        <v>85337.600000000006</v>
      </c>
      <c r="G102" s="1571"/>
      <c r="H102" s="1571"/>
      <c r="I102" s="1571"/>
      <c r="J102" s="1571"/>
    </row>
    <row r="103" spans="1:10" ht="10.95" customHeight="1">
      <c r="A103" s="1672" t="s">
        <v>1045</v>
      </c>
      <c r="B103" s="1673"/>
      <c r="C103" s="1672"/>
      <c r="D103" s="1758"/>
      <c r="E103" s="1757">
        <f>SUM(F103:J103)</f>
        <v>400000</v>
      </c>
      <c r="F103" s="1756"/>
      <c r="G103" s="1769">
        <v>100000</v>
      </c>
      <c r="H103" s="1769">
        <v>100000</v>
      </c>
      <c r="I103" s="1769">
        <v>100000</v>
      </c>
      <c r="J103" s="1769">
        <v>100000</v>
      </c>
    </row>
    <row r="104" spans="1:10" ht="10.95" customHeight="1">
      <c r="A104" s="1454" t="s">
        <v>1835</v>
      </c>
      <c r="B104" s="1454"/>
      <c r="C104" s="1454"/>
      <c r="D104" s="1763">
        <f t="shared" ref="D104:J104" si="13">SUM(D101:D103)</f>
        <v>180115.20000000001</v>
      </c>
      <c r="E104" s="1754">
        <f t="shared" si="13"/>
        <v>580115.19999999995</v>
      </c>
      <c r="F104" s="1572">
        <f t="shared" si="13"/>
        <v>180115.20000000001</v>
      </c>
      <c r="G104" s="1572">
        <f t="shared" si="13"/>
        <v>100000</v>
      </c>
      <c r="H104" s="1572">
        <f t="shared" si="13"/>
        <v>100000</v>
      </c>
      <c r="I104" s="1572">
        <f t="shared" si="13"/>
        <v>100000</v>
      </c>
      <c r="J104" s="1572">
        <f t="shared" si="13"/>
        <v>100000</v>
      </c>
    </row>
    <row r="105" spans="1:10" ht="13.35" customHeight="1">
      <c r="D105" s="1749"/>
      <c r="E105" s="1762"/>
      <c r="F105" s="1568">
        <f>+D105</f>
        <v>0</v>
      </c>
      <c r="G105" s="1568"/>
      <c r="H105" s="1568"/>
      <c r="I105" s="1568"/>
      <c r="J105" s="1568"/>
    </row>
    <row r="106" spans="1:10" s="1444" customFormat="1" ht="12.15" customHeight="1">
      <c r="A106" s="1445" t="s">
        <v>2022</v>
      </c>
      <c r="B106" s="1445"/>
      <c r="C106" s="1445"/>
      <c r="D106" s="1766"/>
      <c r="E106" s="1760"/>
      <c r="F106" s="1569">
        <f>+D106</f>
        <v>0</v>
      </c>
      <c r="G106" s="1569"/>
      <c r="H106" s="1569"/>
      <c r="I106" s="1569"/>
      <c r="J106" s="1569"/>
    </row>
    <row r="107" spans="1:10" ht="10.95" customHeight="1">
      <c r="A107" s="1446" t="s">
        <v>2023</v>
      </c>
      <c r="B107" s="1447">
        <v>46051</v>
      </c>
      <c r="C107" s="1446" t="s">
        <v>2292</v>
      </c>
      <c r="D107" s="1765">
        <v>506964.3</v>
      </c>
      <c r="E107" s="1757">
        <f>SUM(F107:J107)</f>
        <v>506964.3</v>
      </c>
      <c r="F107" s="1570">
        <f>+D107</f>
        <v>506964.3</v>
      </c>
      <c r="G107" s="1570"/>
      <c r="H107" s="1570"/>
      <c r="I107" s="1570"/>
      <c r="J107" s="1570"/>
    </row>
    <row r="108" spans="1:10" ht="10.95" customHeight="1">
      <c r="A108" s="1450" t="s">
        <v>2023</v>
      </c>
      <c r="B108" s="1451">
        <v>46078</v>
      </c>
      <c r="C108" s="1450" t="s">
        <v>2423</v>
      </c>
      <c r="D108" s="1764">
        <v>506964.3</v>
      </c>
      <c r="E108" s="1757">
        <f>SUM(F108:J108)</f>
        <v>506964.3</v>
      </c>
      <c r="F108" s="1571">
        <f>+D108</f>
        <v>506964.3</v>
      </c>
      <c r="G108" s="1571"/>
      <c r="H108" s="1571"/>
      <c r="I108" s="1571"/>
      <c r="J108" s="1571"/>
    </row>
    <row r="109" spans="1:10" ht="10.95" customHeight="1">
      <c r="A109" s="1672" t="s">
        <v>2023</v>
      </c>
      <c r="B109" s="1673"/>
      <c r="C109" s="1672"/>
      <c r="D109" s="1758"/>
      <c r="E109" s="1757">
        <f>SUM(F109:J109)</f>
        <v>2027857.2</v>
      </c>
      <c r="F109" s="1756"/>
      <c r="G109" s="1769">
        <v>506964.3</v>
      </c>
      <c r="H109" s="1769">
        <v>506964.3</v>
      </c>
      <c r="I109" s="1769">
        <v>506964.3</v>
      </c>
      <c r="J109" s="1769">
        <v>506964.3</v>
      </c>
    </row>
    <row r="110" spans="1:10" ht="10.95" customHeight="1">
      <c r="A110" s="1454" t="s">
        <v>2024</v>
      </c>
      <c r="B110" s="1454"/>
      <c r="C110" s="1454"/>
      <c r="D110" s="1763">
        <f t="shared" ref="D110:J110" si="14">SUM(D107:D109)</f>
        <v>1013928.6</v>
      </c>
      <c r="E110" s="1754">
        <f t="shared" si="14"/>
        <v>3041785.8</v>
      </c>
      <c r="F110" s="1572">
        <f t="shared" si="14"/>
        <v>1013928.6</v>
      </c>
      <c r="G110" s="1572">
        <f t="shared" si="14"/>
        <v>506964.3</v>
      </c>
      <c r="H110" s="1572">
        <f t="shared" si="14"/>
        <v>506964.3</v>
      </c>
      <c r="I110" s="1572">
        <f t="shared" si="14"/>
        <v>506964.3</v>
      </c>
      <c r="J110" s="1572">
        <f t="shared" si="14"/>
        <v>506964.3</v>
      </c>
    </row>
    <row r="111" spans="1:10" ht="13.35" customHeight="1">
      <c r="D111" s="1749"/>
      <c r="E111" s="1762"/>
      <c r="F111" s="1568">
        <f>+D111</f>
        <v>0</v>
      </c>
      <c r="G111" s="1568"/>
      <c r="H111" s="1568"/>
      <c r="I111" s="1568"/>
      <c r="J111" s="1568"/>
    </row>
    <row r="112" spans="1:10" ht="13.35" customHeight="1">
      <c r="A112" s="1445" t="s">
        <v>1836</v>
      </c>
      <c r="B112" s="1445"/>
      <c r="C112" s="1445"/>
      <c r="D112" s="1761"/>
      <c r="E112" s="1760"/>
      <c r="F112" s="1759"/>
      <c r="G112" s="1759"/>
      <c r="H112" s="1759"/>
      <c r="I112" s="1759"/>
      <c r="J112" s="1759"/>
    </row>
    <row r="113" spans="1:10" ht="13.35" customHeight="1">
      <c r="A113" s="1672" t="s">
        <v>295</v>
      </c>
      <c r="B113" s="1673"/>
      <c r="C113" s="1672"/>
      <c r="D113" s="1758"/>
      <c r="E113" s="1757">
        <v>8850000</v>
      </c>
      <c r="F113" s="1756">
        <v>1770000</v>
      </c>
      <c r="G113" s="1756">
        <v>1770000</v>
      </c>
      <c r="H113" s="1756">
        <v>1770000</v>
      </c>
      <c r="I113" s="1756">
        <v>1770000</v>
      </c>
      <c r="J113" s="1756">
        <v>1770000</v>
      </c>
    </row>
    <row r="114" spans="1:10" ht="13.35" customHeight="1">
      <c r="A114" s="1454" t="s">
        <v>1838</v>
      </c>
      <c r="B114" s="1454"/>
      <c r="C114" s="1454"/>
      <c r="D114" s="1763">
        <f t="shared" ref="D114:J114" si="15">SUM(D113)</f>
        <v>0</v>
      </c>
      <c r="E114" s="1754">
        <f t="shared" si="15"/>
        <v>8850000</v>
      </c>
      <c r="F114" s="1753">
        <f t="shared" si="15"/>
        <v>1770000</v>
      </c>
      <c r="G114" s="1753">
        <f t="shared" si="15"/>
        <v>1770000</v>
      </c>
      <c r="H114" s="1753">
        <f t="shared" si="15"/>
        <v>1770000</v>
      </c>
      <c r="I114" s="1753">
        <f t="shared" si="15"/>
        <v>1770000</v>
      </c>
      <c r="J114" s="1753">
        <f t="shared" si="15"/>
        <v>1770000</v>
      </c>
    </row>
    <row r="115" spans="1:10" ht="13.35" customHeight="1">
      <c r="D115" s="1749"/>
      <c r="E115" s="1762"/>
      <c r="F115" s="1568"/>
      <c r="G115" s="1568"/>
      <c r="H115" s="1568"/>
      <c r="I115" s="1568"/>
      <c r="J115" s="1568"/>
    </row>
    <row r="116" spans="1:10" s="1444" customFormat="1" ht="12.15" customHeight="1">
      <c r="A116" s="1445" t="s">
        <v>1475</v>
      </c>
      <c r="B116" s="1445"/>
      <c r="C116" s="1445"/>
      <c r="D116" s="1766"/>
      <c r="E116" s="1760"/>
      <c r="F116" s="1569">
        <f>+D116</f>
        <v>0</v>
      </c>
      <c r="G116" s="1569"/>
      <c r="H116" s="1569"/>
      <c r="I116" s="1569"/>
      <c r="J116" s="1569"/>
    </row>
    <row r="117" spans="1:10" ht="10.95" customHeight="1">
      <c r="A117" s="1446" t="s">
        <v>1569</v>
      </c>
      <c r="B117" s="1447">
        <v>46066</v>
      </c>
      <c r="C117" s="1446" t="s">
        <v>2424</v>
      </c>
      <c r="D117" s="1765">
        <v>1502710.18</v>
      </c>
      <c r="E117" s="1757">
        <f>SUM(F117:J117)</f>
        <v>1502710.18</v>
      </c>
      <c r="F117" s="1570">
        <f>+D117</f>
        <v>1502710.18</v>
      </c>
      <c r="G117" s="1570"/>
      <c r="H117" s="1570"/>
      <c r="I117" s="1570"/>
      <c r="J117" s="1570"/>
    </row>
    <row r="118" spans="1:10" ht="10.95" customHeight="1">
      <c r="A118" s="1672" t="s">
        <v>1380</v>
      </c>
      <c r="B118" s="1673"/>
      <c r="C118" s="1672"/>
      <c r="D118" s="1758"/>
      <c r="E118" s="1757"/>
      <c r="F118" s="1756">
        <v>1077290.55</v>
      </c>
      <c r="G118" s="1769"/>
      <c r="H118" s="1769"/>
      <c r="I118" s="1769"/>
      <c r="J118" s="1769"/>
    </row>
    <row r="119" spans="1:10" ht="10.95" customHeight="1">
      <c r="A119" s="1672" t="s">
        <v>1569</v>
      </c>
      <c r="B119" s="1673"/>
      <c r="C119" s="1672"/>
      <c r="D119" s="1758"/>
      <c r="E119" s="1757">
        <f>SUM(F119:J119)</f>
        <v>3147613.42</v>
      </c>
      <c r="F119" s="1756">
        <v>3147613.42</v>
      </c>
      <c r="G119" s="1769"/>
      <c r="H119" s="1769"/>
      <c r="I119" s="1769"/>
      <c r="J119" s="1769"/>
    </row>
    <row r="120" spans="1:10" ht="10.95" customHeight="1">
      <c r="A120" s="1672" t="s">
        <v>2061</v>
      </c>
      <c r="B120" s="1673"/>
      <c r="C120" s="1672"/>
      <c r="D120" s="1758"/>
      <c r="E120" s="1757">
        <f>SUM(F120:J120)</f>
        <v>31855206.25</v>
      </c>
      <c r="F120" s="1756"/>
      <c r="G120" s="1769">
        <f>+'Proyección VTA 02-26'!F22</f>
        <v>3884781.2500000005</v>
      </c>
      <c r="H120" s="1769">
        <f>+'Proyección VTA 02-26'!G22</f>
        <v>9323475</v>
      </c>
      <c r="I120" s="1769">
        <f>+'Proyección VTA 02-26'!H22</f>
        <v>9323475</v>
      </c>
      <c r="J120" s="1769">
        <f>+'Proyección VTA 02-26'!I22</f>
        <v>9323475</v>
      </c>
    </row>
    <row r="121" spans="1:10" ht="10.95" customHeight="1">
      <c r="A121" s="1454" t="s">
        <v>1841</v>
      </c>
      <c r="B121" s="1454"/>
      <c r="C121" s="1454"/>
      <c r="D121" s="1763">
        <f t="shared" ref="D121:J121" si="16">SUM(D117:D120)</f>
        <v>1502710.18</v>
      </c>
      <c r="E121" s="1754">
        <f t="shared" si="16"/>
        <v>36505529.850000001</v>
      </c>
      <c r="F121" s="1572">
        <f t="shared" si="16"/>
        <v>5727614.1500000004</v>
      </c>
      <c r="G121" s="1572">
        <f t="shared" si="16"/>
        <v>3884781.2500000005</v>
      </c>
      <c r="H121" s="1572">
        <f t="shared" si="16"/>
        <v>9323475</v>
      </c>
      <c r="I121" s="1572">
        <f t="shared" si="16"/>
        <v>9323475</v>
      </c>
      <c r="J121" s="1572">
        <f t="shared" si="16"/>
        <v>9323475</v>
      </c>
    </row>
    <row r="122" spans="1:10" ht="13.35" customHeight="1">
      <c r="D122" s="1749"/>
      <c r="E122" s="1762"/>
      <c r="F122" s="1568">
        <f>+D122</f>
        <v>0</v>
      </c>
      <c r="G122" s="1568"/>
      <c r="H122" s="1568"/>
      <c r="I122" s="1568"/>
      <c r="J122" s="1568"/>
    </row>
    <row r="123" spans="1:10" s="1444" customFormat="1" ht="12.15" customHeight="1">
      <c r="A123" s="1445" t="s">
        <v>2150</v>
      </c>
      <c r="B123" s="1445"/>
      <c r="C123" s="1445"/>
      <c r="D123" s="1761"/>
      <c r="E123" s="1760"/>
      <c r="F123" s="1759"/>
      <c r="G123" s="1759"/>
      <c r="H123" s="1759"/>
      <c r="I123" s="1759"/>
      <c r="J123" s="1759"/>
    </row>
    <row r="124" spans="1:10" ht="10.95" customHeight="1">
      <c r="A124" s="1672"/>
      <c r="B124" s="1673"/>
      <c r="C124" s="1672"/>
      <c r="D124" s="1758"/>
      <c r="E124" s="1757">
        <f>SUM(F124:J124)</f>
        <v>3835000</v>
      </c>
      <c r="F124" s="1756">
        <v>767000</v>
      </c>
      <c r="G124" s="1756">
        <v>767000</v>
      </c>
      <c r="H124" s="1756">
        <v>767000</v>
      </c>
      <c r="I124" s="1756">
        <v>767000</v>
      </c>
      <c r="J124" s="1756">
        <v>767000</v>
      </c>
    </row>
    <row r="125" spans="1:10" ht="10.95" customHeight="1">
      <c r="A125" s="1454" t="s">
        <v>2152</v>
      </c>
      <c r="B125" s="1454"/>
      <c r="C125" s="1454"/>
      <c r="D125" s="1763">
        <f t="shared" ref="D125:J125" si="17">SUM(D124)</f>
        <v>0</v>
      </c>
      <c r="E125" s="1754">
        <f t="shared" si="17"/>
        <v>3835000</v>
      </c>
      <c r="F125" s="1753">
        <f t="shared" si="17"/>
        <v>767000</v>
      </c>
      <c r="G125" s="1753">
        <f t="shared" si="17"/>
        <v>767000</v>
      </c>
      <c r="H125" s="1753">
        <f t="shared" si="17"/>
        <v>767000</v>
      </c>
      <c r="I125" s="1753">
        <f t="shared" si="17"/>
        <v>767000</v>
      </c>
      <c r="J125" s="1753">
        <f t="shared" si="17"/>
        <v>767000</v>
      </c>
    </row>
    <row r="126" spans="1:10" ht="13.35" customHeight="1">
      <c r="D126" s="1768"/>
      <c r="E126" s="1762"/>
      <c r="F126" s="1767"/>
      <c r="G126" s="1767"/>
      <c r="H126" s="1767"/>
      <c r="I126" s="1767"/>
      <c r="J126" s="1767"/>
    </row>
    <row r="127" spans="1:10" s="1444" customFormat="1" ht="12.15" customHeight="1">
      <c r="A127" s="1445" t="s">
        <v>1314</v>
      </c>
      <c r="B127" s="1445"/>
      <c r="C127" s="1445"/>
      <c r="D127" s="1761"/>
      <c r="E127" s="1760"/>
      <c r="F127" s="1759"/>
      <c r="G127" s="1759"/>
      <c r="H127" s="1759"/>
      <c r="I127" s="1759"/>
      <c r="J127" s="1759"/>
    </row>
    <row r="128" spans="1:10" ht="10.95" customHeight="1">
      <c r="A128" s="1672"/>
      <c r="B128" s="1673"/>
      <c r="C128" s="1672"/>
      <c r="D128" s="1758"/>
      <c r="E128" s="1757">
        <f>SUM(F128:J128)</f>
        <v>6205264.29</v>
      </c>
      <c r="F128" s="1756">
        <v>905264.29</v>
      </c>
      <c r="G128" s="1756">
        <v>1325000</v>
      </c>
      <c r="H128" s="1756">
        <v>1325000</v>
      </c>
      <c r="I128" s="1756">
        <v>1325000</v>
      </c>
      <c r="J128" s="1756">
        <v>1325000</v>
      </c>
    </row>
    <row r="129" spans="1:10" ht="10.95" customHeight="1">
      <c r="A129" s="1454" t="s">
        <v>1846</v>
      </c>
      <c r="B129" s="1454"/>
      <c r="C129" s="1454"/>
      <c r="D129" s="1763">
        <f t="shared" ref="D129:J129" si="18">SUM(D128)</f>
        <v>0</v>
      </c>
      <c r="E129" s="1754">
        <f t="shared" si="18"/>
        <v>6205264.29</v>
      </c>
      <c r="F129" s="1753">
        <f t="shared" si="18"/>
        <v>905264.29</v>
      </c>
      <c r="G129" s="1753">
        <f t="shared" si="18"/>
        <v>1325000</v>
      </c>
      <c r="H129" s="1753">
        <f t="shared" si="18"/>
        <v>1325000</v>
      </c>
      <c r="I129" s="1753">
        <f t="shared" si="18"/>
        <v>1325000</v>
      </c>
      <c r="J129" s="1753">
        <f t="shared" si="18"/>
        <v>1325000</v>
      </c>
    </row>
    <row r="131" spans="1:10" s="1444" customFormat="1" ht="12.15" customHeight="1">
      <c r="A131" s="1445" t="s">
        <v>1847</v>
      </c>
      <c r="B131" s="1445"/>
      <c r="C131" s="1445"/>
      <c r="D131" s="1766"/>
      <c r="E131" s="1760"/>
      <c r="F131" s="1569">
        <f>+D131</f>
        <v>0</v>
      </c>
      <c r="G131" s="1569"/>
      <c r="H131" s="1569"/>
      <c r="I131" s="1569"/>
      <c r="J131" s="1569"/>
    </row>
    <row r="132" spans="1:10" ht="10.95" customHeight="1">
      <c r="A132" s="1446" t="s">
        <v>2297</v>
      </c>
      <c r="B132" s="1447">
        <v>46053</v>
      </c>
      <c r="C132" s="1446" t="s">
        <v>2298</v>
      </c>
      <c r="D132" s="1765">
        <v>14000</v>
      </c>
      <c r="E132" s="1757">
        <f t="shared" ref="E132:E137" si="19">SUM(F132:J132)</f>
        <v>14000</v>
      </c>
      <c r="F132" s="1570">
        <f>+D132</f>
        <v>14000</v>
      </c>
      <c r="G132" s="1570"/>
      <c r="H132" s="1570"/>
      <c r="I132" s="1570"/>
      <c r="J132" s="1570"/>
    </row>
    <row r="133" spans="1:10" ht="10.95" customHeight="1">
      <c r="A133" s="1450" t="s">
        <v>1045</v>
      </c>
      <c r="B133" s="1451">
        <v>46053</v>
      </c>
      <c r="C133" s="1450" t="s">
        <v>2299</v>
      </c>
      <c r="D133" s="1764">
        <v>70233.600000000006</v>
      </c>
      <c r="E133" s="1757">
        <f t="shared" si="19"/>
        <v>70233.600000000006</v>
      </c>
      <c r="F133" s="1571">
        <f>+D133</f>
        <v>70233.600000000006</v>
      </c>
      <c r="G133" s="1571"/>
      <c r="H133" s="1571"/>
      <c r="I133" s="1571"/>
      <c r="J133" s="1571"/>
    </row>
    <row r="134" spans="1:10" ht="10.95" customHeight="1">
      <c r="A134" s="1450" t="s">
        <v>1043</v>
      </c>
      <c r="B134" s="1451">
        <v>46070</v>
      </c>
      <c r="C134" s="1450" t="s">
        <v>2425</v>
      </c>
      <c r="D134" s="1764">
        <v>15388.38</v>
      </c>
      <c r="E134" s="1757">
        <f t="shared" si="19"/>
        <v>15388.38</v>
      </c>
      <c r="F134" s="1571">
        <f>+D134</f>
        <v>15388.38</v>
      </c>
      <c r="G134" s="1571"/>
      <c r="H134" s="1571"/>
      <c r="I134" s="1571"/>
      <c r="J134" s="1571"/>
    </row>
    <row r="135" spans="1:10" ht="10.95" customHeight="1">
      <c r="A135" s="1450" t="s">
        <v>1045</v>
      </c>
      <c r="B135" s="1451">
        <v>46081</v>
      </c>
      <c r="C135" s="1450" t="s">
        <v>2426</v>
      </c>
      <c r="D135" s="1764">
        <v>63436.800000000003</v>
      </c>
      <c r="E135" s="1757">
        <f t="shared" si="19"/>
        <v>63436.800000000003</v>
      </c>
      <c r="F135" s="1571">
        <f>+D135</f>
        <v>63436.800000000003</v>
      </c>
      <c r="G135" s="1571"/>
      <c r="H135" s="1571"/>
      <c r="I135" s="1571"/>
      <c r="J135" s="1571"/>
    </row>
    <row r="136" spans="1:10" ht="10.95" customHeight="1">
      <c r="A136" s="1672" t="s">
        <v>2350</v>
      </c>
      <c r="B136" s="1451"/>
      <c r="C136" s="1450"/>
      <c r="D136" s="1770"/>
      <c r="E136" s="1757">
        <f t="shared" si="19"/>
        <v>200000</v>
      </c>
      <c r="F136" s="1756"/>
      <c r="G136" s="1769">
        <v>50000</v>
      </c>
      <c r="H136" s="1769">
        <v>50000</v>
      </c>
      <c r="I136" s="1769">
        <v>50000</v>
      </c>
      <c r="J136" s="1769">
        <v>50000</v>
      </c>
    </row>
    <row r="137" spans="1:10" ht="10.95" customHeight="1">
      <c r="A137" s="1672" t="s">
        <v>1045</v>
      </c>
      <c r="B137" s="1673"/>
      <c r="C137" s="1672"/>
      <c r="D137" s="1758"/>
      <c r="E137" s="1757">
        <f t="shared" si="19"/>
        <v>320000</v>
      </c>
      <c r="F137" s="1756"/>
      <c r="G137" s="1769">
        <v>80000</v>
      </c>
      <c r="H137" s="1769">
        <v>80000</v>
      </c>
      <c r="I137" s="1769">
        <v>80000</v>
      </c>
      <c r="J137" s="1769">
        <v>80000</v>
      </c>
    </row>
    <row r="138" spans="1:10" ht="10.95" customHeight="1">
      <c r="A138" s="1454" t="s">
        <v>1850</v>
      </c>
      <c r="B138" s="1454"/>
      <c r="C138" s="1454"/>
      <c r="D138" s="1763">
        <f t="shared" ref="D138:J138" si="20">SUM(D132:D137)</f>
        <v>163058.78000000003</v>
      </c>
      <c r="E138" s="1754">
        <f t="shared" si="20"/>
        <v>683058.78</v>
      </c>
      <c r="F138" s="1572">
        <f t="shared" si="20"/>
        <v>163058.78000000003</v>
      </c>
      <c r="G138" s="1572">
        <f t="shared" si="20"/>
        <v>130000</v>
      </c>
      <c r="H138" s="1572">
        <f t="shared" si="20"/>
        <v>130000</v>
      </c>
      <c r="I138" s="1572">
        <f t="shared" si="20"/>
        <v>130000</v>
      </c>
      <c r="J138" s="1572">
        <f t="shared" si="20"/>
        <v>130000</v>
      </c>
    </row>
    <row r="139" spans="1:10" ht="13.35" customHeight="1">
      <c r="D139" s="1749"/>
      <c r="E139" s="1762"/>
      <c r="F139" s="1568"/>
      <c r="G139" s="1568"/>
      <c r="H139" s="1568"/>
      <c r="I139" s="1568"/>
      <c r="J139" s="1568"/>
    </row>
    <row r="140" spans="1:10" s="1444" customFormat="1" ht="12.15" customHeight="1">
      <c r="A140" s="1445" t="s">
        <v>2351</v>
      </c>
      <c r="B140" s="1445"/>
      <c r="C140" s="1445"/>
      <c r="D140" s="1761"/>
      <c r="E140" s="1760"/>
      <c r="F140" s="1759"/>
      <c r="G140" s="1759"/>
      <c r="H140" s="1759"/>
      <c r="I140" s="1759"/>
      <c r="J140" s="1759"/>
    </row>
    <row r="141" spans="1:10" ht="10.95" customHeight="1">
      <c r="A141" s="1672" t="s">
        <v>2352</v>
      </c>
      <c r="B141" s="1673"/>
      <c r="C141" s="1672"/>
      <c r="D141" s="1758"/>
      <c r="E141" s="1757">
        <f>SUM(F141:J141)</f>
        <v>1250000</v>
      </c>
      <c r="F141" s="1756">
        <v>250000</v>
      </c>
      <c r="G141" s="1756">
        <v>250000</v>
      </c>
      <c r="H141" s="1756">
        <v>250000</v>
      </c>
      <c r="I141" s="1756">
        <v>250000</v>
      </c>
      <c r="J141" s="1756">
        <v>250000</v>
      </c>
    </row>
    <row r="142" spans="1:10" ht="10.95" customHeight="1">
      <c r="A142" s="1454" t="s">
        <v>2353</v>
      </c>
      <c r="B142" s="1454"/>
      <c r="C142" s="1454"/>
      <c r="D142" s="1763">
        <f t="shared" ref="D142:J142" si="21">SUM(D141:D141)</f>
        <v>0</v>
      </c>
      <c r="E142" s="1754">
        <f t="shared" si="21"/>
        <v>1250000</v>
      </c>
      <c r="F142" s="1753">
        <f t="shared" si="21"/>
        <v>250000</v>
      </c>
      <c r="G142" s="1753">
        <f t="shared" si="21"/>
        <v>250000</v>
      </c>
      <c r="H142" s="1753">
        <f t="shared" si="21"/>
        <v>250000</v>
      </c>
      <c r="I142" s="1753">
        <f t="shared" si="21"/>
        <v>250000</v>
      </c>
      <c r="J142" s="1753">
        <f t="shared" si="21"/>
        <v>250000</v>
      </c>
    </row>
    <row r="143" spans="1:10" ht="13.35" customHeight="1">
      <c r="D143" s="1768"/>
      <c r="E143" s="1762"/>
      <c r="F143" s="1767"/>
      <c r="G143" s="1767"/>
      <c r="H143" s="1767"/>
      <c r="I143" s="1767"/>
      <c r="J143" s="1767"/>
    </row>
    <row r="144" spans="1:10" s="1444" customFormat="1" ht="12.15" customHeight="1">
      <c r="A144" s="1445" t="s">
        <v>2062</v>
      </c>
      <c r="B144" s="1445"/>
      <c r="C144" s="1445"/>
      <c r="D144" s="1761"/>
      <c r="E144" s="1760"/>
      <c r="F144" s="1759"/>
      <c r="G144" s="1759"/>
      <c r="H144" s="1759"/>
      <c r="I144" s="1759"/>
      <c r="J144" s="1759"/>
    </row>
    <row r="145" spans="1:10" ht="10.95" customHeight="1">
      <c r="A145" s="1672" t="s">
        <v>2354</v>
      </c>
      <c r="B145" s="1673"/>
      <c r="C145" s="1672"/>
      <c r="D145" s="1758"/>
      <c r="E145" s="1757">
        <f>SUM(F145:J145)</f>
        <v>1250000</v>
      </c>
      <c r="F145" s="1756">
        <v>250000</v>
      </c>
      <c r="G145" s="1756">
        <v>250000</v>
      </c>
      <c r="H145" s="1756">
        <v>250000</v>
      </c>
      <c r="I145" s="1756">
        <v>250000</v>
      </c>
      <c r="J145" s="1756">
        <v>250000</v>
      </c>
    </row>
    <row r="146" spans="1:10" ht="10.95" customHeight="1">
      <c r="A146" s="1454" t="s">
        <v>2063</v>
      </c>
      <c r="B146" s="1454"/>
      <c r="C146" s="1454"/>
      <c r="D146" s="1763">
        <f t="shared" ref="D146:J146" si="22">SUM(D145)</f>
        <v>0</v>
      </c>
      <c r="E146" s="1754">
        <f t="shared" si="22"/>
        <v>1250000</v>
      </c>
      <c r="F146" s="1753">
        <f t="shared" si="22"/>
        <v>250000</v>
      </c>
      <c r="G146" s="1753">
        <f t="shared" si="22"/>
        <v>250000</v>
      </c>
      <c r="H146" s="1753">
        <f t="shared" si="22"/>
        <v>250000</v>
      </c>
      <c r="I146" s="1753">
        <f t="shared" si="22"/>
        <v>250000</v>
      </c>
      <c r="J146" s="1753">
        <f t="shared" si="22"/>
        <v>250000</v>
      </c>
    </row>
    <row r="147" spans="1:10" ht="13.35" customHeight="1">
      <c r="D147" s="1749"/>
      <c r="E147" s="1762"/>
      <c r="F147" s="1568"/>
      <c r="G147" s="1568"/>
      <c r="H147" s="1568"/>
      <c r="I147" s="1568"/>
      <c r="J147" s="1568"/>
    </row>
    <row r="148" spans="1:10" s="1444" customFormat="1" ht="12.15" customHeight="1">
      <c r="A148" s="1445" t="s">
        <v>2160</v>
      </c>
      <c r="B148" s="1445"/>
      <c r="C148" s="1445"/>
      <c r="D148" s="1766"/>
      <c r="E148" s="1760"/>
      <c r="F148" s="1569">
        <f>+D148</f>
        <v>0</v>
      </c>
      <c r="G148" s="1569"/>
      <c r="H148" s="1569"/>
      <c r="I148" s="1569"/>
      <c r="J148" s="1569"/>
    </row>
    <row r="149" spans="1:10" ht="10.95" customHeight="1">
      <c r="A149" s="1446" t="s">
        <v>1631</v>
      </c>
      <c r="B149" s="1447">
        <v>46045</v>
      </c>
      <c r="C149" s="1446" t="s">
        <v>782</v>
      </c>
      <c r="D149" s="1765">
        <v>74464.61</v>
      </c>
      <c r="E149" s="1757">
        <f>SUM(F149:J149)</f>
        <v>74464.61</v>
      </c>
      <c r="F149" s="1570">
        <f>+D149</f>
        <v>74464.61</v>
      </c>
      <c r="G149" s="1570"/>
      <c r="H149" s="1570"/>
      <c r="I149" s="1570"/>
      <c r="J149" s="1570"/>
    </row>
    <row r="150" spans="1:10" ht="10.95" customHeight="1">
      <c r="A150" s="1450" t="s">
        <v>1855</v>
      </c>
      <c r="B150" s="1451">
        <v>46055</v>
      </c>
      <c r="C150" s="1450" t="s">
        <v>2427</v>
      </c>
      <c r="D150" s="1764">
        <v>94400</v>
      </c>
      <c r="E150" s="1757">
        <f>SUM(F150:J150)</f>
        <v>94400</v>
      </c>
      <c r="F150" s="1571">
        <f>+D150</f>
        <v>94400</v>
      </c>
      <c r="G150" s="1571"/>
      <c r="H150" s="1571"/>
      <c r="I150" s="1571"/>
      <c r="J150" s="1571"/>
    </row>
    <row r="151" spans="1:10" ht="10.95" customHeight="1">
      <c r="A151" s="1672" t="s">
        <v>1855</v>
      </c>
      <c r="B151" s="1673"/>
      <c r="C151" s="1672"/>
      <c r="D151" s="1758"/>
      <c r="E151" s="1757">
        <f>SUM(F151:J151)</f>
        <v>472000</v>
      </c>
      <c r="F151" s="1756">
        <v>94400</v>
      </c>
      <c r="G151" s="1756">
        <v>94400</v>
      </c>
      <c r="H151" s="1756">
        <v>94400</v>
      </c>
      <c r="I151" s="1756">
        <v>94400</v>
      </c>
      <c r="J151" s="1756">
        <v>94400</v>
      </c>
    </row>
    <row r="152" spans="1:10" ht="10.95" customHeight="1">
      <c r="A152" s="1672" t="s">
        <v>1631</v>
      </c>
      <c r="B152" s="1673"/>
      <c r="C152" s="1672"/>
      <c r="D152" s="1758"/>
      <c r="E152" s="1757">
        <f>SUM(F152:J152)</f>
        <v>380000</v>
      </c>
      <c r="F152" s="1756">
        <v>76000</v>
      </c>
      <c r="G152" s="1756">
        <v>76000</v>
      </c>
      <c r="H152" s="1756">
        <v>76000</v>
      </c>
      <c r="I152" s="1756">
        <v>76000</v>
      </c>
      <c r="J152" s="1756">
        <v>76000</v>
      </c>
    </row>
    <row r="153" spans="1:10" ht="10.95" customHeight="1">
      <c r="A153" s="1672" t="s">
        <v>1380</v>
      </c>
      <c r="B153" s="1673"/>
      <c r="C153" s="1672"/>
      <c r="D153" s="1758"/>
      <c r="E153" s="1757">
        <f>SUM(F153:J153)</f>
        <v>771040</v>
      </c>
      <c r="F153" s="1756">
        <f>2360*64</f>
        <v>151040</v>
      </c>
      <c r="G153" s="1756">
        <v>155000</v>
      </c>
      <c r="H153" s="1756">
        <v>155000</v>
      </c>
      <c r="I153" s="1756">
        <v>155000</v>
      </c>
      <c r="J153" s="1756">
        <v>155000</v>
      </c>
    </row>
    <row r="154" spans="1:10" ht="10.95" customHeight="1">
      <c r="A154" s="1454" t="s">
        <v>2164</v>
      </c>
      <c r="B154" s="1454"/>
      <c r="C154" s="1454"/>
      <c r="D154" s="1763">
        <f t="shared" ref="D154:J154" si="23">SUM(D149:D153)</f>
        <v>168864.61</v>
      </c>
      <c r="E154" s="1754">
        <f t="shared" si="23"/>
        <v>1791904.6099999999</v>
      </c>
      <c r="F154" s="1572">
        <f t="shared" si="23"/>
        <v>490304.61</v>
      </c>
      <c r="G154" s="1572">
        <f t="shared" si="23"/>
        <v>325400</v>
      </c>
      <c r="H154" s="1572">
        <f t="shared" si="23"/>
        <v>325400</v>
      </c>
      <c r="I154" s="1572">
        <f t="shared" si="23"/>
        <v>325400</v>
      </c>
      <c r="J154" s="1572">
        <f t="shared" si="23"/>
        <v>325400</v>
      </c>
    </row>
    <row r="155" spans="1:10" ht="13.35" customHeight="1">
      <c r="D155" s="1749"/>
      <c r="E155" s="1762"/>
      <c r="F155" s="1568">
        <f>+D155</f>
        <v>0</v>
      </c>
      <c r="G155" s="1568"/>
      <c r="H155" s="1568"/>
      <c r="I155" s="1568"/>
      <c r="J155" s="1568"/>
    </row>
    <row r="156" spans="1:10" s="1444" customFormat="1" ht="12.15" customHeight="1">
      <c r="A156" s="1445" t="s">
        <v>2031</v>
      </c>
      <c r="B156" s="1445"/>
      <c r="C156" s="1445"/>
      <c r="D156" s="1766"/>
      <c r="E156" s="1760"/>
      <c r="F156" s="1569">
        <f>+D156</f>
        <v>0</v>
      </c>
      <c r="G156" s="1569"/>
      <c r="H156" s="1569"/>
      <c r="I156" s="1569"/>
      <c r="J156" s="1569"/>
    </row>
    <row r="157" spans="1:10" ht="10.95" customHeight="1">
      <c r="A157" s="1446" t="s">
        <v>1855</v>
      </c>
      <c r="B157" s="1447">
        <v>46051</v>
      </c>
      <c r="C157" s="1446" t="s">
        <v>2304</v>
      </c>
      <c r="D157" s="1765">
        <v>5310</v>
      </c>
      <c r="E157" s="1757">
        <f t="shared" ref="E157:E162" si="24">SUM(F157:J157)</f>
        <v>5310</v>
      </c>
      <c r="F157" s="1570">
        <f>+D157</f>
        <v>5310</v>
      </c>
      <c r="G157" s="1570"/>
      <c r="H157" s="1570"/>
      <c r="I157" s="1570"/>
      <c r="J157" s="1570"/>
    </row>
    <row r="158" spans="1:10" ht="10.95" customHeight="1">
      <c r="A158" s="1450" t="s">
        <v>746</v>
      </c>
      <c r="B158" s="1451">
        <v>46063</v>
      </c>
      <c r="C158" s="1450" t="s">
        <v>2428</v>
      </c>
      <c r="D158" s="1764">
        <v>58056</v>
      </c>
      <c r="E158" s="1757">
        <f t="shared" si="24"/>
        <v>58056</v>
      </c>
      <c r="F158" s="1571">
        <f>+D158</f>
        <v>58056</v>
      </c>
      <c r="G158" s="1571"/>
      <c r="H158" s="1571"/>
      <c r="I158" s="1571"/>
      <c r="J158" s="1571"/>
    </row>
    <row r="159" spans="1:10" ht="10.95" customHeight="1">
      <c r="A159" s="1450" t="s">
        <v>2228</v>
      </c>
      <c r="B159" s="1451">
        <v>46066</v>
      </c>
      <c r="C159" s="1450" t="s">
        <v>2429</v>
      </c>
      <c r="D159" s="1764">
        <v>88269.5</v>
      </c>
      <c r="E159" s="1757">
        <f t="shared" si="24"/>
        <v>88269.5</v>
      </c>
      <c r="F159" s="1571">
        <f>+D159</f>
        <v>88269.5</v>
      </c>
      <c r="G159" s="1571"/>
      <c r="H159" s="1571"/>
      <c r="I159" s="1571"/>
      <c r="J159" s="1571"/>
    </row>
    <row r="160" spans="1:10" ht="10.95" customHeight="1">
      <c r="A160" s="1672" t="s">
        <v>746</v>
      </c>
      <c r="B160" s="1673"/>
      <c r="C160" s="1672"/>
      <c r="D160" s="1758"/>
      <c r="E160" s="1757">
        <f t="shared" si="24"/>
        <v>106200</v>
      </c>
      <c r="F160" s="1756">
        <v>21240</v>
      </c>
      <c r="G160" s="1756">
        <v>21240</v>
      </c>
      <c r="H160" s="1756">
        <v>21240</v>
      </c>
      <c r="I160" s="1756">
        <v>21240</v>
      </c>
      <c r="J160" s="1756">
        <v>21240</v>
      </c>
    </row>
    <row r="161" spans="1:10" ht="10.95" customHeight="1">
      <c r="A161" s="1672" t="s">
        <v>2188</v>
      </c>
      <c r="B161" s="1673"/>
      <c r="C161" s="1672"/>
      <c r="D161" s="1758"/>
      <c r="E161" s="1757">
        <f t="shared" si="24"/>
        <v>441347.5</v>
      </c>
      <c r="F161" s="1756">
        <v>88269.5</v>
      </c>
      <c r="G161" s="1756">
        <v>88269.5</v>
      </c>
      <c r="H161" s="1756">
        <v>88269.5</v>
      </c>
      <c r="I161" s="1756">
        <v>88269.5</v>
      </c>
      <c r="J161" s="1756">
        <v>88269.5</v>
      </c>
    </row>
    <row r="162" spans="1:10" ht="10.95" customHeight="1">
      <c r="A162" s="1672" t="s">
        <v>2230</v>
      </c>
      <c r="B162" s="1673"/>
      <c r="C162" s="1672"/>
      <c r="D162" s="1758"/>
      <c r="E162" s="1757">
        <f t="shared" si="24"/>
        <v>511825</v>
      </c>
      <c r="F162" s="1756">
        <v>102365</v>
      </c>
      <c r="G162" s="1756">
        <v>102365</v>
      </c>
      <c r="H162" s="1756">
        <v>102365</v>
      </c>
      <c r="I162" s="1756">
        <v>102365</v>
      </c>
      <c r="J162" s="1756">
        <v>102365</v>
      </c>
    </row>
    <row r="163" spans="1:10" ht="10.95" customHeight="1">
      <c r="A163" s="1454" t="s">
        <v>2032</v>
      </c>
      <c r="B163" s="1454"/>
      <c r="C163" s="1454"/>
      <c r="D163" s="1763">
        <f t="shared" ref="D163:J163" si="25">SUM(D157:D162)</f>
        <v>151635.5</v>
      </c>
      <c r="E163" s="1754">
        <f t="shared" si="25"/>
        <v>1211008</v>
      </c>
      <c r="F163" s="1572">
        <f t="shared" si="25"/>
        <v>363510</v>
      </c>
      <c r="G163" s="1572">
        <f t="shared" si="25"/>
        <v>211874.5</v>
      </c>
      <c r="H163" s="1572">
        <f t="shared" si="25"/>
        <v>211874.5</v>
      </c>
      <c r="I163" s="1572">
        <f t="shared" si="25"/>
        <v>211874.5</v>
      </c>
      <c r="J163" s="1572">
        <f t="shared" si="25"/>
        <v>211874.5</v>
      </c>
    </row>
    <row r="164" spans="1:10" ht="13.35" customHeight="1">
      <c r="D164" s="1749"/>
      <c r="E164" s="1762"/>
      <c r="F164" s="1568">
        <f>+D164</f>
        <v>0</v>
      </c>
      <c r="G164" s="1568"/>
      <c r="H164" s="1568"/>
      <c r="I164" s="1568"/>
      <c r="J164" s="1568"/>
    </row>
    <row r="165" spans="1:10" s="1444" customFormat="1" ht="12.15" customHeight="1">
      <c r="A165" s="1445" t="s">
        <v>2167</v>
      </c>
      <c r="B165" s="1445"/>
      <c r="C165" s="1445"/>
      <c r="D165" s="1761"/>
      <c r="E165" s="1760"/>
      <c r="F165" s="1759"/>
      <c r="G165" s="1759"/>
      <c r="H165" s="1759"/>
      <c r="I165" s="1759"/>
      <c r="J165" s="1759"/>
    </row>
    <row r="166" spans="1:10" ht="10.95" customHeight="1">
      <c r="A166" s="1672" t="s">
        <v>2064</v>
      </c>
      <c r="B166" s="1673"/>
      <c r="C166" s="1672"/>
      <c r="D166" s="1758"/>
      <c r="E166" s="1757">
        <f>SUM(F166:J166)</f>
        <v>750000</v>
      </c>
      <c r="F166" s="1756">
        <v>150000</v>
      </c>
      <c r="G166" s="1756">
        <v>150000</v>
      </c>
      <c r="H166" s="1756">
        <v>150000</v>
      </c>
      <c r="I166" s="1756">
        <v>150000</v>
      </c>
      <c r="J166" s="1756">
        <v>150000</v>
      </c>
    </row>
    <row r="167" spans="1:10" ht="10.95" customHeight="1">
      <c r="A167" s="1672" t="s">
        <v>2241</v>
      </c>
      <c r="B167" s="1673"/>
      <c r="C167" s="1672"/>
      <c r="D167" s="1758"/>
      <c r="E167" s="1757">
        <f>SUM(F167:J167)</f>
        <v>672000</v>
      </c>
      <c r="F167" s="1756">
        <v>288000</v>
      </c>
      <c r="G167" s="1756">
        <v>384000</v>
      </c>
      <c r="H167" s="1578"/>
      <c r="I167" s="1767"/>
      <c r="J167" s="1756"/>
    </row>
    <row r="168" spans="1:10" ht="10.95" customHeight="1">
      <c r="A168" s="1672" t="s">
        <v>2242</v>
      </c>
      <c r="B168" s="1673"/>
      <c r="C168" s="1672"/>
      <c r="D168" s="1758"/>
      <c r="E168" s="1757">
        <f>SUM(F168:J168)</f>
        <v>2000000</v>
      </c>
      <c r="F168" s="1756">
        <v>2000000</v>
      </c>
      <c r="G168" s="1767"/>
      <c r="H168" s="1756"/>
      <c r="I168" s="1756"/>
      <c r="J168" s="1756"/>
    </row>
    <row r="169" spans="1:10" ht="10.95" customHeight="1">
      <c r="A169" s="1672" t="s">
        <v>2243</v>
      </c>
      <c r="B169" s="1673"/>
      <c r="C169" s="1672"/>
      <c r="D169" s="1758"/>
      <c r="E169" s="1757">
        <f>SUM(F169:J169)</f>
        <v>32000</v>
      </c>
      <c r="F169" s="1756">
        <v>32000</v>
      </c>
      <c r="G169" s="1756"/>
      <c r="H169" s="1756"/>
      <c r="I169" s="1756"/>
      <c r="J169" s="1756"/>
    </row>
    <row r="170" spans="1:10" ht="10.95" customHeight="1">
      <c r="A170" s="1454" t="s">
        <v>2171</v>
      </c>
      <c r="B170" s="1454"/>
      <c r="C170" s="1454"/>
      <c r="D170" s="1755">
        <f t="shared" ref="D170:J170" si="26">SUM(D166:D169)</f>
        <v>0</v>
      </c>
      <c r="E170" s="1754">
        <f t="shared" si="26"/>
        <v>3454000</v>
      </c>
      <c r="F170" s="1753">
        <f t="shared" si="26"/>
        <v>2470000</v>
      </c>
      <c r="G170" s="1753">
        <f t="shared" si="26"/>
        <v>534000</v>
      </c>
      <c r="H170" s="1753">
        <f t="shared" si="26"/>
        <v>150000</v>
      </c>
      <c r="I170" s="1753">
        <f t="shared" si="26"/>
        <v>150000</v>
      </c>
      <c r="J170" s="1753">
        <f t="shared" si="26"/>
        <v>150000</v>
      </c>
    </row>
    <row r="171" spans="1:10" ht="10.95" customHeight="1">
      <c r="A171" s="1458"/>
      <c r="B171" s="1458"/>
      <c r="C171" s="1458"/>
      <c r="D171" s="1752"/>
      <c r="E171" s="1751"/>
      <c r="F171" s="1750"/>
      <c r="G171" s="1750"/>
      <c r="H171" s="1750"/>
      <c r="I171" s="1750"/>
      <c r="J171" s="1750"/>
    </row>
    <row r="172" spans="1:10" s="1444" customFormat="1" ht="12.15" customHeight="1">
      <c r="A172" s="1445" t="s">
        <v>2430</v>
      </c>
      <c r="B172" s="1445"/>
      <c r="C172" s="1445"/>
      <c r="D172" s="1766"/>
      <c r="E172" s="1760"/>
      <c r="F172" s="1569">
        <f>+D172</f>
        <v>0</v>
      </c>
      <c r="G172" s="1569"/>
      <c r="H172" s="1569"/>
      <c r="I172" s="1569"/>
      <c r="J172" s="1569"/>
    </row>
    <row r="173" spans="1:10" ht="10.95" customHeight="1">
      <c r="A173" s="1446" t="s">
        <v>2431</v>
      </c>
      <c r="B173" s="1447">
        <v>46063</v>
      </c>
      <c r="C173" s="1446" t="s">
        <v>2432</v>
      </c>
      <c r="D173" s="1765">
        <v>122916.67</v>
      </c>
      <c r="E173" s="1757">
        <f>SUM(F173:J173)</f>
        <v>122916.67</v>
      </c>
      <c r="F173" s="1570">
        <f>+D173</f>
        <v>122916.67</v>
      </c>
      <c r="G173" s="1570"/>
      <c r="H173" s="1570"/>
      <c r="I173" s="1570"/>
      <c r="J173" s="1570"/>
    </row>
    <row r="174" spans="1:10" ht="22.8">
      <c r="A174" s="1450" t="s">
        <v>2433</v>
      </c>
      <c r="B174" s="1451">
        <v>46063</v>
      </c>
      <c r="C174" s="1732" t="s">
        <v>2434</v>
      </c>
      <c r="D174" s="1764">
        <v>385273.98</v>
      </c>
      <c r="E174" s="1757">
        <f>SUM(F174:J174)</f>
        <v>385273.98</v>
      </c>
      <c r="F174" s="1571">
        <f>+D174</f>
        <v>385273.98</v>
      </c>
      <c r="G174" s="1571"/>
      <c r="H174" s="1571"/>
      <c r="I174" s="1571"/>
      <c r="J174" s="1571"/>
    </row>
    <row r="175" spans="1:10" ht="12">
      <c r="A175" s="1672" t="s">
        <v>2064</v>
      </c>
      <c r="B175" s="1673"/>
      <c r="C175" s="1672"/>
      <c r="D175" s="1758"/>
      <c r="E175" s="1757">
        <f>SUM(F175:J175)</f>
        <v>2500000</v>
      </c>
      <c r="F175" s="1756">
        <v>500000</v>
      </c>
      <c r="G175" s="1756">
        <v>500000</v>
      </c>
      <c r="H175" s="1756">
        <v>500000</v>
      </c>
      <c r="I175" s="1756">
        <v>500000</v>
      </c>
      <c r="J175" s="1756">
        <v>500000</v>
      </c>
    </row>
    <row r="176" spans="1:10" ht="10.95" customHeight="1">
      <c r="A176" s="1454" t="s">
        <v>2355</v>
      </c>
      <c r="B176" s="1454"/>
      <c r="C176" s="1454"/>
      <c r="D176" s="1763">
        <f t="shared" ref="D176:J176" si="27">SUM(D173:D175)</f>
        <v>508190.64999999997</v>
      </c>
      <c r="E176" s="1754">
        <f t="shared" si="27"/>
        <v>3008190.65</v>
      </c>
      <c r="F176" s="1572">
        <f t="shared" si="27"/>
        <v>1008190.6499999999</v>
      </c>
      <c r="G176" s="1572">
        <f t="shared" si="27"/>
        <v>500000</v>
      </c>
      <c r="H176" s="1572">
        <f t="shared" si="27"/>
        <v>500000</v>
      </c>
      <c r="I176" s="1572">
        <f t="shared" si="27"/>
        <v>500000</v>
      </c>
      <c r="J176" s="1572">
        <f t="shared" si="27"/>
        <v>500000</v>
      </c>
    </row>
    <row r="177" spans="1:10" ht="13.35" customHeight="1">
      <c r="D177" s="1749"/>
      <c r="E177" s="1762"/>
      <c r="F177" s="1568">
        <f>+D177</f>
        <v>0</v>
      </c>
      <c r="G177" s="1568"/>
      <c r="H177" s="1568"/>
      <c r="I177" s="1568"/>
      <c r="J177" s="1568"/>
    </row>
    <row r="178" spans="1:10" s="1444" customFormat="1" ht="12.15" customHeight="1">
      <c r="A178" s="1445" t="s">
        <v>919</v>
      </c>
      <c r="B178" s="1445"/>
      <c r="C178" s="1445"/>
      <c r="D178" s="1761"/>
      <c r="E178" s="1760"/>
      <c r="F178" s="1759"/>
      <c r="G178" s="1759"/>
      <c r="H178" s="1759"/>
      <c r="I178" s="1759"/>
      <c r="J178" s="1759"/>
    </row>
    <row r="179" spans="1:10" ht="10.95" customHeight="1">
      <c r="A179" s="1672" t="s">
        <v>795</v>
      </c>
      <c r="B179" s="1673"/>
      <c r="C179" s="1672"/>
      <c r="D179" s="1758"/>
      <c r="E179" s="1757">
        <f>SUM(F179:J179)</f>
        <v>1113330</v>
      </c>
      <c r="F179" s="1756">
        <v>371110</v>
      </c>
      <c r="G179" s="1756"/>
      <c r="H179" s="1756"/>
      <c r="I179" s="1756">
        <v>742220</v>
      </c>
      <c r="J179" s="1756"/>
    </row>
    <row r="180" spans="1:10" ht="10.95" customHeight="1">
      <c r="A180" s="1672" t="s">
        <v>2244</v>
      </c>
      <c r="B180" s="1673"/>
      <c r="C180" s="1672"/>
      <c r="D180" s="1758"/>
      <c r="E180" s="1757">
        <f>SUM(F180:J180)</f>
        <v>29500</v>
      </c>
      <c r="F180" s="1756">
        <v>29500</v>
      </c>
      <c r="G180" s="1756"/>
      <c r="H180" s="1756"/>
      <c r="I180" s="1756"/>
      <c r="J180" s="1756"/>
    </row>
    <row r="181" spans="1:10" ht="10.95" customHeight="1">
      <c r="A181" s="1672" t="s">
        <v>1150</v>
      </c>
      <c r="B181" s="1673"/>
      <c r="C181" s="1672"/>
      <c r="D181" s="1758"/>
      <c r="E181" s="1757">
        <f>SUM(F181:J181)</f>
        <v>2091958.99</v>
      </c>
      <c r="F181" s="1756">
        <v>2091958.99</v>
      </c>
      <c r="G181" s="1756"/>
      <c r="H181" s="1756"/>
      <c r="I181" s="1756"/>
      <c r="J181" s="1756"/>
    </row>
    <row r="182" spans="1:10" ht="10.95" customHeight="1">
      <c r="A182" s="1454" t="s">
        <v>1864</v>
      </c>
      <c r="B182" s="1454"/>
      <c r="C182" s="1454"/>
      <c r="D182" s="1755">
        <f t="shared" ref="D182:J182" si="28">SUM(D179:D181)</f>
        <v>0</v>
      </c>
      <c r="E182" s="1754">
        <f t="shared" si="28"/>
        <v>3234788.99</v>
      </c>
      <c r="F182" s="1753">
        <f t="shared" si="28"/>
        <v>2492568.9900000002</v>
      </c>
      <c r="G182" s="1753">
        <f t="shared" si="28"/>
        <v>0</v>
      </c>
      <c r="H182" s="1753">
        <f t="shared" si="28"/>
        <v>0</v>
      </c>
      <c r="I182" s="1753">
        <f t="shared" si="28"/>
        <v>742220</v>
      </c>
      <c r="J182" s="1753">
        <f t="shared" si="28"/>
        <v>0</v>
      </c>
    </row>
    <row r="183" spans="1:10" ht="10.95" customHeight="1">
      <c r="A183" s="1458"/>
      <c r="B183" s="1458"/>
      <c r="C183" s="1458"/>
      <c r="D183" s="1752"/>
      <c r="E183" s="1751"/>
      <c r="F183" s="1750"/>
      <c r="G183" s="1750"/>
      <c r="H183" s="1750"/>
      <c r="I183" s="1750"/>
      <c r="J183" s="1750"/>
    </row>
    <row r="184" spans="1:10" ht="13.35" customHeight="1">
      <c r="D184" s="1749" cm="1">
        <f t="array" ref="D184">SUM(D7:D182/2)</f>
        <v>10797291.99</v>
      </c>
      <c r="E184" s="1749" cm="1">
        <f t="array" ref="E184">SUM(E7:E182/2)</f>
        <v>338934646.23999995</v>
      </c>
      <c r="F184" s="1749" cm="1">
        <f t="array" ref="F184">SUM(F7:F182/2)</f>
        <v>43670300.700000003</v>
      </c>
      <c r="G184" s="1749" cm="1">
        <f t="array" ref="G184">SUM(G7:G182/2)</f>
        <v>54977647.36999999</v>
      </c>
      <c r="H184" s="1749" cm="1">
        <f t="array" ref="H184">SUM(H7:H182/2)</f>
        <v>71532341.11999999</v>
      </c>
      <c r="I184" s="1749" cm="1">
        <f t="array" ref="I184">SUM(I7:I182/2)</f>
        <v>106511933.80000001</v>
      </c>
      <c r="J184" s="1749" cm="1">
        <f t="array" ref="J184">SUM(J7:J182/2)</f>
        <v>63319713.799999997</v>
      </c>
    </row>
    <row r="185" spans="1:10" ht="10.95" customHeight="1">
      <c r="A185" s="1461" t="s">
        <v>164</v>
      </c>
      <c r="B185" s="1461"/>
      <c r="C185" s="1461"/>
      <c r="D185" s="1748">
        <f t="shared" ref="D185:J185" si="29">+D11+D31+D88+D92+D98+D104+D110+D114+D121+D125+D129+D138+D142+D146+D154+D163+D170+D176+D182</f>
        <v>10797291.989999998</v>
      </c>
      <c r="E185" s="1748">
        <f t="shared" si="29"/>
        <v>338934646.24000007</v>
      </c>
      <c r="F185" s="1748">
        <f t="shared" si="29"/>
        <v>43670300.700000003</v>
      </c>
      <c r="G185" s="1748">
        <f t="shared" si="29"/>
        <v>54977647.369999997</v>
      </c>
      <c r="H185" s="1748">
        <f t="shared" si="29"/>
        <v>71532341.120000005</v>
      </c>
      <c r="I185" s="1748">
        <f t="shared" si="29"/>
        <v>106511933.8</v>
      </c>
      <c r="J185" s="1748">
        <f t="shared" si="29"/>
        <v>63319713.799999997</v>
      </c>
    </row>
  </sheetData>
  <pageMargins left="0.7" right="0.7" top="0.75" bottom="0.75" header="0.3" footer="0.3"/>
  <pageSetup paperSize="9" fitToWidth="0" fitToHeight="0" orientation="portrait" horizontalDpi="0" verticalDpi="0"/>
  <drawing r:id="rId1"/>
  <legacyDrawing r:id="rId2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014E2-BED9-4D56-BFCD-86345DE9A156}">
  <sheetPr>
    <tabColor theme="5" tint="0.79998168889431442"/>
  </sheetPr>
  <dimension ref="A1:V50"/>
  <sheetViews>
    <sheetView showGridLines="0" topLeftCell="A2" zoomScale="110" zoomScaleNormal="110" workbookViewId="0">
      <pane xSplit="7" ySplit="3" topLeftCell="I5" activePane="bottomRight" state="frozen"/>
      <selection pane="topRight" activeCell="H2" sqref="H2"/>
      <selection pane="bottomLeft" activeCell="A5" sqref="A5"/>
      <selection pane="bottomRight" activeCell="G8" sqref="G8"/>
    </sheetView>
  </sheetViews>
  <sheetFormatPr baseColWidth="10" defaultColWidth="11.44140625" defaultRowHeight="14.4"/>
  <cols>
    <col min="1" max="1" width="3.6640625" customWidth="1"/>
    <col min="2" max="2" width="27.109375" customWidth="1"/>
    <col min="3" max="5" width="18" hidden="1" customWidth="1"/>
    <col min="6" max="6" width="14.6640625" style="841" hidden="1" customWidth="1"/>
    <col min="7" max="7" width="17.6640625" style="841" customWidth="1"/>
    <col min="8" max="8" width="13.33203125" customWidth="1"/>
    <col min="9" max="9" width="17.33203125" customWidth="1"/>
    <col min="10" max="10" width="13.6640625" customWidth="1"/>
    <col min="11" max="11" width="13.6640625" hidden="1" customWidth="1"/>
    <col min="12" max="12" width="13.33203125" hidden="1" customWidth="1"/>
    <col min="13" max="13" width="15" hidden="1" customWidth="1"/>
    <col min="14" max="14" width="15.6640625" hidden="1" customWidth="1"/>
    <col min="15" max="15" width="15.5546875" customWidth="1"/>
    <col min="16" max="16" width="7.6640625" style="14" bestFit="1" customWidth="1"/>
    <col min="17" max="17" width="15.88671875" customWidth="1"/>
    <col min="18" max="18" width="16.5546875" customWidth="1"/>
    <col min="19" max="19" width="16.109375" customWidth="1"/>
    <col min="20" max="20" width="18.5546875" customWidth="1"/>
    <col min="21" max="21" width="17" customWidth="1"/>
    <col min="22" max="24" width="15.44140625" bestFit="1" customWidth="1"/>
    <col min="25" max="25" width="14.44140625" bestFit="1" customWidth="1"/>
  </cols>
  <sheetData>
    <row r="1" spans="1:22" ht="21.6" customHeight="1">
      <c r="E1" s="370"/>
      <c r="H1" s="370"/>
      <c r="J1" s="370"/>
      <c r="K1" s="370"/>
      <c r="O1" s="732"/>
      <c r="S1" s="2109" t="s">
        <v>185</v>
      </c>
      <c r="T1" s="2109"/>
      <c r="U1" s="2109"/>
      <c r="V1" s="2109"/>
    </row>
    <row r="2" spans="1:22" ht="15" thickBot="1">
      <c r="E2" s="509"/>
      <c r="F2" s="840"/>
      <c r="G2" s="840"/>
      <c r="H2" s="509"/>
      <c r="I2" s="181" t="s">
        <v>197</v>
      </c>
      <c r="J2" s="1621"/>
      <c r="K2" s="2148" t="s">
        <v>1611</v>
      </c>
      <c r="L2" s="2148"/>
      <c r="M2" s="2148"/>
      <c r="N2" s="2148"/>
      <c r="O2" s="1111"/>
      <c r="P2" s="13"/>
      <c r="Q2" s="181" t="s">
        <v>199</v>
      </c>
      <c r="R2" s="181" t="s">
        <v>225</v>
      </c>
      <c r="S2" s="2109"/>
      <c r="T2" s="2109"/>
      <c r="U2" s="2109"/>
      <c r="V2" s="2109"/>
    </row>
    <row r="3" spans="1:22" ht="15.6" customHeight="1" thickBot="1">
      <c r="B3" s="1033" t="s">
        <v>1445</v>
      </c>
      <c r="C3" s="1034"/>
      <c r="D3" s="1035"/>
      <c r="E3" s="1035"/>
      <c r="F3" s="1036"/>
      <c r="G3" s="1036"/>
      <c r="H3" s="1565">
        <v>61</v>
      </c>
      <c r="I3" s="2142" t="s">
        <v>145</v>
      </c>
      <c r="J3" s="2142" t="s">
        <v>650</v>
      </c>
      <c r="K3" s="2146" t="s">
        <v>2080</v>
      </c>
      <c r="L3" s="2146" t="s">
        <v>1541</v>
      </c>
      <c r="M3" s="2146" t="s">
        <v>1613</v>
      </c>
      <c r="N3" s="2146" t="s">
        <v>652</v>
      </c>
      <c r="O3" s="2179" t="s">
        <v>227</v>
      </c>
      <c r="P3" s="2179" t="s">
        <v>2356</v>
      </c>
      <c r="Q3" s="2142" t="s">
        <v>2357</v>
      </c>
      <c r="R3" s="2142" t="s">
        <v>146</v>
      </c>
      <c r="S3" s="183"/>
      <c r="T3" s="183"/>
      <c r="U3" s="183"/>
      <c r="V3" s="183"/>
    </row>
    <row r="4" spans="1:22" ht="25.2" customHeight="1" thickBot="1">
      <c r="A4" s="152"/>
      <c r="B4" s="1038" t="s">
        <v>29</v>
      </c>
      <c r="C4" s="1039" t="s">
        <v>762</v>
      </c>
      <c r="D4" s="1038" t="s">
        <v>763</v>
      </c>
      <c r="E4" s="1110" t="s">
        <v>1446</v>
      </c>
      <c r="F4" s="1110" t="s">
        <v>1614</v>
      </c>
      <c r="G4" s="1038" t="s">
        <v>1614</v>
      </c>
      <c r="H4" s="1038" t="s">
        <v>31</v>
      </c>
      <c r="I4" s="2143"/>
      <c r="J4" s="2143"/>
      <c r="K4" s="2147"/>
      <c r="L4" s="2147"/>
      <c r="M4" s="2147"/>
      <c r="N4" s="2147"/>
      <c r="O4" s="2180"/>
      <c r="P4" s="2180"/>
      <c r="Q4" s="2181"/>
      <c r="R4" s="2143"/>
      <c r="S4" s="183"/>
      <c r="T4" s="183"/>
      <c r="U4" s="183"/>
      <c r="V4" s="183"/>
    </row>
    <row r="5" spans="1:22">
      <c r="A5">
        <v>1</v>
      </c>
      <c r="B5" s="335" t="s">
        <v>33</v>
      </c>
      <c r="C5" s="1025">
        <f>SUM('budget (11)'!D2:D3)</f>
        <v>103385169</v>
      </c>
      <c r="D5" s="1053">
        <v>103385169</v>
      </c>
      <c r="E5" s="1053">
        <f>+'ADI 462 julio 25 '!D18</f>
        <v>105180000</v>
      </c>
      <c r="F5" s="1054">
        <f>+'ADI 462 AGO25'!D18</f>
        <v>106933000</v>
      </c>
      <c r="G5" s="1054">
        <f>+'ADI 09-25'!C18</f>
        <v>106933000</v>
      </c>
      <c r="H5" s="1053">
        <f>G5/H3</f>
        <v>1753000</v>
      </c>
      <c r="I5" s="1055">
        <f>+'Proc. 02-26'!C$2</f>
        <v>264445080.16</v>
      </c>
      <c r="J5" s="1055">
        <f>+'Proc. 02-26'!D$2</f>
        <v>264445081.16</v>
      </c>
      <c r="K5" s="1055">
        <f>+'Flujo y Ejecución 10-25'!H14</f>
        <v>0</v>
      </c>
      <c r="L5" s="1055"/>
      <c r="M5" s="1055"/>
      <c r="N5" s="1055"/>
      <c r="O5" s="1055">
        <f t="shared" ref="O5:O11" si="0">+J5-L5-M5+N5</f>
        <v>264445081.16</v>
      </c>
      <c r="P5" s="1718">
        <f>+O5/O24</f>
        <v>0.5044443027629979</v>
      </c>
      <c r="Q5" s="1056">
        <f t="shared" ref="Q5:Q11" si="1">I5-O5</f>
        <v>-1</v>
      </c>
      <c r="R5" s="1056">
        <f t="shared" ref="R5:R11" si="2">+G5-I5</f>
        <v>-157512080.16</v>
      </c>
      <c r="S5" s="183"/>
      <c r="T5" s="183"/>
      <c r="U5" s="183"/>
      <c r="V5" s="183"/>
    </row>
    <row r="6" spans="1:22">
      <c r="B6" s="1044" t="s">
        <v>35</v>
      </c>
      <c r="C6" s="1017">
        <f>SUM('budget (11)'!D11:D24)</f>
        <v>451758999.99999994</v>
      </c>
      <c r="D6" s="1057">
        <v>451758999.99999994</v>
      </c>
      <c r="E6" s="1057">
        <f>+'ADI 462 julio 25 '!D19</f>
        <v>461429397</v>
      </c>
      <c r="F6" s="1058">
        <f>+'ADI 462 AGO25'!D19</f>
        <v>469173666.60000002</v>
      </c>
      <c r="G6" s="1058">
        <f>+'ADI 09-25'!C19</f>
        <v>469173666.60000002</v>
      </c>
      <c r="H6" s="1057">
        <f>G6/$H$3</f>
        <v>7691371.5836065579</v>
      </c>
      <c r="I6" s="1059">
        <f>+'Proc. 02-26'!C$4</f>
        <v>41149373.200000003</v>
      </c>
      <c r="J6" s="1059">
        <f>+'Proc. 02-26'!D$4</f>
        <v>36684184.439999998</v>
      </c>
      <c r="K6" s="1059"/>
      <c r="L6" s="1059"/>
      <c r="M6" s="1059">
        <f>+'CXP 02-26 RES'!H8</f>
        <v>484173.67000000004</v>
      </c>
      <c r="N6" s="1059">
        <f>+'Anticipos 02-26'!D5</f>
        <v>422919.6</v>
      </c>
      <c r="O6" s="1059">
        <f t="shared" si="0"/>
        <v>36622930.369999997</v>
      </c>
      <c r="P6" s="1717">
        <f>+O6/$O$12</f>
        <v>0.46727722861415638</v>
      </c>
      <c r="Q6" s="1060">
        <f t="shared" si="1"/>
        <v>4526442.8300000057</v>
      </c>
      <c r="R6" s="1060">
        <f t="shared" si="2"/>
        <v>428024293.40000004</v>
      </c>
      <c r="S6" s="183"/>
      <c r="T6" s="184"/>
      <c r="U6" s="183"/>
      <c r="V6" s="183"/>
    </row>
    <row r="7" spans="1:22" ht="13.95" customHeight="1">
      <c r="B7" s="1044" t="s">
        <v>38</v>
      </c>
      <c r="C7" s="1020">
        <f>SUM('budget (11)'!D25:D39)</f>
        <v>1265953920</v>
      </c>
      <c r="D7" s="1057">
        <f>1447934796</f>
        <v>1447934796</v>
      </c>
      <c r="E7" s="1057">
        <f>+'ADI 462 julio 25 '!D22</f>
        <v>1521122757</v>
      </c>
      <c r="F7" s="1058">
        <f>+'ADI 462 AGO25'!D20</f>
        <v>1517166651</v>
      </c>
      <c r="G7" s="1058">
        <f>+'ADI 09-25'!C20</f>
        <v>1517166651</v>
      </c>
      <c r="H7" s="1057">
        <f t="shared" ref="H7:H11" si="3">G7/$H$3</f>
        <v>24871584.442622952</v>
      </c>
      <c r="I7" s="1061">
        <f>+'Proc. 02-26'!C$5</f>
        <v>120837316.56999999</v>
      </c>
      <c r="J7" s="1061">
        <f>+'Proc. 02-26'!D$5</f>
        <v>9545791.0600000005</v>
      </c>
      <c r="K7" s="1061"/>
      <c r="L7" s="1061"/>
      <c r="M7" s="1061">
        <f>+'CXP 02-26 RES'!H9</f>
        <v>4772145.2699999996</v>
      </c>
      <c r="N7" s="1061"/>
      <c r="O7" s="1061">
        <f t="shared" si="0"/>
        <v>4773645.790000001</v>
      </c>
      <c r="P7" s="1717">
        <f t="shared" ref="P7:P10" si="4">+O7/$O$12</f>
        <v>6.0907632256649365E-2</v>
      </c>
      <c r="Q7" s="1062">
        <f t="shared" si="1"/>
        <v>116063670.77999999</v>
      </c>
      <c r="R7" s="1062">
        <f t="shared" si="2"/>
        <v>1396329334.4300001</v>
      </c>
      <c r="S7" s="183"/>
      <c r="T7" s="184"/>
      <c r="U7" s="183"/>
      <c r="V7" s="183"/>
    </row>
    <row r="8" spans="1:22" ht="13.95" customHeight="1">
      <c r="B8" s="1044" t="s">
        <v>767</v>
      </c>
      <c r="C8" s="1020">
        <f>SUM('budget (11)'!D40:D41)</f>
        <v>171771292</v>
      </c>
      <c r="D8" s="1057">
        <v>189969380</v>
      </c>
      <c r="E8" s="1057">
        <f>+'ADI 462 julio 25 '!D23</f>
        <v>198255215.40000001</v>
      </c>
      <c r="F8" s="1058">
        <f>+'ADI 462 AGO25'!D21</f>
        <v>198634031.75999999</v>
      </c>
      <c r="G8" s="1058">
        <f>+'ADI 09-25'!C21</f>
        <v>234388157.47679996</v>
      </c>
      <c r="H8" s="1057">
        <f t="shared" si="3"/>
        <v>3842428.8110950813</v>
      </c>
      <c r="I8" s="1061">
        <f>+'Proc. 02-26'!C$6</f>
        <v>42580702.560000002</v>
      </c>
      <c r="J8" s="1061">
        <f>+'Proc. 02-26'!D$6</f>
        <v>31054151.57</v>
      </c>
      <c r="K8" s="1061"/>
      <c r="L8" s="1061"/>
      <c r="M8" s="1061"/>
      <c r="N8" s="1061"/>
      <c r="O8" s="1061">
        <f t="shared" si="0"/>
        <v>31054151.57</v>
      </c>
      <c r="P8" s="1717">
        <f t="shared" si="4"/>
        <v>0.3962243800807454</v>
      </c>
      <c r="Q8" s="1062">
        <f t="shared" si="1"/>
        <v>11526550.990000002</v>
      </c>
      <c r="R8" s="1062">
        <f t="shared" si="2"/>
        <v>191807454.91679996</v>
      </c>
      <c r="S8" s="183"/>
      <c r="T8" s="184"/>
      <c r="U8" s="183"/>
      <c r="V8" s="183"/>
    </row>
    <row r="9" spans="1:22" ht="13.95" customHeight="1">
      <c r="B9" s="1044" t="s">
        <v>1607</v>
      </c>
      <c r="C9" s="1114"/>
      <c r="D9" s="1057">
        <v>0</v>
      </c>
      <c r="E9" s="1057">
        <v>0</v>
      </c>
      <c r="F9" s="1058">
        <f>+'ADI 462 AGO25'!D22</f>
        <v>19863403.175999999</v>
      </c>
      <c r="G9" s="1058">
        <f>+'ADI 09-25'!C22</f>
        <v>19264643</v>
      </c>
      <c r="H9" s="1057">
        <f t="shared" si="3"/>
        <v>315813.81967213115</v>
      </c>
      <c r="I9" s="1061">
        <f>+'Proc. 02-26'!C$9</f>
        <v>8618393.0999999996</v>
      </c>
      <c r="J9" s="1061">
        <f>+'Proc. 02-26'!D$9</f>
        <v>3041785.8</v>
      </c>
      <c r="K9" s="1061"/>
      <c r="L9" s="1061"/>
      <c r="M9" s="1061">
        <f>+'CXP 02-26 RES'!H12</f>
        <v>1013928.6</v>
      </c>
      <c r="N9" s="1061"/>
      <c r="O9" s="1061">
        <f t="shared" si="0"/>
        <v>2027857.1999999997</v>
      </c>
      <c r="P9" s="1717">
        <f t="shared" si="4"/>
        <v>2.5873721268833107E-2</v>
      </c>
      <c r="Q9" s="1062">
        <f t="shared" si="1"/>
        <v>6590535.9000000004</v>
      </c>
      <c r="R9" s="1062">
        <f t="shared" si="2"/>
        <v>10646249.9</v>
      </c>
      <c r="S9" s="183"/>
      <c r="T9" s="184"/>
      <c r="U9" s="183"/>
      <c r="V9" s="183"/>
    </row>
    <row r="10" spans="1:22">
      <c r="B10" s="1044" t="s">
        <v>40</v>
      </c>
      <c r="C10" s="1020">
        <f>SUM('budget (11)'!D42)</f>
        <v>34354258</v>
      </c>
      <c r="D10" s="1057">
        <v>37993876</v>
      </c>
      <c r="E10" s="1057">
        <f>+'ADI 462 julio 25 '!D24/2</f>
        <v>39651043.079999998</v>
      </c>
      <c r="F10" s="1058">
        <f>+'ADI 462 AGO25'!D23</f>
        <v>47672167.622400001</v>
      </c>
      <c r="G10" s="1058">
        <f>+'ADI 09-25'!C23</f>
        <v>47672167.622400001</v>
      </c>
      <c r="H10" s="1057">
        <f t="shared" si="3"/>
        <v>781510.94462950819</v>
      </c>
      <c r="I10" s="1061">
        <f>+'Proc. 02-26'!C$7</f>
        <v>24948981.09</v>
      </c>
      <c r="J10" s="1061">
        <f>+'Proc. 02-26'!D$7</f>
        <v>4084802.18</v>
      </c>
      <c r="K10" s="1061"/>
      <c r="L10" s="1061"/>
      <c r="M10" s="1061">
        <f>+'CXP 02-26 RES'!H10+'CXP 02-26 RES'!H11</f>
        <v>188221.09000000003</v>
      </c>
      <c r="N10" s="1061"/>
      <c r="O10" s="1061">
        <f t="shared" si="0"/>
        <v>3896581.0900000003</v>
      </c>
      <c r="P10" s="1717">
        <f t="shared" si="4"/>
        <v>4.9717037779615801E-2</v>
      </c>
      <c r="Q10" s="1062">
        <f t="shared" si="1"/>
        <v>21052400</v>
      </c>
      <c r="R10" s="1062">
        <f t="shared" si="2"/>
        <v>22723186.532400001</v>
      </c>
      <c r="S10" s="183"/>
      <c r="T10" s="184"/>
      <c r="U10" s="183"/>
      <c r="V10" s="183"/>
    </row>
    <row r="11" spans="1:22">
      <c r="B11" s="1044" t="s">
        <v>764</v>
      </c>
      <c r="C11" s="1020">
        <v>0</v>
      </c>
      <c r="D11" s="1057">
        <v>37993876</v>
      </c>
      <c r="E11" s="1057">
        <f>+'ADI 462 julio 25 '!D24/2</f>
        <v>39651043.079999998</v>
      </c>
      <c r="F11" s="1058">
        <f>+'ADI 462 AGO25'!D24</f>
        <v>39726806.351999998</v>
      </c>
      <c r="G11" s="1058">
        <f>+'ADI 09-25'!C24</f>
        <v>39726806.351999998</v>
      </c>
      <c r="H11" s="1057">
        <f t="shared" si="3"/>
        <v>651259.12052459014</v>
      </c>
      <c r="I11" s="1061">
        <f>+'Proc. 02-26'!C$8</f>
        <v>0</v>
      </c>
      <c r="J11" s="1061">
        <f>+'Proc. 02-26'!D$8</f>
        <v>0</v>
      </c>
      <c r="K11" s="1061"/>
      <c r="L11" s="1061"/>
      <c r="M11" s="1061"/>
      <c r="N11" s="1061"/>
      <c r="O11" s="1061">
        <f t="shared" si="0"/>
        <v>0</v>
      </c>
      <c r="P11" s="1719"/>
      <c r="Q11" s="1062">
        <f t="shared" si="1"/>
        <v>0</v>
      </c>
      <c r="R11" s="1062">
        <f t="shared" si="2"/>
        <v>39726806.351999998</v>
      </c>
      <c r="S11" s="183"/>
      <c r="T11" s="184"/>
      <c r="U11" s="183"/>
      <c r="V11" s="183"/>
    </row>
    <row r="12" spans="1:22">
      <c r="B12" s="254" t="s">
        <v>41</v>
      </c>
      <c r="C12" s="665">
        <f>SUM(C6:C10)</f>
        <v>1923838470</v>
      </c>
      <c r="D12" s="1063">
        <f t="shared" ref="D12:R12" si="5">SUM(D6:D11)</f>
        <v>2165650928</v>
      </c>
      <c r="E12" s="1063">
        <f t="shared" si="5"/>
        <v>2260109455.5599999</v>
      </c>
      <c r="F12" s="1063">
        <f t="shared" si="5"/>
        <v>2292236726.5103998</v>
      </c>
      <c r="G12" s="1063">
        <f t="shared" si="5"/>
        <v>2327392092.0511999</v>
      </c>
      <c r="H12" s="1063">
        <f t="shared" si="5"/>
        <v>38153968.722150818</v>
      </c>
      <c r="I12" s="1064">
        <f t="shared" si="5"/>
        <v>238134766.51999998</v>
      </c>
      <c r="J12" s="1064">
        <f t="shared" si="5"/>
        <v>84410715.049999997</v>
      </c>
      <c r="K12" s="1064">
        <f t="shared" si="5"/>
        <v>0</v>
      </c>
      <c r="L12" s="1064">
        <f t="shared" si="5"/>
        <v>0</v>
      </c>
      <c r="M12" s="1064">
        <f>SUM(M6:M11)</f>
        <v>6458468.629999999</v>
      </c>
      <c r="N12" s="1064">
        <f t="shared" si="5"/>
        <v>422919.6</v>
      </c>
      <c r="O12" s="1064">
        <f t="shared" si="5"/>
        <v>78375166.019999996</v>
      </c>
      <c r="P12" s="1720">
        <f>+O12/O24</f>
        <v>0.14950516683262594</v>
      </c>
      <c r="Q12" s="1714">
        <f t="shared" si="5"/>
        <v>159759600.5</v>
      </c>
      <c r="R12" s="1064">
        <f t="shared" si="5"/>
        <v>2089257325.5312002</v>
      </c>
      <c r="S12" s="183"/>
      <c r="T12" s="184"/>
      <c r="U12" s="183"/>
      <c r="V12" s="183"/>
    </row>
    <row r="13" spans="1:22">
      <c r="B13" s="1044" t="s">
        <v>42</v>
      </c>
      <c r="C13" s="1023">
        <f>SUM('budget (11)'!D43)</f>
        <v>137417034</v>
      </c>
      <c r="D13" s="1065">
        <v>151975504</v>
      </c>
      <c r="E13" s="1057">
        <f>+'ADI 462 julio 25 '!D26</f>
        <v>158604172.31999999</v>
      </c>
      <c r="F13" s="1058">
        <f>+'ADI 462 AGO25'!D26</f>
        <v>158907225.40799999</v>
      </c>
      <c r="G13" s="1058">
        <f>+'ADI 09-25'!C26</f>
        <v>187510525.98143998</v>
      </c>
      <c r="H13" s="1057">
        <f>G13/$H$3</f>
        <v>3073943.0488760653</v>
      </c>
      <c r="I13" s="1066">
        <f>+'Proc. 02-26'!C$11</f>
        <v>39101175.969999999</v>
      </c>
      <c r="J13" s="1066">
        <f>+'Proc. 02-26'!D$11</f>
        <v>19631175.969999999</v>
      </c>
      <c r="K13" s="1066"/>
      <c r="L13" s="1066"/>
      <c r="M13" s="1066"/>
      <c r="N13" s="1066"/>
      <c r="O13" s="1066">
        <f>+J13-L13-M13+N13</f>
        <v>19631175.969999999</v>
      </c>
      <c r="P13" s="1717">
        <f>+O13/$O$18</f>
        <v>0.14728514866772133</v>
      </c>
      <c r="Q13" s="1715">
        <f>I13-O13</f>
        <v>19470000</v>
      </c>
      <c r="R13" s="1066">
        <f>+G13-I13</f>
        <v>148409350.01143998</v>
      </c>
      <c r="S13" s="183"/>
      <c r="T13" s="184"/>
      <c r="U13" s="183"/>
      <c r="V13" s="183"/>
    </row>
    <row r="14" spans="1:22">
      <c r="B14" s="1044" t="s">
        <v>43</v>
      </c>
      <c r="C14" s="1023">
        <f>SUM('budget (11)'!D45:D46)</f>
        <v>281704919</v>
      </c>
      <c r="D14" s="1065">
        <v>308130334</v>
      </c>
      <c r="E14" s="1065">
        <f>+'ADI 462 julio 25 '!D27</f>
        <v>356859387.71999997</v>
      </c>
      <c r="F14" s="1067">
        <f>+'ADI 462 AGO25'!D27</f>
        <v>365486618.43839997</v>
      </c>
      <c r="G14" s="1067">
        <f>+'ADI 09-25'!C27</f>
        <v>327746152.40399998</v>
      </c>
      <c r="H14" s="1057">
        <f>G14/$H$3</f>
        <v>5372887.7443278683</v>
      </c>
      <c r="I14" s="1066">
        <f>+'Proc. 02-26'!C$12</f>
        <v>110163895.41</v>
      </c>
      <c r="J14" s="1066">
        <f>+'Proc. 02-26'!D$12</f>
        <v>84825533.239999995</v>
      </c>
      <c r="K14" s="1066"/>
      <c r="L14" s="1066"/>
      <c r="M14" s="1066">
        <f>+'CXP 02-26 RES'!H13+'CXP 02-26 RES'!H14</f>
        <v>1665768.96</v>
      </c>
      <c r="N14" s="1066"/>
      <c r="O14" s="1066">
        <f>+J14-L14-M14+N14</f>
        <v>83159764.280000001</v>
      </c>
      <c r="P14" s="1717">
        <f t="shared" ref="P14:P16" si="6">+O14/$O$18</f>
        <v>0.62391566678786503</v>
      </c>
      <c r="Q14" s="1715">
        <f>I14-O14</f>
        <v>27004131.129999995</v>
      </c>
      <c r="R14" s="1066">
        <f>+G14-I14</f>
        <v>217582256.99399999</v>
      </c>
      <c r="S14" s="183"/>
      <c r="T14" s="184"/>
      <c r="U14" s="183"/>
      <c r="V14" s="183"/>
    </row>
    <row r="15" spans="1:22">
      <c r="B15" s="1044" t="s">
        <v>44</v>
      </c>
      <c r="C15" s="1023">
        <f>SUM('budget (11)'!D47)</f>
        <v>67334346</v>
      </c>
      <c r="D15" s="1065">
        <v>75797782</v>
      </c>
      <c r="E15" s="1065">
        <f>+'ADI 462 julio 25 '!D28</f>
        <v>79103830.944600001</v>
      </c>
      <c r="F15" s="1067">
        <f>+'ADI 462 AGO25'!D28</f>
        <v>80228285.427864</v>
      </c>
      <c r="G15" s="1067">
        <f>+'ADI 09-25'!C28</f>
        <v>81458723.221791998</v>
      </c>
      <c r="H15" s="1057">
        <f>G15/$H$3</f>
        <v>1335388.9052752787</v>
      </c>
      <c r="I15" s="1066">
        <f>+'Proc. 02-26'!C$13</f>
        <v>3969279.79</v>
      </c>
      <c r="J15" s="1066">
        <f>+'Proc. 02-26'!D$13</f>
        <v>3969279.79</v>
      </c>
      <c r="K15" s="1066"/>
      <c r="L15" s="1066"/>
      <c r="M15" s="1066"/>
      <c r="N15" s="1066"/>
      <c r="O15" s="1066">
        <f>+J15-L15-M15+N15</f>
        <v>3969279.79</v>
      </c>
      <c r="P15" s="1717">
        <f t="shared" si="6"/>
        <v>2.9779976750620087E-2</v>
      </c>
      <c r="Q15" s="1715">
        <f>I15-O15</f>
        <v>0</v>
      </c>
      <c r="R15" s="1066">
        <f>+G15-I15</f>
        <v>77489443.431791991</v>
      </c>
      <c r="S15" s="183"/>
      <c r="T15" s="184"/>
      <c r="U15" s="183"/>
      <c r="V15" s="183"/>
    </row>
    <row r="16" spans="1:22">
      <c r="A16">
        <v>1</v>
      </c>
      <c r="B16" s="1044" t="s">
        <v>45</v>
      </c>
      <c r="C16" s="1023">
        <f>SUM('budget (11)'!D48:D49)</f>
        <v>51531387.949999996</v>
      </c>
      <c r="D16" s="1065">
        <v>56990814</v>
      </c>
      <c r="E16" s="1065">
        <f>+'ADI 462 julio 25 '!D29</f>
        <v>59476564.619999997</v>
      </c>
      <c r="F16" s="1067">
        <f>+'ADI 462 AGO25'!D29</f>
        <v>69521911.115999997</v>
      </c>
      <c r="G16" s="1067">
        <f>+'ADI 09-25'!C29</f>
        <v>69521911.115999997</v>
      </c>
      <c r="H16" s="1057">
        <f>G16/$H$3</f>
        <v>1139703.4609180328</v>
      </c>
      <c r="I16" s="1066">
        <f>+'Proc. 02-26'!C$14</f>
        <v>30042908.559999999</v>
      </c>
      <c r="J16" s="1066">
        <f>+'Proc. 02-26'!D$14</f>
        <v>27340105.93</v>
      </c>
      <c r="K16" s="1066"/>
      <c r="L16" s="1066">
        <f>+'CXP MMHB 02-26'!E8</f>
        <v>826</v>
      </c>
      <c r="M16" s="1066">
        <f>+'CXP 02-26 RES'!H15+'CXP 02-26 RES'!H16+'CXP 02-26 RES'!H17</f>
        <v>828690.76</v>
      </c>
      <c r="N16" s="1066">
        <f>+'Anticipos 02-26'!D12</f>
        <v>16057.44</v>
      </c>
      <c r="O16" s="1066">
        <f>+J16-L16-M16+N16</f>
        <v>26526646.609999999</v>
      </c>
      <c r="P16" s="1717">
        <f t="shared" si="6"/>
        <v>0.19901920779379353</v>
      </c>
      <c r="Q16" s="1715">
        <f>I16-O16</f>
        <v>3516261.9499999993</v>
      </c>
      <c r="R16" s="1066">
        <f>+G16-I16</f>
        <v>39479002.555999994</v>
      </c>
      <c r="S16" s="183"/>
      <c r="T16" s="184"/>
      <c r="U16" s="183"/>
      <c r="V16" s="183"/>
    </row>
    <row r="17" spans="2:22">
      <c r="B17" s="1044" t="s">
        <v>46</v>
      </c>
      <c r="C17" s="1023">
        <f>SUM('budget (11)'!D50)</f>
        <v>19238385</v>
      </c>
      <c r="D17" s="1065">
        <v>21656506</v>
      </c>
      <c r="E17" s="1065">
        <f>+'ADI 462 julio 25 '!D30</f>
        <v>19825521.539999999</v>
      </c>
      <c r="F17" s="1067">
        <f>+'ADI 462 AGO25'!D30</f>
        <v>19863403.175999999</v>
      </c>
      <c r="G17" s="1067">
        <f>+'ADI 09-25'!C30</f>
        <v>19863403.175999999</v>
      </c>
      <c r="H17" s="1057">
        <f>G17/$H$3</f>
        <v>325629.56026229507</v>
      </c>
      <c r="I17" s="1066"/>
      <c r="J17" s="1066"/>
      <c r="K17" s="1066"/>
      <c r="L17" s="1066"/>
      <c r="M17" s="1066"/>
      <c r="N17" s="1066"/>
      <c r="O17" s="1066">
        <f>+J17-L17-M17+N17</f>
        <v>0</v>
      </c>
      <c r="P17" s="1721"/>
      <c r="Q17" s="1715">
        <f>I17-O17</f>
        <v>0</v>
      </c>
      <c r="R17" s="1066">
        <f>+G17-I17</f>
        <v>19863403.175999999</v>
      </c>
      <c r="S17" s="183"/>
      <c r="T17" s="184"/>
      <c r="U17" s="183"/>
      <c r="V17" s="183"/>
    </row>
    <row r="18" spans="2:22">
      <c r="B18" s="254" t="s">
        <v>47</v>
      </c>
      <c r="C18" s="665">
        <f t="shared" ref="C18:Q18" si="7">SUM(C13:C17)</f>
        <v>557226071.95000005</v>
      </c>
      <c r="D18" s="1063">
        <f t="shared" si="7"/>
        <v>614550940</v>
      </c>
      <c r="E18" s="1063">
        <f t="shared" ref="E18:G18" si="8">SUM(E13:E17)</f>
        <v>673869477.14459991</v>
      </c>
      <c r="F18" s="1063">
        <f t="shared" si="8"/>
        <v>694007443.56626403</v>
      </c>
      <c r="G18" s="1063">
        <f t="shared" si="8"/>
        <v>686100715.89923203</v>
      </c>
      <c r="H18" s="1063">
        <f>SUM(H13:H17)</f>
        <v>11247552.719659541</v>
      </c>
      <c r="I18" s="1064">
        <f>SUM(I13:I17)</f>
        <v>183277259.72999999</v>
      </c>
      <c r="J18" s="1064">
        <f>SUM(J13:J17)</f>
        <v>135766094.93000001</v>
      </c>
      <c r="K18" s="1064">
        <f t="shared" ref="K18:L18" si="9">SUM(K13:K17)</f>
        <v>0</v>
      </c>
      <c r="L18" s="1064">
        <f t="shared" si="9"/>
        <v>826</v>
      </c>
      <c r="M18" s="1064">
        <f>SUM(M13:M17)</f>
        <v>2494459.7199999997</v>
      </c>
      <c r="N18" s="1064">
        <f t="shared" si="7"/>
        <v>16057.44</v>
      </c>
      <c r="O18" s="1064">
        <f t="shared" si="7"/>
        <v>133286866.65000001</v>
      </c>
      <c r="P18" s="1720">
        <f>+O18/O24</f>
        <v>0.25425241498080103</v>
      </c>
      <c r="Q18" s="1714">
        <f t="shared" si="7"/>
        <v>49990393.079999998</v>
      </c>
      <c r="R18" s="1064">
        <f t="shared" ref="R18" si="10">SUM(R13:R17)</f>
        <v>502823456.16923201</v>
      </c>
      <c r="S18" s="183"/>
      <c r="T18" s="184"/>
      <c r="U18" s="183"/>
      <c r="V18" s="183"/>
    </row>
    <row r="19" spans="2:22">
      <c r="B19" s="1044" t="s">
        <v>48</v>
      </c>
      <c r="C19" s="1023">
        <f>SUM('budget (11)'!D51:D52)</f>
        <v>15000000</v>
      </c>
      <c r="D19" s="1065">
        <v>30500000</v>
      </c>
      <c r="E19" s="1065">
        <f>+'ADI 462 julio 25 '!D32</f>
        <v>30500000</v>
      </c>
      <c r="F19" s="1067">
        <f>+'ADI 462 AGO25'!D32</f>
        <v>30500000</v>
      </c>
      <c r="G19" s="1067">
        <f>+'ADI 09-25'!C32</f>
        <v>30500000</v>
      </c>
      <c r="H19" s="1065">
        <f>G19/$H$3</f>
        <v>500000</v>
      </c>
      <c r="I19" s="1066">
        <f>+'Proc. 02-26'!C$17</f>
        <v>23749760.079999998</v>
      </c>
      <c r="J19" s="1066">
        <f>+'Proc. 02-26'!D$17</f>
        <v>21129357.760000002</v>
      </c>
      <c r="K19" s="1066"/>
      <c r="L19" s="1066">
        <f>+'CXP MMHB 02-26'!E13</f>
        <v>56000</v>
      </c>
      <c r="M19" s="1066"/>
      <c r="N19" s="1066">
        <f>+'Anticipos 02-26'!D10</f>
        <v>85171.88</v>
      </c>
      <c r="O19" s="1066">
        <f>+J19-L19-M19+N19</f>
        <v>21158529.640000001</v>
      </c>
      <c r="P19" s="1717">
        <f>+O19/$O$23</f>
        <v>0.43967264586347443</v>
      </c>
      <c r="Q19" s="1715">
        <f>I19-O19</f>
        <v>2591230.4399999976</v>
      </c>
      <c r="R19" s="1066">
        <f>+G19-I19</f>
        <v>6750239.9200000018</v>
      </c>
      <c r="S19" s="183"/>
      <c r="T19" s="184"/>
      <c r="U19" s="183"/>
      <c r="V19" s="185"/>
    </row>
    <row r="20" spans="2:22">
      <c r="B20" s="1044" t="s">
        <v>49</v>
      </c>
      <c r="C20" s="1023">
        <f>SUM('budget (11)'!D4:D10)</f>
        <v>20789999.999999996</v>
      </c>
      <c r="D20" s="1065">
        <v>20789999.999999996</v>
      </c>
      <c r="E20" s="1065">
        <f>+'ADI 462 julio 25 '!D33</f>
        <v>25000000</v>
      </c>
      <c r="F20" s="1067">
        <f>+'ADI 462 AGO25'!D33</f>
        <v>25000000</v>
      </c>
      <c r="G20" s="1067">
        <f>+'ADI 09-25'!C33</f>
        <v>25000000</v>
      </c>
      <c r="H20" s="1065">
        <f>G20/$H$3</f>
        <v>409836.06557377049</v>
      </c>
      <c r="I20" s="1066">
        <f>+'Proc. 02-26'!C$3</f>
        <v>24431389.440000001</v>
      </c>
      <c r="J20" s="1066">
        <f>+'Proc. 02-26'!D$3</f>
        <v>24399956.030000001</v>
      </c>
      <c r="K20" s="1066">
        <f>+'Proc. 12-25'!F3</f>
        <v>278099.52</v>
      </c>
      <c r="L20" s="1066"/>
      <c r="M20" s="1066">
        <f>+'CXP 02-26 RES'!H7</f>
        <v>1844363.64</v>
      </c>
      <c r="N20" s="1066">
        <f>+'Anticipos 02-26'!D3</f>
        <v>273000</v>
      </c>
      <c r="O20" s="1066">
        <f>+J20-L20-M20+N20-K20</f>
        <v>22550492.870000001</v>
      </c>
      <c r="P20" s="1717">
        <f t="shared" ref="P20:P21" si="11">+O20/$O$23</f>
        <v>0.468597536519476</v>
      </c>
      <c r="Q20" s="1715">
        <f>I20-O20</f>
        <v>1880896.5700000003</v>
      </c>
      <c r="R20" s="1066">
        <f>+G20-I20</f>
        <v>568610.55999999866</v>
      </c>
      <c r="S20" s="183"/>
      <c r="T20" s="184"/>
      <c r="U20" s="183"/>
      <c r="V20" s="183"/>
    </row>
    <row r="21" spans="2:22">
      <c r="B21" s="1044" t="s">
        <v>50</v>
      </c>
      <c r="C21" s="1023">
        <f>SUM('budget (11)'!D54)</f>
        <v>192383847</v>
      </c>
      <c r="D21" s="1065">
        <v>216565093</v>
      </c>
      <c r="E21" s="1065">
        <f>+'ADI 462 julio 25 '!D34</f>
        <v>226010945.55599999</v>
      </c>
      <c r="F21" s="1067">
        <f>+'ADI 462 AGO25'!D34</f>
        <v>229223672.65103999</v>
      </c>
      <c r="G21" s="1067">
        <f>+'ADI 09-25'!C34</f>
        <v>232739209.20512</v>
      </c>
      <c r="H21" s="1065">
        <f>G21/$H$3</f>
        <v>3815396.8722150819</v>
      </c>
      <c r="I21" s="1066">
        <f>+'Proc. 02-26'!C$18</f>
        <v>4414348</v>
      </c>
      <c r="J21" s="1066">
        <f>+'Proc. 02-26'!D$18</f>
        <v>4414348</v>
      </c>
      <c r="K21" s="1066"/>
      <c r="L21" s="1066"/>
      <c r="M21" s="1066"/>
      <c r="N21" s="1066"/>
      <c r="O21" s="1066">
        <f>+J21-L21-M21+N21</f>
        <v>4414348</v>
      </c>
      <c r="P21" s="1717">
        <f t="shared" si="11"/>
        <v>9.1729817617049528E-2</v>
      </c>
      <c r="Q21" s="1715">
        <f>I21-O21</f>
        <v>0</v>
      </c>
      <c r="R21" s="1066">
        <f>+G21-I21</f>
        <v>228324861.20512</v>
      </c>
      <c r="S21" s="183"/>
      <c r="T21" s="184"/>
      <c r="U21" s="183"/>
      <c r="V21" s="183"/>
    </row>
    <row r="22" spans="2:22">
      <c r="B22" s="1044" t="s">
        <v>51</v>
      </c>
      <c r="C22" s="1023">
        <f>SUM('budget (11)'!D53)</f>
        <v>19238385</v>
      </c>
      <c r="D22" s="1065">
        <v>21656509</v>
      </c>
      <c r="E22" s="1065">
        <f>+'ADI 462 julio 25 '!D35</f>
        <v>19825521.539999999</v>
      </c>
      <c r="F22" s="1067">
        <f>+'ADI 462 AGO25'!D35</f>
        <v>19863403.175999999</v>
      </c>
      <c r="G22" s="1067">
        <f>+'ADI 09-25'!C35</f>
        <v>19863403.175999999</v>
      </c>
      <c r="H22" s="1065">
        <f>G22/$H$3</f>
        <v>325629.56026229507</v>
      </c>
      <c r="I22" s="1066">
        <f>+'Proc. 02-26'!C$19</f>
        <v>0</v>
      </c>
      <c r="J22" s="1066">
        <f>+'Proc. 02-26'!D$19</f>
        <v>0</v>
      </c>
      <c r="K22" s="1066"/>
      <c r="L22" s="1066"/>
      <c r="M22" s="1066"/>
      <c r="N22" s="1066"/>
      <c r="O22" s="1066">
        <f>+J22-L22-M22+N22</f>
        <v>0</v>
      </c>
      <c r="P22" s="1721"/>
      <c r="Q22" s="1715">
        <f>I22-O22</f>
        <v>0</v>
      </c>
      <c r="R22" s="1066">
        <f>+G22-I22</f>
        <v>19863403.175999999</v>
      </c>
      <c r="S22" s="183"/>
      <c r="T22" s="184"/>
      <c r="U22" s="183"/>
      <c r="V22" s="183"/>
    </row>
    <row r="23" spans="2:22" ht="15" thickBot="1">
      <c r="B23" s="254" t="s">
        <v>52</v>
      </c>
      <c r="C23" s="665">
        <f t="shared" ref="C23:R23" si="12">SUM(C19:C22)</f>
        <v>247412232</v>
      </c>
      <c r="D23" s="1063">
        <f t="shared" si="12"/>
        <v>289511602</v>
      </c>
      <c r="E23" s="1063">
        <f t="shared" ref="E23" si="13">SUM(E19:E22)</f>
        <v>301336467.09600002</v>
      </c>
      <c r="F23" s="1063">
        <f>SUM(F19:F22)</f>
        <v>304587075.82703996</v>
      </c>
      <c r="G23" s="1063">
        <f>SUM(G19:G22)</f>
        <v>308102612.38111997</v>
      </c>
      <c r="H23" s="1063">
        <f>SUM(H19:H22)</f>
        <v>5050862.4980511479</v>
      </c>
      <c r="I23" s="1064">
        <f>SUM(I19:I22)</f>
        <v>52595497.519999996</v>
      </c>
      <c r="J23" s="1064">
        <f>SUM(J19:J22)</f>
        <v>49943661.790000007</v>
      </c>
      <c r="K23" s="1064">
        <f t="shared" ref="K23:L23" si="14">SUM(K19:K22)</f>
        <v>278099.52</v>
      </c>
      <c r="L23" s="1064">
        <f t="shared" si="14"/>
        <v>56000</v>
      </c>
      <c r="M23" s="1064">
        <f>SUM(M19:M22)</f>
        <v>1844363.64</v>
      </c>
      <c r="N23" s="1064">
        <f t="shared" si="12"/>
        <v>358171.88</v>
      </c>
      <c r="O23" s="1064">
        <f t="shared" si="12"/>
        <v>48123370.510000005</v>
      </c>
      <c r="P23" s="1720">
        <f>+O23/O24</f>
        <v>9.1798115423575105E-2</v>
      </c>
      <c r="Q23" s="1714">
        <f t="shared" si="12"/>
        <v>4472127.0099999979</v>
      </c>
      <c r="R23" s="1064">
        <f t="shared" si="12"/>
        <v>255507114.86111999</v>
      </c>
      <c r="S23" s="183"/>
      <c r="T23" s="184"/>
      <c r="U23" s="183"/>
      <c r="V23" s="183"/>
    </row>
    <row r="24" spans="2:22" ht="16.2" thickBot="1">
      <c r="B24" s="1041" t="s">
        <v>1156</v>
      </c>
      <c r="C24" s="1042">
        <f t="shared" ref="C24:H24" si="15">C5+C12+C18+C23</f>
        <v>2831861942.9499998</v>
      </c>
      <c r="D24" s="1068">
        <f t="shared" si="15"/>
        <v>3173098639</v>
      </c>
      <c r="E24" s="1043">
        <f t="shared" si="15"/>
        <v>3340495399.8006001</v>
      </c>
      <c r="F24" s="1043">
        <f t="shared" si="15"/>
        <v>3397764245.9037037</v>
      </c>
      <c r="G24" s="1043">
        <f t="shared" si="15"/>
        <v>3428528420.3315516</v>
      </c>
      <c r="H24" s="1043">
        <f t="shared" si="15"/>
        <v>56205383.939861506</v>
      </c>
      <c r="I24" s="1043">
        <f t="shared" ref="I24:R24" si="16">I23+I18+I12+I5</f>
        <v>738452603.92999995</v>
      </c>
      <c r="J24" s="1043">
        <f t="shared" si="16"/>
        <v>534565552.93000007</v>
      </c>
      <c r="K24" s="1043">
        <f t="shared" si="16"/>
        <v>278099.52</v>
      </c>
      <c r="L24" s="1043">
        <f t="shared" si="16"/>
        <v>56826</v>
      </c>
      <c r="M24" s="1043">
        <f>M23+M18+M12+M5</f>
        <v>10797291.989999998</v>
      </c>
      <c r="N24" s="1043">
        <f t="shared" si="16"/>
        <v>797148.91999999993</v>
      </c>
      <c r="O24" s="1713">
        <f t="shared" si="16"/>
        <v>524230484.34000003</v>
      </c>
      <c r="P24" s="1722">
        <f>+P5+P12+P18+P23</f>
        <v>0.99999999999999989</v>
      </c>
      <c r="Q24" s="1716">
        <f t="shared" si="16"/>
        <v>214222119.59</v>
      </c>
      <c r="R24" s="1043">
        <f t="shared" si="16"/>
        <v>2690075816.4015522</v>
      </c>
      <c r="S24" s="183"/>
      <c r="T24" s="184"/>
      <c r="U24" s="183"/>
      <c r="V24" s="183"/>
    </row>
    <row r="25" spans="2:22" ht="15" thickBot="1">
      <c r="E25" s="509"/>
      <c r="H25" s="509"/>
      <c r="I25" s="369">
        <f>+'Proc. 02-26'!C21</f>
        <v>738452603.92999995</v>
      </c>
      <c r="J25" s="369">
        <f>+'Proc. 02-26'!D21</f>
        <v>534565552.92999995</v>
      </c>
      <c r="K25" s="369"/>
      <c r="L25" s="369"/>
      <c r="M25" s="369"/>
      <c r="N25" s="369"/>
      <c r="O25" s="730">
        <f>+'FLUJO 02-26'!C27</f>
        <v>527029384.34000003</v>
      </c>
      <c r="P25" s="1723"/>
      <c r="Q25" s="320"/>
      <c r="R25" s="320"/>
    </row>
    <row r="26" spans="2:22" ht="15" thickBot="1">
      <c r="D26" s="320"/>
      <c r="E26" s="320"/>
      <c r="H26" s="320"/>
      <c r="I26" s="368">
        <f>+I24-I25</f>
        <v>0</v>
      </c>
      <c r="J26" s="368">
        <f>+J24-J25</f>
        <v>0</v>
      </c>
      <c r="K26" s="368"/>
      <c r="L26" s="368"/>
      <c r="M26" s="434" t="s">
        <v>653</v>
      </c>
      <c r="N26" s="435">
        <f>+'BCE 07-25'!C45</f>
        <v>159695773.63999999</v>
      </c>
      <c r="O26" s="1016">
        <f>+O24-O25</f>
        <v>-2798900</v>
      </c>
      <c r="Q26" s="142"/>
      <c r="R26" s="142"/>
      <c r="T26" s="186" t="s">
        <v>189</v>
      </c>
      <c r="U26" s="190">
        <v>2831861942.3920002</v>
      </c>
    </row>
    <row r="27" spans="2:22" ht="18.600000000000001" thickBot="1">
      <c r="B27" s="333" t="s">
        <v>1447</v>
      </c>
      <c r="C27" s="672">
        <v>3515158425</v>
      </c>
      <c r="D27" s="672">
        <f t="shared" ref="D27" si="17">+D14/0.08</f>
        <v>3851629175</v>
      </c>
      <c r="E27" s="672">
        <f>+E28*60</f>
        <v>3996000000</v>
      </c>
      <c r="H27" s="672"/>
      <c r="I27" s="368"/>
      <c r="J27" s="368"/>
      <c r="K27" s="368"/>
      <c r="L27" s="368"/>
      <c r="M27" s="586" t="s">
        <v>1157</v>
      </c>
      <c r="N27" s="587">
        <f>+'BCE 07-25'!C33</f>
        <v>48015000</v>
      </c>
      <c r="O27" s="1016"/>
      <c r="Q27" s="1098"/>
      <c r="R27" s="142"/>
      <c r="T27" s="186"/>
      <c r="U27" s="190"/>
    </row>
    <row r="28" spans="2:22" ht="15" thickBot="1">
      <c r="C28" s="370">
        <f>+C27/59</f>
        <v>59578956.355932206</v>
      </c>
      <c r="D28" s="370">
        <f>+D27/59</f>
        <v>65281850.423728816</v>
      </c>
      <c r="E28" s="370">
        <v>66600000</v>
      </c>
      <c r="H28" s="370"/>
      <c r="I28" s="368">
        <f>+I14/G14</f>
        <v>0.33612567104740632</v>
      </c>
      <c r="J28" s="591">
        <v>534711784.24000001</v>
      </c>
      <c r="M28" s="436" t="s">
        <v>654</v>
      </c>
      <c r="N28" s="437">
        <f>-'BCE 07-25'!C17</f>
        <v>-45448879.799999997</v>
      </c>
      <c r="O28" s="12"/>
      <c r="Q28" s="320"/>
      <c r="R28" s="320"/>
      <c r="T28" s="188" t="s">
        <v>190</v>
      </c>
      <c r="U28" s="189">
        <f>C24</f>
        <v>2831861942.9499998</v>
      </c>
    </row>
    <row r="29" spans="2:22" ht="15" thickBot="1">
      <c r="C29" s="489"/>
      <c r="D29" s="370"/>
      <c r="E29" s="370"/>
      <c r="H29" s="370"/>
      <c r="I29" s="474"/>
      <c r="M29" s="441" t="s">
        <v>655</v>
      </c>
      <c r="N29" s="442">
        <f>+'BCE 07-25'!C35+'BCE 07-25'!C36+'BCE 07-25'!C37+'BCE 07-25'!C38</f>
        <v>432311.75</v>
      </c>
      <c r="O29" s="445"/>
      <c r="P29" s="1723"/>
      <c r="Q29" s="320"/>
      <c r="R29" s="320"/>
      <c r="T29" s="187" t="s">
        <v>191</v>
      </c>
      <c r="U29" s="191">
        <f>U26-U28</f>
        <v>-0.55799961090087891</v>
      </c>
    </row>
    <row r="30" spans="2:22" ht="18.600000000000001" thickBot="1">
      <c r="B30" s="333" t="s">
        <v>1448</v>
      </c>
      <c r="C30" s="672">
        <f>+C27-C24</f>
        <v>683296482.05000019</v>
      </c>
      <c r="D30" s="672">
        <f t="shared" ref="D30" si="18">+D27-D24</f>
        <v>678530536</v>
      </c>
      <c r="E30" s="672">
        <f>+E27-E24</f>
        <v>655504600.19939995</v>
      </c>
      <c r="H30" s="672"/>
      <c r="I30" s="474"/>
      <c r="J30" s="509">
        <f>+J24-J28</f>
        <v>-146231.30999994278</v>
      </c>
      <c r="M30" s="441" t="s">
        <v>808</v>
      </c>
      <c r="N30" s="442">
        <f>+'BCE 07-25'!C34</f>
        <v>42907921.100000001</v>
      </c>
      <c r="O30" s="445"/>
      <c r="P30" s="1723"/>
      <c r="Q30" s="320"/>
      <c r="R30" s="320"/>
      <c r="T30" s="183"/>
      <c r="U30" s="508"/>
    </row>
    <row r="31" spans="2:22">
      <c r="C31" s="370">
        <f>+C30/59</f>
        <v>11581296.305932207</v>
      </c>
      <c r="D31" s="370">
        <f t="shared" ref="D31" si="19">+D30/59</f>
        <v>11500517.559322033</v>
      </c>
      <c r="E31" s="370">
        <f>+E30/60</f>
        <v>10925076.669989999</v>
      </c>
      <c r="H31" s="370"/>
      <c r="I31" s="474"/>
      <c r="M31" s="441"/>
      <c r="N31" s="442"/>
      <c r="O31" s="445"/>
      <c r="P31" s="1723"/>
      <c r="Q31" s="320"/>
      <c r="R31" s="320"/>
      <c r="T31" s="183"/>
      <c r="U31" s="508"/>
    </row>
    <row r="32" spans="2:22">
      <c r="C32" s="489"/>
      <c r="D32" s="370"/>
      <c r="E32" s="370"/>
      <c r="H32" s="370"/>
      <c r="I32" s="474"/>
      <c r="M32" s="441" t="s">
        <v>888</v>
      </c>
      <c r="N32" s="442">
        <f>+'CXP 07-25'!E13</f>
        <v>364684.38</v>
      </c>
      <c r="O32" s="445"/>
      <c r="P32" s="1723"/>
      <c r="Q32" s="320"/>
      <c r="R32" s="320"/>
      <c r="T32" s="183"/>
      <c r="U32" s="508"/>
    </row>
    <row r="33" spans="1:22" ht="15" thickBot="1">
      <c r="C33" s="369"/>
      <c r="D33" s="370"/>
      <c r="E33" s="370"/>
      <c r="H33" s="370"/>
      <c r="M33" s="438" t="s">
        <v>656</v>
      </c>
      <c r="N33" s="439">
        <f>SUM(N26:N32)</f>
        <v>205966811.06999996</v>
      </c>
      <c r="O33" s="445"/>
      <c r="P33" s="1723"/>
    </row>
    <row r="34" spans="1:22">
      <c r="C34" s="161"/>
      <c r="D34" s="370"/>
      <c r="E34" s="370"/>
      <c r="H34" s="370"/>
      <c r="M34" s="440" t="s">
        <v>657</v>
      </c>
      <c r="N34" s="445">
        <f>+O24</f>
        <v>524230484.34000003</v>
      </c>
    </row>
    <row r="35" spans="1:22">
      <c r="M35" s="443" t="s">
        <v>658</v>
      </c>
      <c r="N35" s="443">
        <f>+N33-N34</f>
        <v>-318263673.2700001</v>
      </c>
      <c r="O35" s="444">
        <f>+'BCE 07-25'!C46+'BCE 07-25'!C47</f>
        <v>953438.13</v>
      </c>
      <c r="P35" s="1724"/>
      <c r="Q35" s="444">
        <f>+N35+O35</f>
        <v>-317310235.1400001</v>
      </c>
      <c r="R35" s="444"/>
    </row>
    <row r="36" spans="1:22">
      <c r="A36" s="192"/>
      <c r="B36" s="192"/>
      <c r="C36" s="192"/>
      <c r="D36" s="192"/>
      <c r="E36" s="192"/>
      <c r="F36" s="843"/>
      <c r="G36" s="843"/>
      <c r="H36" s="192"/>
      <c r="I36" s="192"/>
      <c r="J36" s="192"/>
      <c r="K36" s="192"/>
      <c r="L36" s="192"/>
      <c r="M36" s="192"/>
      <c r="N36" s="192"/>
      <c r="O36" s="192"/>
      <c r="P36" s="1725"/>
      <c r="Q36" s="192"/>
      <c r="R36" s="192"/>
      <c r="S36" s="192"/>
      <c r="T36" s="192"/>
      <c r="U36" s="192"/>
      <c r="V36" s="192"/>
    </row>
    <row r="38" spans="1:22">
      <c r="B38" s="254" t="s">
        <v>47</v>
      </c>
    </row>
    <row r="39" spans="1:22">
      <c r="B39" s="112" t="s">
        <v>48</v>
      </c>
    </row>
    <row r="40" spans="1:22">
      <c r="B40" s="115" t="s">
        <v>49</v>
      </c>
    </row>
    <row r="41" spans="1:22">
      <c r="B41" s="112" t="s">
        <v>50</v>
      </c>
    </row>
    <row r="42" spans="1:22">
      <c r="B42" s="115" t="s">
        <v>51</v>
      </c>
    </row>
    <row r="43" spans="1:22">
      <c r="B43" s="254" t="s">
        <v>52</v>
      </c>
    </row>
    <row r="44" spans="1:22" ht="18.600000000000001" thickBot="1">
      <c r="B44" s="333" t="s">
        <v>229</v>
      </c>
    </row>
    <row r="46" spans="1:22" ht="15" thickBot="1"/>
    <row r="47" spans="1:22">
      <c r="B47" s="335" t="s">
        <v>234</v>
      </c>
      <c r="C47" s="336">
        <v>160000000</v>
      </c>
      <c r="D47" s="336"/>
      <c r="E47" s="336"/>
      <c r="F47" s="844"/>
      <c r="G47" s="844"/>
      <c r="H47" s="336"/>
    </row>
    <row r="48" spans="1:22">
      <c r="B48" s="588" t="s">
        <v>1158</v>
      </c>
      <c r="C48" s="589">
        <v>22200000</v>
      </c>
      <c r="D48" s="589"/>
      <c r="E48" s="589"/>
      <c r="F48" s="845"/>
      <c r="G48" s="845"/>
      <c r="H48" s="589"/>
    </row>
    <row r="49" spans="2:8">
      <c r="B49" s="112" t="s">
        <v>153</v>
      </c>
      <c r="C49" s="403">
        <f>+O24+Q24</f>
        <v>738452603.93000007</v>
      </c>
      <c r="D49" s="403"/>
      <c r="E49" s="403"/>
      <c r="F49" s="846"/>
      <c r="G49" s="846"/>
      <c r="H49" s="403">
        <f>C49/C47</f>
        <v>4.6153287745625002</v>
      </c>
    </row>
    <row r="50" spans="2:8" ht="15" thickBot="1">
      <c r="B50" s="339" t="s">
        <v>154</v>
      </c>
      <c r="C50" s="340">
        <f>+C47+C48-C49</f>
        <v>-556252603.93000007</v>
      </c>
      <c r="D50" s="340"/>
      <c r="E50" s="340"/>
      <c r="F50" s="847"/>
      <c r="G50" s="847"/>
      <c r="H50" s="340">
        <f>C50/C47</f>
        <v>-3.4765787745625003</v>
      </c>
    </row>
  </sheetData>
  <mergeCells count="12">
    <mergeCell ref="Q3:Q4"/>
    <mergeCell ref="R3:R4"/>
    <mergeCell ref="S1:V2"/>
    <mergeCell ref="K2:N2"/>
    <mergeCell ref="I3:I4"/>
    <mergeCell ref="J3:J4"/>
    <mergeCell ref="K3:K4"/>
    <mergeCell ref="L3:L4"/>
    <mergeCell ref="M3:M4"/>
    <mergeCell ref="N3:N4"/>
    <mergeCell ref="O3:O4"/>
    <mergeCell ref="P3:P4"/>
  </mergeCells>
  <conditionalFormatting sqref="S6:S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S8:S9">
    <cfRule type="iconSet" priority="1">
      <iconSet iconSet="3Arrows">
        <cfvo type="percent" val="0"/>
        <cfvo type="percent" val="45"/>
        <cfvo type="percent" val="80"/>
      </iconSet>
    </cfRule>
  </conditionalFormatting>
  <conditionalFormatting sqref="S14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S16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S20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S22">
    <cfRule type="iconSet" priority="2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ignoredErrors>
    <ignoredError sqref="O12:P24 Q12:R19 H12:H18" formula="1"/>
  </ignoredErrors>
  <drawing r:id="rId2"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C77C3-8432-472F-8072-8072885406E4}">
  <dimension ref="B3:M61"/>
  <sheetViews>
    <sheetView showGridLines="0" zoomScale="90" zoomScaleNormal="90" workbookViewId="0">
      <selection activeCell="C28" sqref="C28"/>
    </sheetView>
  </sheetViews>
  <sheetFormatPr baseColWidth="10" defaultColWidth="11.44140625" defaultRowHeight="14.4"/>
  <cols>
    <col min="1" max="1" width="2.44140625" customWidth="1"/>
    <col min="2" max="2" width="35.6640625" customWidth="1"/>
    <col min="3" max="3" width="20.6640625" style="731" customWidth="1"/>
    <col min="4" max="4" width="17" style="730" bestFit="1" customWidth="1"/>
    <col min="5" max="8" width="16.33203125" style="730" bestFit="1" customWidth="1"/>
    <col min="9" max="9" width="16.44140625" style="731" bestFit="1" customWidth="1"/>
    <col min="10" max="10" width="20.6640625" bestFit="1" customWidth="1"/>
    <col min="11" max="11" width="14.5546875" style="370" bestFit="1" customWidth="1"/>
    <col min="12" max="12" width="13.5546875" bestFit="1" customWidth="1"/>
  </cols>
  <sheetData>
    <row r="3" spans="2:9" hidden="1">
      <c r="B3" s="142">
        <v>160000000</v>
      </c>
    </row>
    <row r="4" spans="2:9" ht="15" hidden="1" thickBot="1">
      <c r="B4" s="284" t="s">
        <v>259</v>
      </c>
    </row>
    <row r="5" spans="2:9" ht="15" hidden="1" thickBot="1">
      <c r="B5" s="284" t="s">
        <v>260</v>
      </c>
    </row>
    <row r="6" spans="2:9" ht="15.6" hidden="1" thickTop="1" thickBot="1">
      <c r="B6" s="285" t="s">
        <v>261</v>
      </c>
    </row>
    <row r="7" spans="2:9" ht="15.6" hidden="1" thickTop="1" thickBot="1">
      <c r="B7" s="285" t="s">
        <v>149</v>
      </c>
    </row>
    <row r="8" spans="2:9" ht="15.6" hidden="1" thickTop="1" thickBot="1">
      <c r="B8" s="285" t="s">
        <v>262</v>
      </c>
    </row>
    <row r="9" spans="2:9" hidden="1"/>
    <row r="10" spans="2:9" hidden="1"/>
    <row r="11" spans="2:9" hidden="1"/>
    <row r="12" spans="2:9" hidden="1"/>
    <row r="13" spans="2:9" hidden="1"/>
    <row r="14" spans="2:9" hidden="1"/>
    <row r="15" spans="2:9" ht="15" thickBot="1">
      <c r="C15" s="1154" t="s">
        <v>1286</v>
      </c>
      <c r="F15" s="733"/>
      <c r="G15" s="733"/>
    </row>
    <row r="16" spans="2:9" ht="16.2" thickBot="1">
      <c r="B16" s="676"/>
      <c r="C16" s="734" t="s">
        <v>2464</v>
      </c>
      <c r="D16" s="735">
        <v>46082</v>
      </c>
      <c r="E16" s="735">
        <v>46113</v>
      </c>
      <c r="F16" s="735">
        <v>46143</v>
      </c>
      <c r="G16" s="735">
        <v>46174</v>
      </c>
      <c r="H16" s="735">
        <v>46204</v>
      </c>
      <c r="I16" s="807" t="s">
        <v>1290</v>
      </c>
    </row>
    <row r="17" spans="2:13" ht="16.2" thickBot="1">
      <c r="B17" s="736" t="s">
        <v>1291</v>
      </c>
      <c r="C17" s="1782">
        <f>+'BCE 02-26'!C35+'BCE 02-26'!C34</f>
        <v>149951279.05000001</v>
      </c>
      <c r="D17" s="1782">
        <f>+'Proyección VTA 02-26'!F9</f>
        <v>16500000</v>
      </c>
      <c r="E17" s="1782">
        <f>+'Proyección VTA 02-26'!G9</f>
        <v>18000000</v>
      </c>
      <c r="F17" s="1782">
        <f>+'Proyección VTA 02-26'!H9</f>
        <v>18000000</v>
      </c>
      <c r="G17" s="1782">
        <f>+'Proyección VTA 02-26'!I9</f>
        <v>18000000</v>
      </c>
      <c r="H17" s="1782">
        <f>+'Proyección VTA 02-26'!J9</f>
        <v>18000000</v>
      </c>
      <c r="I17" s="1783">
        <f>SUM(C17:H17)</f>
        <v>238451279.05000001</v>
      </c>
    </row>
    <row r="18" spans="2:13" ht="15.6" hidden="1">
      <c r="B18" s="681" t="s">
        <v>2097</v>
      </c>
      <c r="C18" s="1784"/>
      <c r="D18" s="1784">
        <f>+C17+D17</f>
        <v>166451279.05000001</v>
      </c>
      <c r="E18" s="1784">
        <f>+D18+E17</f>
        <v>184451279.05000001</v>
      </c>
      <c r="F18" s="1784">
        <f t="shared" ref="F18:H18" si="0">+E18+F17</f>
        <v>202451279.05000001</v>
      </c>
      <c r="G18" s="1784">
        <f t="shared" si="0"/>
        <v>220451279.05000001</v>
      </c>
      <c r="H18" s="1784">
        <f t="shared" si="0"/>
        <v>238451279.05000001</v>
      </c>
      <c r="I18" s="1785"/>
    </row>
    <row r="19" spans="2:13" ht="15.6" hidden="1">
      <c r="B19" s="681"/>
      <c r="C19" s="1784"/>
      <c r="D19" s="1784"/>
      <c r="E19" s="1784">
        <f>+E18+E26</f>
        <v>188575241.95054445</v>
      </c>
      <c r="F19" s="1784">
        <f>+F18+F26</f>
        <v>205980400.83054444</v>
      </c>
      <c r="G19" s="1784">
        <f>+G18+G26</f>
        <v>227051800.36387777</v>
      </c>
      <c r="H19" s="1784">
        <f>+H18+H26</f>
        <v>220940419.8972111</v>
      </c>
      <c r="I19" s="1785"/>
    </row>
    <row r="20" spans="2:13" ht="15.6">
      <c r="B20" s="681" t="s">
        <v>1616</v>
      </c>
      <c r="C20" s="1784">
        <v>330000000</v>
      </c>
      <c r="D20" s="1786"/>
      <c r="E20" s="1786"/>
      <c r="F20" s="1786"/>
      <c r="G20" s="1786"/>
      <c r="H20" s="1786"/>
      <c r="I20" s="1785">
        <f t="shared" ref="I20:I25" si="1">SUM(C20:H20)</f>
        <v>330000000</v>
      </c>
    </row>
    <row r="21" spans="2:13" ht="15.6">
      <c r="B21" s="1692" t="s">
        <v>2005</v>
      </c>
      <c r="C21" s="1787">
        <f>+'Préstamos 12-25'!H6</f>
        <v>100000000</v>
      </c>
      <c r="D21" s="1788"/>
      <c r="E21" s="1788"/>
      <c r="F21" s="1788"/>
      <c r="G21" s="1788">
        <v>75000000</v>
      </c>
      <c r="H21" s="1788">
        <v>25000000</v>
      </c>
      <c r="I21" s="1789">
        <f t="shared" si="1"/>
        <v>200000000</v>
      </c>
    </row>
    <row r="22" spans="2:13" ht="15.6">
      <c r="B22" s="1730" t="s">
        <v>2359</v>
      </c>
      <c r="C22" s="1784"/>
      <c r="D22" s="1786">
        <v>-100000000</v>
      </c>
      <c r="E22" s="1786"/>
      <c r="F22" s="1786"/>
      <c r="G22" s="1786"/>
      <c r="H22" s="1786"/>
      <c r="I22" s="1785">
        <f t="shared" si="1"/>
        <v>-100000000</v>
      </c>
    </row>
    <row r="23" spans="2:13" ht="15.6" hidden="1">
      <c r="B23" s="681" t="s">
        <v>1617</v>
      </c>
      <c r="C23" s="1784">
        <f>+'Préstamos 12-25'!H4+'Préstamos 12-25'!H5</f>
        <v>49200000</v>
      </c>
      <c r="D23" s="1786"/>
      <c r="E23" s="1786"/>
      <c r="F23" s="1786"/>
      <c r="G23" s="1784"/>
      <c r="H23" s="1786"/>
      <c r="I23" s="1785">
        <f t="shared" si="1"/>
        <v>49200000</v>
      </c>
    </row>
    <row r="24" spans="2:13" ht="15.6" hidden="1">
      <c r="B24" s="681" t="s">
        <v>2253</v>
      </c>
      <c r="C24" s="1784">
        <f>+'Préstamos 12-25'!J4+'Préstamos 12-25'!J5</f>
        <v>-49200000</v>
      </c>
      <c r="D24" s="1786"/>
      <c r="E24" s="1786"/>
      <c r="F24" s="1786"/>
      <c r="G24" s="1784"/>
      <c r="H24" s="1786"/>
      <c r="I24" s="1785">
        <f t="shared" si="1"/>
        <v>-49200000</v>
      </c>
    </row>
    <row r="25" spans="2:13" ht="15.6">
      <c r="B25" s="1730" t="s">
        <v>2360</v>
      </c>
      <c r="C25" s="1784"/>
      <c r="D25" s="1786">
        <v>100000000</v>
      </c>
      <c r="E25" s="1786">
        <v>25000000</v>
      </c>
      <c r="F25" s="1786">
        <v>55000000</v>
      </c>
      <c r="G25" s="1786">
        <v>20000000</v>
      </c>
      <c r="H25" s="1786"/>
      <c r="I25" s="1785">
        <f t="shared" si="1"/>
        <v>200000000</v>
      </c>
    </row>
    <row r="26" spans="2:13" ht="15.6">
      <c r="B26" s="681" t="s">
        <v>266</v>
      </c>
      <c r="C26" s="1784">
        <f>+C20+C21+C23-C27+C24+C17+C25</f>
        <v>52921894.709999979</v>
      </c>
      <c r="D26" s="1786">
        <f>+C26+D21+D24-D27+D17+D25+D22</f>
        <v>17533901.937211096</v>
      </c>
      <c r="E26" s="1786">
        <f>+D26+E21+E24-E27+E17+E25+E22</f>
        <v>4123962.9005444348</v>
      </c>
      <c r="F26" s="1786">
        <f t="shared" ref="F26:H26" si="2">+E26+F21+F24-F27+F17+F25+F22</f>
        <v>3529121.78054443</v>
      </c>
      <c r="G26" s="1786">
        <f t="shared" si="2"/>
        <v>6600521.3138777614</v>
      </c>
      <c r="H26" s="1786">
        <f t="shared" si="2"/>
        <v>-17510859.152788907</v>
      </c>
      <c r="I26" s="1785">
        <f>+H26</f>
        <v>-17510859.152788907</v>
      </c>
      <c r="J26" s="1807"/>
      <c r="K26" s="1807"/>
      <c r="L26" s="1807"/>
      <c r="M26" s="1807"/>
    </row>
    <row r="27" spans="2:13" ht="15.6">
      <c r="B27" s="740" t="s">
        <v>267</v>
      </c>
      <c r="C27" s="1790">
        <f>SUM(C28:C45)</f>
        <v>527029384.34000003</v>
      </c>
      <c r="D27" s="1790">
        <f>SUM(D30:D45)</f>
        <v>51887992.77278889</v>
      </c>
      <c r="E27" s="1790">
        <f>SUM(E30:E45)</f>
        <v>56409939.036666662</v>
      </c>
      <c r="F27" s="1790">
        <f t="shared" ref="F27:H27" si="3">SUM(F30:F45)</f>
        <v>73594841.120000005</v>
      </c>
      <c r="G27" s="1790">
        <f>SUM(G30:G45)</f>
        <v>109928600.46666667</v>
      </c>
      <c r="H27" s="1790">
        <f t="shared" si="3"/>
        <v>67111380.466666669</v>
      </c>
      <c r="I27" s="1791">
        <f>SUM(C27:H27)</f>
        <v>885962138.20278895</v>
      </c>
      <c r="J27" s="732"/>
      <c r="K27" s="732"/>
      <c r="L27" s="732"/>
      <c r="M27" s="732"/>
    </row>
    <row r="28" spans="2:13" ht="15.6">
      <c r="B28" s="1635" t="s">
        <v>2255</v>
      </c>
      <c r="C28" s="1784">
        <f>-'BCE 02-26'!C51</f>
        <v>-2893224.8</v>
      </c>
      <c r="D28" s="1784"/>
      <c r="E28" s="1784"/>
      <c r="F28" s="1784"/>
      <c r="G28" s="1784"/>
      <c r="H28" s="1784"/>
      <c r="I28" s="1785"/>
      <c r="J28" s="1786"/>
    </row>
    <row r="29" spans="2:13" ht="15.6">
      <c r="B29" s="1635" t="s">
        <v>655</v>
      </c>
      <c r="C29" s="1784">
        <f>+'BCE Resumido 02-26'!C17</f>
        <v>772456.78</v>
      </c>
      <c r="D29" s="1784"/>
      <c r="E29" s="1784"/>
      <c r="F29" s="1784"/>
      <c r="G29" s="1784"/>
      <c r="H29" s="1784"/>
      <c r="I29" s="1785"/>
      <c r="J29" s="1786"/>
    </row>
    <row r="30" spans="2:13" ht="15.6">
      <c r="B30" s="1635" t="s">
        <v>2256</v>
      </c>
      <c r="C30" s="1784">
        <f>+'BCE 02-26'!C18+'CXP MMHB 02-26'!E15</f>
        <v>4921329.43</v>
      </c>
      <c r="D30" s="1786"/>
      <c r="E30" s="1784"/>
      <c r="F30" s="1784"/>
      <c r="G30" s="1784"/>
      <c r="H30" s="1784"/>
      <c r="I30" s="1785"/>
      <c r="J30" s="1786"/>
    </row>
    <row r="31" spans="2:13" ht="15.6">
      <c r="B31" s="694" t="s">
        <v>33</v>
      </c>
      <c r="C31" s="1792">
        <f>+'PRESENTACIÓN 02-26'!O5</f>
        <v>264445081.16</v>
      </c>
      <c r="D31" s="1793">
        <v>0</v>
      </c>
      <c r="E31" s="1793">
        <v>0</v>
      </c>
      <c r="F31" s="1793">
        <v>0</v>
      </c>
      <c r="G31" s="1793">
        <v>0</v>
      </c>
      <c r="H31" s="1793">
        <v>0</v>
      </c>
      <c r="I31" s="1794">
        <f t="shared" ref="I31:I45" si="4">SUM(C31:H31)</f>
        <v>264445081.16</v>
      </c>
    </row>
    <row r="32" spans="2:13" ht="15.6">
      <c r="B32" s="697" t="s">
        <v>49</v>
      </c>
      <c r="C32" s="1784">
        <f>+'PRESENTACIÓN 02-26'!O20</f>
        <v>22550492.870000001</v>
      </c>
      <c r="D32" s="1786">
        <f>+'Compromisos 02-26'!F11</f>
        <v>1844363.64</v>
      </c>
      <c r="E32" s="1786">
        <f>+'Compromisos 02-26'!G11</f>
        <v>0</v>
      </c>
      <c r="F32" s="1786">
        <f>+'Compromisos 02-26'!H11</f>
        <v>0</v>
      </c>
      <c r="G32" s="1786">
        <f>+'Compromisos 02-26'!I11</f>
        <v>0</v>
      </c>
      <c r="H32" s="1786">
        <f>+'Compromisos 02-26'!J11</f>
        <v>0</v>
      </c>
      <c r="I32" s="1785">
        <f t="shared" si="4"/>
        <v>24394856.510000002</v>
      </c>
    </row>
    <row r="33" spans="2:11" ht="15.6">
      <c r="B33" s="697" t="s">
        <v>717</v>
      </c>
      <c r="C33" s="1792">
        <f>+'PRESENTACIÓN 02-26'!O19</f>
        <v>21158529.640000001</v>
      </c>
      <c r="D33" s="1793">
        <f>+'Compromisos 02-26'!F182</f>
        <v>2492568.9900000002</v>
      </c>
      <c r="E33" s="1793">
        <f>+'Compromisos 02-26'!G182</f>
        <v>0</v>
      </c>
      <c r="F33" s="1793">
        <f>+'Compromisos 02-26'!H182</f>
        <v>0</v>
      </c>
      <c r="G33" s="1793">
        <f>+'Compromisos 02-26'!I182</f>
        <v>742220</v>
      </c>
      <c r="H33" s="1793">
        <f>+'Compromisos 02-26'!J182</f>
        <v>0</v>
      </c>
      <c r="I33" s="1794">
        <f t="shared" si="4"/>
        <v>24393318.630000003</v>
      </c>
      <c r="J33" s="1807"/>
    </row>
    <row r="34" spans="2:11" ht="15.6">
      <c r="B34" s="697" t="s">
        <v>1764</v>
      </c>
      <c r="C34" s="1784">
        <f>+'PRESENTACIÓN 02-26'!O6</f>
        <v>36622930.369999997</v>
      </c>
      <c r="D34" s="1786">
        <f>+'Compromisos 02-26'!F31</f>
        <v>4518075.3600000003</v>
      </c>
      <c r="E34" s="1786">
        <f>+'Compromisos 02-26'!G31</f>
        <v>2070000</v>
      </c>
      <c r="F34" s="1786">
        <f>+'Compromisos 02-26'!H31</f>
        <v>4770000</v>
      </c>
      <c r="G34" s="1786">
        <f>+'Compromisos 02-26'!I31</f>
        <v>11370000</v>
      </c>
      <c r="H34" s="1786">
        <f>+'Compromisos 02-26'!J31</f>
        <v>2420000</v>
      </c>
      <c r="I34" s="1785">
        <f t="shared" si="4"/>
        <v>61771005.729999997</v>
      </c>
      <c r="J34" s="370"/>
    </row>
    <row r="35" spans="2:11" ht="15.6">
      <c r="B35" s="697" t="s">
        <v>1765</v>
      </c>
      <c r="C35" s="1784">
        <f>+'PRESENTACIÓN 02-26'!O7</f>
        <v>4773645.790000001</v>
      </c>
      <c r="D35" s="1786">
        <f>+'Compromisos 02-26'!F88</f>
        <v>15975573.219999999</v>
      </c>
      <c r="E35" s="1786">
        <f>+'Compromisos 02-26'!G88</f>
        <v>38880000</v>
      </c>
      <c r="F35" s="1786">
        <f>+'Compromisos 02-26'!H88</f>
        <v>47680000</v>
      </c>
      <c r="G35" s="1786">
        <f>+'Compromisos 02-26'!I88</f>
        <v>75780000</v>
      </c>
      <c r="H35" s="1786">
        <f>+'Compromisos 02-26'!J88</f>
        <v>42280000</v>
      </c>
      <c r="I35" s="1785">
        <f t="shared" si="4"/>
        <v>225369219.00999999</v>
      </c>
      <c r="J35" s="370"/>
    </row>
    <row r="36" spans="2:11" ht="15.6">
      <c r="B36" s="697" t="s">
        <v>40</v>
      </c>
      <c r="C36" s="1792">
        <f>+'PRESENTACIÓN 02-26'!O10</f>
        <v>3896581.0900000003</v>
      </c>
      <c r="D36" s="1793">
        <f>+'Compromisos 02-26'!F98+'Compromisos 02-26'!F104</f>
        <v>1300848.4099999999</v>
      </c>
      <c r="E36" s="1793">
        <f>+'Compromisos 02-26'!G98+'Compromisos 02-26'!G104</f>
        <v>1212627.32</v>
      </c>
      <c r="F36" s="1793">
        <f>+'Compromisos 02-26'!H98+'Compromisos 02-26'!H104</f>
        <v>1212627.32</v>
      </c>
      <c r="G36" s="1793">
        <f>+'Compromisos 02-26'!I98+'Compromisos 02-26'!I104</f>
        <v>750000</v>
      </c>
      <c r="H36" s="1793">
        <f>+'Compromisos 02-26'!J98+'Compromisos 02-26'!J104</f>
        <v>750000</v>
      </c>
      <c r="I36" s="1794">
        <f t="shared" si="4"/>
        <v>9122684.1400000006</v>
      </c>
      <c r="J36" s="370"/>
    </row>
    <row r="37" spans="2:11" ht="15.6">
      <c r="B37" s="697" t="s">
        <v>2016</v>
      </c>
      <c r="C37" s="1792">
        <f>+'PRESENTACIÓN 02-26'!O16</f>
        <v>26526646.609999999</v>
      </c>
      <c r="D37" s="1793">
        <f>+'Compromisos 02-26'!F146+'Compromisos 02-26'!F154+'Compromisos 02-26'!F163+'Compromisos 02-26'!F170+'Compromisos 02-26'!F176</f>
        <v>4582005.26</v>
      </c>
      <c r="E37" s="1793">
        <f>+'Compromisos 02-26'!G146+'Compromisos 02-26'!G154+'Compromisos 02-26'!G163+'Compromisos 02-26'!G170+'Compromisos 02-26'!G176</f>
        <v>1821274.5</v>
      </c>
      <c r="F37" s="1793">
        <f>+'Compromisos 02-26'!H146+'Compromisos 02-26'!H154+'Compromisos 02-26'!H163+'Compromisos 02-26'!H170+'Compromisos 02-26'!H176</f>
        <v>1437274.5</v>
      </c>
      <c r="G37" s="1793">
        <f>+'Compromisos 02-26'!I146+'Compromisos 02-26'!I154+'Compromisos 02-26'!I163+'Compromisos 02-26'!I170+'Compromisos 02-26'!I176</f>
        <v>1437274.5</v>
      </c>
      <c r="H37" s="1793">
        <f>+'Compromisos 02-26'!J146+'Compromisos 02-26'!J154+'Compromisos 02-26'!J163+'Compromisos 02-26'!J170+'Compromisos 02-26'!J176</f>
        <v>1437274.5</v>
      </c>
      <c r="I37" s="1794">
        <f t="shared" si="4"/>
        <v>37241749.869999997</v>
      </c>
      <c r="J37" s="367"/>
      <c r="K37" s="367"/>
    </row>
    <row r="38" spans="2:11" ht="15.6">
      <c r="B38" s="744" t="s">
        <v>672</v>
      </c>
      <c r="C38" s="1795">
        <f>+'PRESENTACIÓN 02-26'!O15</f>
        <v>3969279.79</v>
      </c>
      <c r="D38" s="1796">
        <f>+'Compromisos 02-26'!F142</f>
        <v>250000</v>
      </c>
      <c r="E38" s="1796">
        <f>+'Compromisos 02-26'!G142</f>
        <v>250000</v>
      </c>
      <c r="F38" s="1796">
        <f>+'Compromisos 02-26'!H142</f>
        <v>250000</v>
      </c>
      <c r="G38" s="1796">
        <f>+'Compromisos 02-26'!I142</f>
        <v>250000</v>
      </c>
      <c r="H38" s="1796">
        <f>+'Compromisos 02-26'!J142</f>
        <v>250000</v>
      </c>
      <c r="I38" s="1797">
        <f t="shared" si="4"/>
        <v>5219279.79</v>
      </c>
      <c r="J38" s="370"/>
    </row>
    <row r="39" spans="2:11" s="747" customFormat="1" ht="15.6">
      <c r="B39" s="703" t="s">
        <v>767</v>
      </c>
      <c r="C39" s="1798">
        <f>+'PRESENTACIÓN 02-26'!O8</f>
        <v>31054151.57</v>
      </c>
      <c r="D39" s="1799">
        <f>+'Compromisos 02-26'!F92</f>
        <v>2360000</v>
      </c>
      <c r="E39" s="1799">
        <f>+'Compromisos 02-26'!G92</f>
        <v>2360000</v>
      </c>
      <c r="F39" s="1799">
        <f>+'Compromisos 02-26'!H92</f>
        <v>2360000</v>
      </c>
      <c r="G39" s="1799">
        <f>+'Compromisos 02-26'!I92</f>
        <v>2360000</v>
      </c>
      <c r="H39" s="1799">
        <f>+'Compromisos 02-26'!J92</f>
        <v>2360000</v>
      </c>
      <c r="I39" s="1800">
        <f t="shared" si="4"/>
        <v>42854151.57</v>
      </c>
    </row>
    <row r="40" spans="2:11" s="747" customFormat="1" ht="15.6">
      <c r="B40" s="703" t="s">
        <v>1607</v>
      </c>
      <c r="C40" s="1798">
        <f>+'PRESENTACIÓN 02-26'!O9</f>
        <v>2027857.1999999997</v>
      </c>
      <c r="D40" s="1799">
        <f>+'Compromisos 02-26'!F110</f>
        <v>1013928.6</v>
      </c>
      <c r="E40" s="1799">
        <f>+'Compromisos 02-26'!G110</f>
        <v>506964.3</v>
      </c>
      <c r="F40" s="1799">
        <f>+'Compromisos 02-26'!H110</f>
        <v>506964.3</v>
      </c>
      <c r="G40" s="1799">
        <f>+'Compromisos 02-26'!I110</f>
        <v>506964.3</v>
      </c>
      <c r="H40" s="1799">
        <f>+'Compromisos 02-26'!J110</f>
        <v>506964.3</v>
      </c>
      <c r="I40" s="1801">
        <f t="shared" si="4"/>
        <v>5069642.9999999991</v>
      </c>
    </row>
    <row r="41" spans="2:11" s="747" customFormat="1" ht="15.6">
      <c r="B41" s="703" t="s">
        <v>768</v>
      </c>
      <c r="C41" s="1802">
        <f>+'PRESENTACIÓN 02-26'!O13</f>
        <v>19631175.969999999</v>
      </c>
      <c r="D41" s="1803">
        <f>+'Compromisos 02-26'!F114</f>
        <v>1770000</v>
      </c>
      <c r="E41" s="1803">
        <f>+'Compromisos 02-26'!G114</f>
        <v>1770000</v>
      </c>
      <c r="F41" s="1803">
        <f>+'Compromisos 02-26'!H114</f>
        <v>1770000</v>
      </c>
      <c r="G41" s="1803">
        <f>+'Compromisos 02-26'!I114</f>
        <v>1770000</v>
      </c>
      <c r="H41" s="1803">
        <f>+'Compromisos 02-26'!J114</f>
        <v>1770000</v>
      </c>
      <c r="I41" s="1801">
        <f t="shared" si="4"/>
        <v>28481175.969999999</v>
      </c>
    </row>
    <row r="42" spans="2:11" s="747" customFormat="1" ht="15.6">
      <c r="B42" s="703" t="s">
        <v>1451</v>
      </c>
      <c r="C42" s="1798">
        <f>+'Costos a Feb-26'!Q29+'Costos a Feb-26'!Q30-'CXP 02-26 RES'!H14</f>
        <v>13651485.549999999</v>
      </c>
      <c r="D42" s="1799">
        <f>+'Compromisos 02-26'!F129+'Compromisos 02-26'!F138</f>
        <v>1068323.07</v>
      </c>
      <c r="E42" s="1799">
        <f>+'Compromisos 02-26'!G129+'Compromisos 02-26'!G138</f>
        <v>1455000</v>
      </c>
      <c r="F42" s="1799">
        <f>+'Compromisos 02-26'!H129+'Compromisos 02-26'!H138</f>
        <v>1455000</v>
      </c>
      <c r="G42" s="1799">
        <f>+'Compromisos 02-26'!I129+'Compromisos 02-26'!I138</f>
        <v>1455000</v>
      </c>
      <c r="H42" s="1799">
        <f>+'Compromisos 02-26'!J129+'Compromisos 02-26'!J138</f>
        <v>1455000</v>
      </c>
      <c r="I42" s="1800">
        <f t="shared" si="4"/>
        <v>20539808.619999997</v>
      </c>
    </row>
    <row r="43" spans="2:11" s="747" customFormat="1" ht="15.6">
      <c r="B43" s="752" t="s">
        <v>962</v>
      </c>
      <c r="C43" s="1802">
        <f>+'Costos a Feb-26'!Q28</f>
        <v>8437000</v>
      </c>
      <c r="D43" s="1803">
        <f>+'Compromisos 02-26'!F125</f>
        <v>767000</v>
      </c>
      <c r="E43" s="1803">
        <f>+'Compromisos 02-26'!G125</f>
        <v>767000</v>
      </c>
      <c r="F43" s="1803">
        <f>+'Compromisos 02-26'!H125</f>
        <v>767000</v>
      </c>
      <c r="G43" s="1803">
        <f>+'Compromisos 02-26'!I125</f>
        <v>767000</v>
      </c>
      <c r="H43" s="1803">
        <f>+'Compromisos 02-26'!J125</f>
        <v>767000</v>
      </c>
      <c r="I43" s="1801">
        <f t="shared" si="4"/>
        <v>12272000</v>
      </c>
    </row>
    <row r="44" spans="2:11" ht="15.6">
      <c r="B44" s="752" t="s">
        <v>770</v>
      </c>
      <c r="C44" s="1792">
        <f>+'Costos a Feb-26'!Q27-'CXP 02-26 RES'!H13</f>
        <v>61069617.320000008</v>
      </c>
      <c r="D44" s="1793">
        <f>+'Compromisos 02-26'!F121</f>
        <v>5727614.1500000004</v>
      </c>
      <c r="E44" s="1793">
        <f>+'Compromisos 02-26'!G121</f>
        <v>3884781.2500000005</v>
      </c>
      <c r="F44" s="1793">
        <f>+'Compromisos 02-26'!H121</f>
        <v>9323475</v>
      </c>
      <c r="G44" s="1793">
        <f>+'Compromisos 02-26'!I121</f>
        <v>9323475</v>
      </c>
      <c r="H44" s="1793">
        <f>+'Compromisos 02-26'!J121</f>
        <v>9323475</v>
      </c>
      <c r="I44" s="1794">
        <f t="shared" si="4"/>
        <v>98652437.720000014</v>
      </c>
    </row>
    <row r="45" spans="2:11" ht="16.2" thickBot="1">
      <c r="B45" s="756" t="s">
        <v>50</v>
      </c>
      <c r="C45" s="1804">
        <f>+'PRESENTACIÓN 02-26'!O21</f>
        <v>4414348</v>
      </c>
      <c r="D45" s="1805">
        <f>+'Intereses 02-26'!U31+'Intereses 02-26'!V31+'Intereses 02-26'!W31+'Intereses 02-26'!X31</f>
        <v>8217692.0727888886</v>
      </c>
      <c r="E45" s="1805">
        <f>+'Intereses 02-26'!Y31</f>
        <v>1432291.666666667</v>
      </c>
      <c r="F45" s="1805">
        <f>+'Intereses 02-26'!Z31</f>
        <v>2062500.0000000005</v>
      </c>
      <c r="G45" s="1805">
        <f>+'Intereses 02-26'!AA31</f>
        <v>3416666.666666667</v>
      </c>
      <c r="H45" s="1805">
        <f>+'Intereses 02-26'!AB31</f>
        <v>3791666.666666667</v>
      </c>
      <c r="I45" s="1806">
        <f t="shared" si="4"/>
        <v>23335165.07278889</v>
      </c>
    </row>
    <row r="49" spans="2:10">
      <c r="B49" t="s">
        <v>2465</v>
      </c>
      <c r="C49" s="731">
        <f>+C34+C35</f>
        <v>41396576.159999996</v>
      </c>
      <c r="D49" s="731">
        <f t="shared" ref="D49:H49" si="5">+D34+D35</f>
        <v>20493648.579999998</v>
      </c>
      <c r="E49" s="731">
        <f t="shared" si="5"/>
        <v>40950000</v>
      </c>
      <c r="F49" s="731">
        <f t="shared" si="5"/>
        <v>52450000</v>
      </c>
      <c r="G49" s="731">
        <f t="shared" si="5"/>
        <v>87150000</v>
      </c>
      <c r="H49" s="731">
        <f t="shared" si="5"/>
        <v>44700000</v>
      </c>
      <c r="J49" s="1808"/>
    </row>
    <row r="50" spans="2:10" ht="15" thickBot="1">
      <c r="D50" s="731"/>
      <c r="E50" s="731"/>
      <c r="F50" s="731"/>
      <c r="G50" s="731"/>
      <c r="H50" s="731"/>
      <c r="J50" s="1808"/>
    </row>
    <row r="51" spans="2:10">
      <c r="B51" s="1476" t="s">
        <v>2466</v>
      </c>
      <c r="C51" s="1809">
        <f>+C49*0.118</f>
        <v>4884795.9868799997</v>
      </c>
      <c r="D51" s="1809">
        <f t="shared" ref="D51:H51" si="6">+D49*0.118</f>
        <v>2418250.5324399997</v>
      </c>
      <c r="E51" s="1809">
        <f t="shared" si="6"/>
        <v>4832100</v>
      </c>
      <c r="F51" s="1809">
        <f t="shared" si="6"/>
        <v>6189100</v>
      </c>
      <c r="G51" s="1809">
        <f t="shared" si="6"/>
        <v>10283700</v>
      </c>
      <c r="H51" s="1809">
        <f t="shared" si="6"/>
        <v>5274600</v>
      </c>
      <c r="I51" s="1810"/>
    </row>
    <row r="52" spans="2:10">
      <c r="B52" s="753" t="s">
        <v>2467</v>
      </c>
      <c r="C52" s="1811">
        <f>+C39</f>
        <v>31054151.57</v>
      </c>
      <c r="D52" s="1811">
        <f t="shared" ref="D52:H52" si="7">+D39</f>
        <v>2360000</v>
      </c>
      <c r="E52" s="1811">
        <f t="shared" si="7"/>
        <v>2360000</v>
      </c>
      <c r="F52" s="1811">
        <f t="shared" si="7"/>
        <v>2360000</v>
      </c>
      <c r="G52" s="1811">
        <f t="shared" si="7"/>
        <v>2360000</v>
      </c>
      <c r="H52" s="1811">
        <f t="shared" si="7"/>
        <v>2360000</v>
      </c>
      <c r="I52" s="1812"/>
    </row>
    <row r="53" spans="2:10">
      <c r="B53" s="753" t="s">
        <v>2468</v>
      </c>
      <c r="C53" s="1811">
        <f>-C52*0.2</f>
        <v>-6210830.3140000002</v>
      </c>
      <c r="D53" s="1811">
        <f t="shared" ref="D53:H53" si="8">-D52*0.2</f>
        <v>-472000</v>
      </c>
      <c r="E53" s="1811">
        <f t="shared" si="8"/>
        <v>-472000</v>
      </c>
      <c r="F53" s="1811">
        <f t="shared" si="8"/>
        <v>-472000</v>
      </c>
      <c r="G53" s="1811">
        <f t="shared" si="8"/>
        <v>-472000</v>
      </c>
      <c r="H53" s="1811">
        <f t="shared" si="8"/>
        <v>-472000</v>
      </c>
      <c r="I53" s="1812"/>
    </row>
    <row r="54" spans="2:10">
      <c r="B54" s="753"/>
      <c r="C54" s="1811">
        <f>+C52+C53</f>
        <v>24843321.256000001</v>
      </c>
      <c r="D54" s="1811">
        <f t="shared" ref="D54:H54" si="9">+D52+D53</f>
        <v>1888000</v>
      </c>
      <c r="E54" s="1811">
        <f t="shared" si="9"/>
        <v>1888000</v>
      </c>
      <c r="F54" s="1811">
        <f t="shared" si="9"/>
        <v>1888000</v>
      </c>
      <c r="G54" s="1811">
        <f t="shared" si="9"/>
        <v>1888000</v>
      </c>
      <c r="H54" s="1811">
        <f t="shared" si="9"/>
        <v>1888000</v>
      </c>
      <c r="I54" s="1812"/>
    </row>
    <row r="55" spans="2:10">
      <c r="B55" s="753" t="s">
        <v>2469</v>
      </c>
      <c r="C55" s="1811">
        <f>+C51-C54</f>
        <v>-19958525.26912</v>
      </c>
      <c r="D55" s="1811">
        <f t="shared" ref="D55:H55" si="10">+D51-D54</f>
        <v>530250.53243999975</v>
      </c>
      <c r="E55" s="1811">
        <f t="shared" si="10"/>
        <v>2944100</v>
      </c>
      <c r="F55" s="1811">
        <f t="shared" si="10"/>
        <v>4301100</v>
      </c>
      <c r="G55" s="1811">
        <f t="shared" si="10"/>
        <v>8395700</v>
      </c>
      <c r="H55" s="1811">
        <f t="shared" si="10"/>
        <v>3386600</v>
      </c>
      <c r="I55" s="1812"/>
      <c r="J55" s="1814"/>
    </row>
    <row r="56" spans="2:10" ht="15" thickBot="1">
      <c r="B56" s="1477" t="s">
        <v>2470</v>
      </c>
      <c r="C56" s="1813">
        <f>+C55</f>
        <v>-19958525.26912</v>
      </c>
      <c r="D56" s="1813">
        <f>+D55+C56</f>
        <v>-19428274.736680001</v>
      </c>
      <c r="E56" s="1813">
        <f t="shared" ref="E56:H56" si="11">+E55+D56</f>
        <v>-16484174.736680001</v>
      </c>
      <c r="F56" s="1813">
        <f t="shared" si="11"/>
        <v>-12183074.736680001</v>
      </c>
      <c r="G56" s="1813">
        <f t="shared" si="11"/>
        <v>-3787374.736680001</v>
      </c>
      <c r="H56" s="1813">
        <f t="shared" si="11"/>
        <v>-400774.73668000102</v>
      </c>
      <c r="I56" s="767"/>
    </row>
    <row r="57" spans="2:10" ht="15" thickBot="1"/>
    <row r="58" spans="2:10">
      <c r="B58" s="1476" t="s">
        <v>2471</v>
      </c>
      <c r="C58" s="1809">
        <f>+C49*0.0944</f>
        <v>3907836.7895039995</v>
      </c>
      <c r="D58" s="1809">
        <f t="shared" ref="D58:H58" si="12">+D49*0.0944</f>
        <v>1934600.4259519998</v>
      </c>
      <c r="E58" s="1809">
        <f t="shared" si="12"/>
        <v>3865680</v>
      </c>
      <c r="F58" s="1809">
        <f t="shared" si="12"/>
        <v>4951280</v>
      </c>
      <c r="G58" s="1809">
        <f t="shared" si="12"/>
        <v>8226960</v>
      </c>
      <c r="H58" s="1809">
        <f t="shared" si="12"/>
        <v>4219680</v>
      </c>
      <c r="I58" s="1810"/>
    </row>
    <row r="59" spans="2:10">
      <c r="B59" s="753" t="s">
        <v>2472</v>
      </c>
      <c r="C59" s="1811">
        <f>+C41</f>
        <v>19631175.969999999</v>
      </c>
      <c r="D59" s="1811">
        <f t="shared" ref="D59:H59" si="13">+D41</f>
        <v>1770000</v>
      </c>
      <c r="E59" s="1811">
        <f t="shared" si="13"/>
        <v>1770000</v>
      </c>
      <c r="F59" s="1811">
        <f t="shared" si="13"/>
        <v>1770000</v>
      </c>
      <c r="G59" s="1811">
        <f t="shared" si="13"/>
        <v>1770000</v>
      </c>
      <c r="H59" s="1811">
        <f t="shared" si="13"/>
        <v>1770000</v>
      </c>
      <c r="I59" s="1812"/>
    </row>
    <row r="60" spans="2:10">
      <c r="B60" s="753" t="s">
        <v>2469</v>
      </c>
      <c r="C60" s="1811">
        <f>+C58-C59</f>
        <v>-15723339.180496</v>
      </c>
      <c r="D60" s="1811">
        <f t="shared" ref="D60" si="14">+D58-D59</f>
        <v>164600.42595199984</v>
      </c>
      <c r="E60" s="1811">
        <f t="shared" ref="E60" si="15">+E58-E59</f>
        <v>2095680</v>
      </c>
      <c r="F60" s="1811">
        <f t="shared" ref="F60" si="16">+F58-F59</f>
        <v>3181280</v>
      </c>
      <c r="G60" s="1811">
        <f t="shared" ref="G60" si="17">+G58-G59</f>
        <v>6456960</v>
      </c>
      <c r="H60" s="1811">
        <f t="shared" ref="H60" si="18">+H58-H59</f>
        <v>2449680</v>
      </c>
      <c r="I60" s="1812"/>
    </row>
    <row r="61" spans="2:10" ht="15" thickBot="1">
      <c r="B61" s="1477" t="s">
        <v>2470</v>
      </c>
      <c r="C61" s="1813">
        <f>+C60</f>
        <v>-15723339.180496</v>
      </c>
      <c r="D61" s="1813">
        <f>+D60+C61</f>
        <v>-15558738.754543999</v>
      </c>
      <c r="E61" s="1813">
        <f t="shared" ref="E61" si="19">+E60+D61</f>
        <v>-13463058.754543999</v>
      </c>
      <c r="F61" s="1813">
        <f t="shared" ref="F61" si="20">+F60+E61</f>
        <v>-10281778.754543999</v>
      </c>
      <c r="G61" s="1813">
        <f t="shared" ref="G61" si="21">+G60+F61</f>
        <v>-3824818.7545439992</v>
      </c>
      <c r="H61" s="1813">
        <f t="shared" ref="H61" si="22">+H60+G61</f>
        <v>-1375138.7545439992</v>
      </c>
      <c r="I61" s="767"/>
    </row>
  </sheetData>
  <pageMargins left="0.7" right="0.7" top="0.75" bottom="0.75" header="0.3" footer="0.3"/>
  <ignoredErrors>
    <ignoredError sqref="I26" formula="1"/>
  </ignoredErrors>
  <legacyDrawing r:id="rId1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8D811-D2A8-4A94-A031-D91C9C2F300B}">
  <dimension ref="A1:M32"/>
  <sheetViews>
    <sheetView showGridLines="0" zoomScaleNormal="100" workbookViewId="0">
      <selection activeCell="F38" sqref="F38"/>
    </sheetView>
  </sheetViews>
  <sheetFormatPr baseColWidth="10" defaultColWidth="8" defaultRowHeight="11.4"/>
  <cols>
    <col min="1" max="1" width="13.88671875" style="408" customWidth="1"/>
    <col min="2" max="2" width="30.5546875" style="528" customWidth="1"/>
    <col min="3" max="3" width="12" style="408" bestFit="1" customWidth="1"/>
    <col min="4" max="4" width="12.6640625" style="1568" bestFit="1" customWidth="1"/>
    <col min="5" max="5" width="13.5546875" style="1568" bestFit="1" customWidth="1"/>
    <col min="6" max="6" width="29.33203125" style="408" bestFit="1" customWidth="1"/>
    <col min="7" max="7" width="13.44140625" style="408" bestFit="1" customWidth="1"/>
    <col min="8" max="8" width="11" style="408" bestFit="1" customWidth="1"/>
    <col min="9" max="9" width="11.33203125" style="408" bestFit="1" customWidth="1"/>
    <col min="10" max="10" width="13" style="408" bestFit="1" customWidth="1"/>
    <col min="11" max="11" width="11.6640625" style="408" bestFit="1" customWidth="1"/>
    <col min="12" max="12" width="8" style="408"/>
    <col min="13" max="13" width="9.6640625" style="408" bestFit="1" customWidth="1"/>
    <col min="14" max="16384" width="8" style="408"/>
  </cols>
  <sheetData>
    <row r="1" spans="1:13" s="405" customFormat="1" ht="16.649999999999999" customHeight="1">
      <c r="A1" s="404" t="s">
        <v>1771</v>
      </c>
      <c r="B1" s="526"/>
      <c r="C1" s="404"/>
      <c r="D1" s="1821"/>
      <c r="E1" s="1821"/>
      <c r="F1" s="1256" t="s">
        <v>1772</v>
      </c>
      <c r="G1" s="1249" t="s">
        <v>1773</v>
      </c>
      <c r="H1" s="1249" t="s">
        <v>1774</v>
      </c>
      <c r="I1" s="1249" t="s">
        <v>1775</v>
      </c>
      <c r="J1" s="1249" t="s">
        <v>1776</v>
      </c>
      <c r="K1" s="1249" t="s">
        <v>1777</v>
      </c>
      <c r="L1" s="1249" t="s">
        <v>1298</v>
      </c>
      <c r="M1" s="1249" t="s">
        <v>1778</v>
      </c>
    </row>
    <row r="2" spans="1:13" s="407" customFormat="1" ht="14.4" customHeight="1">
      <c r="A2" s="406" t="s">
        <v>236</v>
      </c>
      <c r="B2" s="527"/>
      <c r="C2" s="406"/>
      <c r="D2" s="1822"/>
      <c r="E2" s="1822"/>
      <c r="F2" s="1250" t="s">
        <v>1779</v>
      </c>
      <c r="G2" s="1251">
        <v>34200000</v>
      </c>
      <c r="H2" s="1251">
        <f>+E17+E18+E19</f>
        <v>34200000</v>
      </c>
      <c r="I2" s="1251">
        <f>+G2-H2</f>
        <v>0</v>
      </c>
      <c r="J2" s="1251">
        <f>-H2</f>
        <v>-34200000</v>
      </c>
      <c r="K2" s="1251">
        <f>+H2+J2</f>
        <v>0</v>
      </c>
      <c r="L2" s="1253">
        <v>0.1595</v>
      </c>
      <c r="M2" s="1254">
        <v>45923</v>
      </c>
    </row>
    <row r="3" spans="1:13" ht="13.35" customHeight="1">
      <c r="F3" s="1250" t="s">
        <v>1779</v>
      </c>
      <c r="G3" s="1251">
        <v>15000000</v>
      </c>
      <c r="H3" s="1251">
        <f>+E21+E22+E20</f>
        <v>15000000</v>
      </c>
      <c r="I3" s="1251"/>
      <c r="J3" s="1251">
        <f>-H3</f>
        <v>-15000000</v>
      </c>
      <c r="K3" s="1251">
        <f>+H3+J3</f>
        <v>0</v>
      </c>
      <c r="L3" s="1253">
        <v>0.19</v>
      </c>
      <c r="M3" s="1254">
        <v>45939</v>
      </c>
    </row>
    <row r="4" spans="1:13" ht="13.35" customHeight="1">
      <c r="F4" s="1250" t="s">
        <v>1780</v>
      </c>
      <c r="G4" s="1251">
        <v>100000000</v>
      </c>
      <c r="H4" s="1251">
        <f>+E14</f>
        <v>100000000</v>
      </c>
      <c r="I4" s="1251">
        <f>+G4-H4</f>
        <v>0</v>
      </c>
      <c r="J4" s="1251">
        <f>-D14</f>
        <v>-100000000</v>
      </c>
      <c r="K4" s="1251">
        <f>+H4+J4</f>
        <v>0</v>
      </c>
      <c r="L4" s="1253">
        <v>0.18</v>
      </c>
      <c r="M4" s="1254">
        <v>46274</v>
      </c>
    </row>
    <row r="5" spans="1:13" ht="13.35" customHeight="1">
      <c r="A5" s="410" t="s">
        <v>1485</v>
      </c>
      <c r="B5" s="529" t="s">
        <v>817</v>
      </c>
      <c r="C5" s="410" t="s">
        <v>691</v>
      </c>
      <c r="D5" s="1823" t="s">
        <v>665</v>
      </c>
      <c r="E5" s="1823" t="s">
        <v>666</v>
      </c>
      <c r="F5" s="1250" t="s">
        <v>2473</v>
      </c>
      <c r="G5" s="1251">
        <v>200000000</v>
      </c>
      <c r="H5" s="1251">
        <v>100000000</v>
      </c>
      <c r="I5" s="1251">
        <f>+G5-H5</f>
        <v>100000000</v>
      </c>
      <c r="J5" s="1251">
        <v>0</v>
      </c>
      <c r="K5" s="1251">
        <f>+I5+J5</f>
        <v>100000000</v>
      </c>
      <c r="L5" s="1253">
        <v>0.13750000000000001</v>
      </c>
      <c r="M5" s="1254">
        <v>46443</v>
      </c>
    </row>
    <row r="6" spans="1:13" ht="13.35" customHeight="1">
      <c r="F6" s="1248" t="s">
        <v>1781</v>
      </c>
      <c r="G6" s="1255">
        <f>SUM(G2:G5)</f>
        <v>349200000</v>
      </c>
      <c r="H6" s="1255">
        <f t="shared" ref="H6:K6" si="0">SUM(H2:H5)</f>
        <v>249200000</v>
      </c>
      <c r="I6" s="1255">
        <f t="shared" si="0"/>
        <v>100000000</v>
      </c>
      <c r="J6" s="1255">
        <f t="shared" si="0"/>
        <v>-149200000</v>
      </c>
      <c r="K6" s="1255">
        <f t="shared" si="0"/>
        <v>100000000</v>
      </c>
      <c r="L6" s="1255"/>
      <c r="M6" s="1255"/>
    </row>
    <row r="7" spans="1:13" ht="13.35" customHeight="1">
      <c r="A7" s="409" t="s">
        <v>1782</v>
      </c>
      <c r="B7" s="530"/>
      <c r="C7" s="409"/>
      <c r="D7" s="1569"/>
      <c r="E7" s="1569"/>
    </row>
    <row r="8" spans="1:13" ht="13.35" hidden="1" customHeight="1">
      <c r="A8" s="429">
        <v>45909</v>
      </c>
      <c r="B8" s="531" t="s">
        <v>1783</v>
      </c>
      <c r="C8" s="421" t="s">
        <v>1784</v>
      </c>
      <c r="D8" s="1570">
        <v>0</v>
      </c>
      <c r="E8" s="1570">
        <v>25000000</v>
      </c>
    </row>
    <row r="9" spans="1:13" s="412" customFormat="1" ht="12.15" hidden="1" customHeight="1">
      <c r="A9" s="430">
        <v>45926</v>
      </c>
      <c r="B9" s="533" t="s">
        <v>1783</v>
      </c>
      <c r="C9" s="414" t="s">
        <v>1784</v>
      </c>
      <c r="D9" s="1571">
        <v>0</v>
      </c>
      <c r="E9" s="1571">
        <v>30184227.399999999</v>
      </c>
      <c r="F9" s="408"/>
      <c r="G9" s="408"/>
      <c r="H9" s="408"/>
      <c r="I9" s="408"/>
      <c r="J9" s="1623"/>
      <c r="K9" s="408"/>
      <c r="L9" s="408"/>
      <c r="M9" s="408"/>
    </row>
    <row r="10" spans="1:13" ht="13.35" hidden="1" customHeight="1">
      <c r="A10" s="430">
        <v>45966</v>
      </c>
      <c r="B10" s="533" t="s">
        <v>1783</v>
      </c>
      <c r="C10" s="414" t="s">
        <v>1784</v>
      </c>
      <c r="D10" s="1571">
        <v>0</v>
      </c>
      <c r="E10" s="1571">
        <v>22000000</v>
      </c>
      <c r="J10" s="1623"/>
    </row>
    <row r="11" spans="1:13" s="412" customFormat="1" ht="12.15" hidden="1" customHeight="1">
      <c r="A11" s="430">
        <v>45989</v>
      </c>
      <c r="B11" s="533" t="s">
        <v>1783</v>
      </c>
      <c r="C11" s="414" t="s">
        <v>1784</v>
      </c>
      <c r="D11" s="1571">
        <v>0</v>
      </c>
      <c r="E11" s="1571">
        <v>22815772.600000001</v>
      </c>
      <c r="F11" s="408"/>
      <c r="G11" s="408"/>
      <c r="H11" s="408"/>
      <c r="I11" s="408"/>
      <c r="J11" s="408"/>
      <c r="K11" s="408"/>
      <c r="L11" s="408"/>
      <c r="M11" s="408"/>
    </row>
    <row r="12" spans="1:13" s="412" customFormat="1" ht="12.15" hidden="1" customHeight="1">
      <c r="A12" s="430">
        <v>46098</v>
      </c>
      <c r="B12" s="533" t="s">
        <v>1783</v>
      </c>
      <c r="C12" s="414" t="s">
        <v>1784</v>
      </c>
      <c r="D12" s="1571">
        <v>99975000</v>
      </c>
      <c r="E12" s="1571">
        <v>0</v>
      </c>
    </row>
    <row r="13" spans="1:13" s="412" customFormat="1" ht="12.15" hidden="1" customHeight="1">
      <c r="A13" s="430">
        <v>46105</v>
      </c>
      <c r="B13" s="533" t="s">
        <v>1783</v>
      </c>
      <c r="C13" s="414" t="s">
        <v>1784</v>
      </c>
      <c r="D13" s="1571">
        <v>25000</v>
      </c>
      <c r="E13" s="1571">
        <v>0</v>
      </c>
    </row>
    <row r="14" spans="1:13" ht="13.2">
      <c r="A14" s="416" t="s">
        <v>1785</v>
      </c>
      <c r="B14" s="532"/>
      <c r="C14" s="416"/>
      <c r="D14" s="1572">
        <f>SUM(D8:D13)</f>
        <v>100000000</v>
      </c>
      <c r="E14" s="1572">
        <f>SUM(E8:E13)</f>
        <v>100000000</v>
      </c>
      <c r="F14" s="412"/>
      <c r="G14" s="412"/>
      <c r="H14" s="412"/>
      <c r="I14" s="412"/>
      <c r="J14" s="412"/>
      <c r="K14" s="412"/>
      <c r="L14" s="412"/>
      <c r="M14" s="412"/>
    </row>
    <row r="16" spans="1:13" ht="13.2">
      <c r="A16" s="409" t="s">
        <v>1786</v>
      </c>
      <c r="B16" s="530"/>
      <c r="C16" s="409"/>
      <c r="D16" s="1569"/>
      <c r="E16" s="1569"/>
      <c r="F16" s="412"/>
      <c r="G16" s="412"/>
      <c r="H16" s="412"/>
      <c r="I16" s="412"/>
      <c r="J16" s="412"/>
      <c r="K16" s="412"/>
      <c r="L16" s="412"/>
      <c r="M16" s="412"/>
    </row>
    <row r="17" spans="1:13" ht="13.2" hidden="1">
      <c r="A17" s="429">
        <v>45761</v>
      </c>
      <c r="B17" s="531" t="s">
        <v>1787</v>
      </c>
      <c r="C17" s="414" t="s">
        <v>1788</v>
      </c>
      <c r="D17" s="1570">
        <v>0</v>
      </c>
      <c r="E17" s="1570">
        <v>15000000</v>
      </c>
      <c r="F17" s="412"/>
      <c r="G17" s="412"/>
      <c r="H17" s="412"/>
      <c r="I17" s="412"/>
      <c r="J17" s="412"/>
      <c r="K17" s="412"/>
      <c r="L17" s="412"/>
      <c r="M17" s="412"/>
    </row>
    <row r="18" spans="1:13" ht="10.95" hidden="1" customHeight="1">
      <c r="A18" s="430">
        <v>45792</v>
      </c>
      <c r="B18" s="531" t="s">
        <v>1787</v>
      </c>
      <c r="C18" s="414" t="s">
        <v>1788</v>
      </c>
      <c r="D18" s="1571">
        <v>0</v>
      </c>
      <c r="E18" s="1571">
        <v>7200000</v>
      </c>
      <c r="F18" s="412"/>
      <c r="G18" s="412"/>
      <c r="H18" s="412"/>
      <c r="I18" s="412"/>
      <c r="J18" s="412"/>
      <c r="K18" s="412"/>
      <c r="L18" s="412"/>
      <c r="M18" s="412"/>
    </row>
    <row r="19" spans="1:13" ht="13.35" hidden="1" customHeight="1">
      <c r="A19" s="430">
        <v>45820</v>
      </c>
      <c r="B19" s="531" t="s">
        <v>1787</v>
      </c>
      <c r="C19" s="414" t="s">
        <v>1788</v>
      </c>
      <c r="D19" s="1571">
        <v>0</v>
      </c>
      <c r="E19" s="1571">
        <v>12000000</v>
      </c>
    </row>
    <row r="20" spans="1:13" s="412" customFormat="1" ht="34.200000000000003" hidden="1">
      <c r="A20" s="430">
        <v>45853</v>
      </c>
      <c r="B20" s="533" t="s">
        <v>1789</v>
      </c>
      <c r="C20" s="414" t="s">
        <v>1788</v>
      </c>
      <c r="D20" s="1571">
        <v>0</v>
      </c>
      <c r="E20" s="1571">
        <v>1185000</v>
      </c>
      <c r="F20" s="408"/>
      <c r="G20" s="408"/>
      <c r="H20" s="408"/>
      <c r="I20" s="408"/>
      <c r="J20" s="408"/>
      <c r="K20" s="408"/>
      <c r="L20" s="408"/>
      <c r="M20" s="408"/>
    </row>
    <row r="21" spans="1:13" ht="10.95" hidden="1" customHeight="1">
      <c r="A21" s="430">
        <v>45854</v>
      </c>
      <c r="B21" s="531" t="s">
        <v>1787</v>
      </c>
      <c r="C21" s="414" t="s">
        <v>1788</v>
      </c>
      <c r="D21" s="1571">
        <v>0</v>
      </c>
      <c r="E21" s="1571">
        <v>11000000</v>
      </c>
      <c r="F21" s="412"/>
      <c r="G21" s="412"/>
      <c r="H21" s="412"/>
      <c r="I21" s="412"/>
      <c r="J21" s="412"/>
      <c r="K21" s="412"/>
      <c r="L21" s="412"/>
      <c r="M21" s="412"/>
    </row>
    <row r="22" spans="1:13" ht="10.95" hidden="1" customHeight="1">
      <c r="A22" s="430">
        <v>45862</v>
      </c>
      <c r="B22" s="531" t="s">
        <v>1787</v>
      </c>
      <c r="C22" s="414" t="s">
        <v>1788</v>
      </c>
      <c r="D22" s="1571">
        <v>0</v>
      </c>
      <c r="E22" s="1571">
        <v>2815000</v>
      </c>
    </row>
    <row r="23" spans="1:13" ht="10.95" hidden="1" customHeight="1">
      <c r="A23" s="430">
        <v>45937</v>
      </c>
      <c r="B23" s="531" t="s">
        <v>2017</v>
      </c>
      <c r="C23" s="414" t="s">
        <v>1788</v>
      </c>
      <c r="D23" s="1571">
        <v>5000000</v>
      </c>
      <c r="E23" s="1571">
        <v>0</v>
      </c>
    </row>
    <row r="24" spans="1:13" ht="22.8" hidden="1">
      <c r="A24" s="430">
        <v>46020</v>
      </c>
      <c r="B24" s="531" t="s">
        <v>2201</v>
      </c>
      <c r="C24" s="414" t="s">
        <v>1788</v>
      </c>
      <c r="D24" s="1571">
        <v>44200000</v>
      </c>
      <c r="E24" s="1571">
        <v>0</v>
      </c>
    </row>
    <row r="25" spans="1:13" ht="10.95" customHeight="1">
      <c r="A25" s="416" t="s">
        <v>1790</v>
      </c>
      <c r="B25" s="532"/>
      <c r="C25" s="416"/>
      <c r="D25" s="1572">
        <f>SUM(D17:D24)</f>
        <v>49200000</v>
      </c>
      <c r="E25" s="1572">
        <f>SUM(E17:E23)</f>
        <v>49200000</v>
      </c>
    </row>
    <row r="26" spans="1:13" ht="10.95" customHeight="1">
      <c r="B26" s="1567"/>
      <c r="C26" s="413"/>
      <c r="D26" s="1824"/>
      <c r="E26" s="1824"/>
    </row>
    <row r="27" spans="1:13" ht="10.95" customHeight="1">
      <c r="B27" s="1567"/>
      <c r="C27" s="413"/>
      <c r="D27" s="1824"/>
      <c r="E27" s="1824"/>
    </row>
    <row r="28" spans="1:13" ht="10.95" customHeight="1">
      <c r="A28" s="416" t="s">
        <v>2474</v>
      </c>
      <c r="B28" s="1567"/>
      <c r="C28" s="413"/>
      <c r="D28" s="1824"/>
      <c r="E28" s="1824"/>
    </row>
    <row r="29" spans="1:13" ht="10.95" customHeight="1">
      <c r="A29" s="430">
        <v>46087</v>
      </c>
      <c r="B29" s="528" t="s">
        <v>2475</v>
      </c>
      <c r="C29" s="408" t="s">
        <v>2476</v>
      </c>
      <c r="D29" s="1568">
        <v>0</v>
      </c>
      <c r="E29" s="1568">
        <v>100000000</v>
      </c>
    </row>
    <row r="30" spans="1:13" ht="12">
      <c r="A30" s="416" t="s">
        <v>2477</v>
      </c>
      <c r="B30" s="532"/>
      <c r="C30" s="416"/>
      <c r="D30" s="1572">
        <f>SUM(D29:D29)</f>
        <v>0</v>
      </c>
      <c r="E30" s="1572">
        <f>SUM(E29:E29)</f>
        <v>100000000</v>
      </c>
    </row>
    <row r="31" spans="1:13" ht="10.95" customHeight="1">
      <c r="A31" s="429"/>
      <c r="B31" s="531"/>
      <c r="C31" s="414"/>
      <c r="D31" s="1570"/>
      <c r="E31" s="1570"/>
      <c r="F31" s="412"/>
      <c r="G31" s="412"/>
      <c r="H31" s="412"/>
      <c r="I31" s="412"/>
      <c r="J31" s="412"/>
      <c r="K31" s="412"/>
      <c r="L31" s="412"/>
      <c r="M31" s="412"/>
    </row>
    <row r="32" spans="1:13" ht="12">
      <c r="A32" s="419" t="s">
        <v>164</v>
      </c>
      <c r="B32" s="534"/>
      <c r="C32" s="419"/>
      <c r="D32" s="1575">
        <f>SUM(D14,D25,D30)</f>
        <v>149200000</v>
      </c>
      <c r="E32" s="1575">
        <f>SUM(E14,E25,E30)</f>
        <v>249200000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5595C-6CD2-4362-AE12-F8B8A78B22B3}">
  <dimension ref="A1:G16"/>
  <sheetViews>
    <sheetView workbookViewId="0">
      <selection activeCell="E17" sqref="E17"/>
    </sheetView>
  </sheetViews>
  <sheetFormatPr baseColWidth="10" defaultColWidth="11.44140625" defaultRowHeight="14.4"/>
  <cols>
    <col min="1" max="1" width="26" bestFit="1" customWidth="1"/>
    <col min="2" max="2" width="11" bestFit="1" customWidth="1"/>
    <col min="3" max="3" width="14" style="370" bestFit="1" customWidth="1"/>
    <col min="4" max="4" width="14.5546875" style="370" customWidth="1"/>
    <col min="5" max="5" width="32.5546875" customWidth="1"/>
    <col min="6" max="6" width="20" bestFit="1" customWidth="1"/>
    <col min="7" max="7" width="28.6640625" bestFit="1" customWidth="1"/>
  </cols>
  <sheetData>
    <row r="1" spans="1:7">
      <c r="A1" t="s">
        <v>707</v>
      </c>
      <c r="B1" t="s">
        <v>708</v>
      </c>
      <c r="C1" s="370" t="s">
        <v>164</v>
      </c>
      <c r="D1" s="370" t="s">
        <v>709</v>
      </c>
      <c r="E1" t="s">
        <v>817</v>
      </c>
      <c r="F1" t="s">
        <v>710</v>
      </c>
      <c r="G1" t="s">
        <v>852</v>
      </c>
    </row>
    <row r="2" spans="1:7">
      <c r="A2" t="s">
        <v>369</v>
      </c>
      <c r="B2" s="193">
        <v>45266</v>
      </c>
      <c r="C2" s="370">
        <v>273000</v>
      </c>
      <c r="D2" s="370">
        <v>273000</v>
      </c>
      <c r="E2" t="s">
        <v>911</v>
      </c>
      <c r="F2" t="s">
        <v>853</v>
      </c>
      <c r="G2" t="s">
        <v>853</v>
      </c>
    </row>
    <row r="3" spans="1:7">
      <c r="B3" s="193"/>
      <c r="C3" s="432">
        <f>SUM(C2)</f>
        <v>273000</v>
      </c>
      <c r="D3" s="432">
        <f>SUM(D2)</f>
        <v>273000</v>
      </c>
    </row>
    <row r="4" spans="1:7">
      <c r="A4" t="s">
        <v>2361</v>
      </c>
      <c r="B4" s="193">
        <v>46076</v>
      </c>
      <c r="C4" s="370">
        <v>422919.6</v>
      </c>
      <c r="D4" s="370">
        <v>422919.6</v>
      </c>
      <c r="E4" t="s">
        <v>2362</v>
      </c>
      <c r="F4" t="s">
        <v>1024</v>
      </c>
      <c r="G4" t="s">
        <v>1025</v>
      </c>
    </row>
    <row r="5" spans="1:7">
      <c r="B5" s="193"/>
      <c r="C5" s="432">
        <f>SUM(C4)</f>
        <v>422919.6</v>
      </c>
      <c r="D5" s="432">
        <f>SUM(D4)</f>
        <v>422919.6</v>
      </c>
    </row>
    <row r="6" spans="1:7">
      <c r="A6" s="459" t="s">
        <v>2406</v>
      </c>
      <c r="B6" s="193">
        <v>46094</v>
      </c>
      <c r="C6" s="370">
        <v>55050</v>
      </c>
      <c r="D6" s="370">
        <v>55050</v>
      </c>
      <c r="E6" t="s">
        <v>2478</v>
      </c>
      <c r="F6" t="s">
        <v>1794</v>
      </c>
      <c r="G6" t="s">
        <v>1795</v>
      </c>
    </row>
    <row r="7" spans="1:7">
      <c r="A7" s="459" t="s">
        <v>2479</v>
      </c>
      <c r="B7" s="193">
        <v>46094</v>
      </c>
      <c r="C7" s="370">
        <v>60180</v>
      </c>
      <c r="D7" s="370">
        <v>60180</v>
      </c>
      <c r="E7" t="s">
        <v>2480</v>
      </c>
      <c r="F7" t="s">
        <v>1794</v>
      </c>
      <c r="G7" t="s">
        <v>1795</v>
      </c>
    </row>
    <row r="8" spans="1:7">
      <c r="B8" s="193"/>
      <c r="C8" s="432">
        <v>115230</v>
      </c>
      <c r="D8" s="432">
        <f>SUM(D6:D7)</f>
        <v>115230</v>
      </c>
    </row>
    <row r="9" spans="1:7">
      <c r="A9" t="s">
        <v>1821</v>
      </c>
      <c r="B9" s="193">
        <v>45936</v>
      </c>
      <c r="C9" s="370">
        <v>6671.88</v>
      </c>
      <c r="D9" s="370">
        <v>6671.88</v>
      </c>
      <c r="E9" t="s">
        <v>2018</v>
      </c>
      <c r="F9" t="s">
        <v>1822</v>
      </c>
      <c r="G9" t="s">
        <v>1660</v>
      </c>
    </row>
    <row r="10" spans="1:7">
      <c r="A10" s="459" t="s">
        <v>2259</v>
      </c>
      <c r="B10" s="193">
        <v>46042</v>
      </c>
      <c r="C10" s="370">
        <v>8500</v>
      </c>
      <c r="D10" s="370">
        <v>8500</v>
      </c>
      <c r="E10" t="s">
        <v>2260</v>
      </c>
      <c r="F10" t="s">
        <v>1822</v>
      </c>
      <c r="G10" t="s">
        <v>1660</v>
      </c>
    </row>
    <row r="11" spans="1:7">
      <c r="A11" s="459" t="s">
        <v>2259</v>
      </c>
      <c r="B11" s="193">
        <v>46073</v>
      </c>
      <c r="C11" s="370">
        <v>47500</v>
      </c>
      <c r="D11" s="370">
        <v>47500</v>
      </c>
      <c r="E11" t="s">
        <v>2363</v>
      </c>
      <c r="F11" t="s">
        <v>1822</v>
      </c>
      <c r="G11" t="s">
        <v>1660</v>
      </c>
    </row>
    <row r="12" spans="1:7">
      <c r="A12" s="459" t="s">
        <v>735</v>
      </c>
      <c r="B12" s="193">
        <v>46078</v>
      </c>
      <c r="C12" s="370">
        <v>22500</v>
      </c>
      <c r="D12" s="370">
        <v>22500</v>
      </c>
      <c r="E12" t="s">
        <v>2364</v>
      </c>
      <c r="F12" t="s">
        <v>1822</v>
      </c>
      <c r="G12" t="s">
        <v>1660</v>
      </c>
    </row>
    <row r="13" spans="1:7">
      <c r="B13" s="193"/>
      <c r="C13" s="432">
        <f>SUM(C9:C10)</f>
        <v>15171.880000000001</v>
      </c>
      <c r="D13" s="432">
        <f>SUM(D9:D12)</f>
        <v>85171.88</v>
      </c>
    </row>
    <row r="14" spans="1:7">
      <c r="A14" t="s">
        <v>740</v>
      </c>
      <c r="B14" s="193">
        <v>45999</v>
      </c>
      <c r="C14" s="370">
        <v>16057.44</v>
      </c>
      <c r="D14" s="370">
        <v>16057.44</v>
      </c>
      <c r="E14" t="s">
        <v>2206</v>
      </c>
      <c r="F14" t="s">
        <v>2131</v>
      </c>
      <c r="G14" t="s">
        <v>2062</v>
      </c>
    </row>
    <row r="15" spans="1:7">
      <c r="B15" s="193"/>
      <c r="C15" s="432">
        <f>SUM(C14:C14)</f>
        <v>16057.44</v>
      </c>
      <c r="D15" s="432">
        <f>SUM(D14:D14)</f>
        <v>16057.44</v>
      </c>
    </row>
    <row r="16" spans="1:7">
      <c r="C16" s="1178">
        <f>+C3+C5+C13+C15+C8</f>
        <v>842378.91999999993</v>
      </c>
      <c r="D16" s="1178">
        <f>+D3+D5+D13+D15+D8</f>
        <v>912378.91999999993</v>
      </c>
    </row>
  </sheetData>
  <autoFilter ref="A1:G1" xr:uid="{8F833D8D-E3A2-49C0-BA28-FAE8897AAB0B}">
    <sortState xmlns:xlrd2="http://schemas.microsoft.com/office/spreadsheetml/2017/richdata2" ref="A2:G11">
      <sortCondition ref="G1"/>
    </sortState>
  </autoFilter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1436A-7790-40AC-8AFB-AD0E8D57632E}">
  <dimension ref="A1:H138"/>
  <sheetViews>
    <sheetView showGridLines="0" zoomScaleNormal="100" workbookViewId="0">
      <selection activeCell="K83" sqref="K83"/>
    </sheetView>
  </sheetViews>
  <sheetFormatPr baseColWidth="10" defaultColWidth="8" defaultRowHeight="14.4"/>
  <cols>
    <col min="1" max="1" width="56" style="1440" customWidth="1"/>
    <col min="2" max="2" width="12.6640625" style="1440" customWidth="1"/>
    <col min="3" max="3" width="11.5546875" style="1440" customWidth="1"/>
    <col min="4" max="4" width="28.33203125" style="1440" customWidth="1"/>
    <col min="5" max="6" width="13" style="713" bestFit="1" customWidth="1"/>
    <col min="7" max="7" width="10.33203125" style="713" bestFit="1" customWidth="1"/>
    <col min="8" max="8" width="13" style="713" bestFit="1" customWidth="1"/>
    <col min="9" max="16384" width="8" style="1440"/>
  </cols>
  <sheetData>
    <row r="1" spans="1:8" s="1437" customFormat="1" ht="16.649999999999999" customHeight="1">
      <c r="A1" s="1436" t="s">
        <v>771</v>
      </c>
      <c r="B1" s="1436"/>
      <c r="C1" s="1436"/>
      <c r="D1" s="1436"/>
      <c r="E1" s="1833"/>
      <c r="F1" s="1833"/>
      <c r="G1" s="1833"/>
      <c r="H1" s="1833"/>
    </row>
    <row r="2" spans="1:8" s="1439" customFormat="1" ht="14.4" customHeight="1">
      <c r="A2" s="1438" t="s">
        <v>236</v>
      </c>
      <c r="B2" s="1438"/>
      <c r="C2" s="1438"/>
      <c r="D2" s="1438"/>
      <c r="E2" s="1832"/>
      <c r="F2" s="1832"/>
      <c r="G2" s="1832"/>
      <c r="H2" s="1832"/>
    </row>
    <row r="3" spans="1:8" s="1439" customFormat="1" ht="14.4" customHeight="1">
      <c r="A3" s="1438" t="s">
        <v>2481</v>
      </c>
      <c r="B3" s="1438"/>
      <c r="C3" s="1438"/>
      <c r="D3" s="1438"/>
      <c r="E3" s="1832"/>
      <c r="F3" s="1832"/>
      <c r="G3" s="1832"/>
      <c r="H3" s="1832"/>
    </row>
    <row r="4" spans="1:8" s="1439" customFormat="1" ht="14.4" customHeight="1">
      <c r="A4" s="1438" t="s">
        <v>724</v>
      </c>
      <c r="B4" s="1438"/>
      <c r="C4" s="1438"/>
      <c r="D4" s="1438"/>
      <c r="E4" s="1832"/>
      <c r="F4" s="1832"/>
      <c r="G4" s="1832"/>
      <c r="H4" s="1832"/>
    </row>
    <row r="5" spans="1:8" ht="13.35" customHeight="1"/>
    <row r="6" spans="1:8" s="1444" customFormat="1" ht="12.15" customHeight="1">
      <c r="A6" s="1441" t="s">
        <v>690</v>
      </c>
      <c r="B6" s="1441" t="s">
        <v>689</v>
      </c>
      <c r="C6" s="1441" t="s">
        <v>823</v>
      </c>
      <c r="D6" s="1441" t="s">
        <v>773</v>
      </c>
      <c r="E6" s="1831" t="s">
        <v>861</v>
      </c>
      <c r="F6" s="1831" t="s">
        <v>824</v>
      </c>
      <c r="G6" s="1831" t="s">
        <v>828</v>
      </c>
      <c r="H6" s="1831" t="s">
        <v>164</v>
      </c>
    </row>
    <row r="7" spans="1:8" ht="13.35" customHeight="1"/>
    <row r="8" spans="1:8" s="1444" customFormat="1" ht="12.15" customHeight="1">
      <c r="A8" s="1445" t="s">
        <v>1030</v>
      </c>
      <c r="B8" s="1445"/>
      <c r="C8" s="1445"/>
      <c r="D8" s="1445"/>
      <c r="E8" s="1830"/>
      <c r="F8" s="1830"/>
      <c r="G8" s="1830"/>
      <c r="H8" s="1830"/>
    </row>
    <row r="9" spans="1:8" ht="10.95" customHeight="1">
      <c r="A9" s="1446" t="s">
        <v>2482</v>
      </c>
      <c r="B9" s="1447">
        <v>46104</v>
      </c>
      <c r="C9" s="1447">
        <v>46108</v>
      </c>
      <c r="D9" s="1446" t="s">
        <v>2483</v>
      </c>
      <c r="E9" s="1829">
        <v>0</v>
      </c>
      <c r="F9" s="1829">
        <v>172416.08</v>
      </c>
      <c r="G9" s="1829">
        <v>0</v>
      </c>
      <c r="H9" s="1829">
        <v>172416.08</v>
      </c>
    </row>
    <row r="10" spans="1:8" ht="10.95" customHeight="1">
      <c r="A10" s="1450" t="s">
        <v>2484</v>
      </c>
      <c r="B10" s="1451">
        <v>46106</v>
      </c>
      <c r="C10" s="1451">
        <v>46113</v>
      </c>
      <c r="D10" s="1450" t="s">
        <v>2485</v>
      </c>
      <c r="E10" s="1828">
        <v>10985</v>
      </c>
      <c r="F10" s="1828">
        <v>0</v>
      </c>
      <c r="G10" s="1828">
        <v>0</v>
      </c>
      <c r="H10" s="1828">
        <v>10985</v>
      </c>
    </row>
    <row r="11" spans="1:8" ht="10.95" customHeight="1">
      <c r="A11" s="1446" t="s">
        <v>2210</v>
      </c>
      <c r="B11" s="1447">
        <v>46069</v>
      </c>
      <c r="C11" s="1447">
        <v>46099</v>
      </c>
      <c r="D11" s="1446" t="s">
        <v>2376</v>
      </c>
      <c r="E11" s="1829">
        <v>0</v>
      </c>
      <c r="F11" s="1829">
        <v>54204.98</v>
      </c>
      <c r="G11" s="1829">
        <v>0</v>
      </c>
      <c r="H11" s="1829">
        <v>54204.98</v>
      </c>
    </row>
    <row r="12" spans="1:8" ht="10.95" customHeight="1">
      <c r="A12" s="1450" t="s">
        <v>2210</v>
      </c>
      <c r="B12" s="1451">
        <v>46071</v>
      </c>
      <c r="C12" s="1451">
        <v>46101</v>
      </c>
      <c r="D12" s="1450" t="s">
        <v>2378</v>
      </c>
      <c r="E12" s="1828">
        <v>0</v>
      </c>
      <c r="F12" s="1828">
        <v>21999.919999999998</v>
      </c>
      <c r="G12" s="1828">
        <v>0</v>
      </c>
      <c r="H12" s="1828">
        <v>21999.919999999998</v>
      </c>
    </row>
    <row r="13" spans="1:8" ht="10.95" customHeight="1">
      <c r="A13" s="1450" t="s">
        <v>2210</v>
      </c>
      <c r="B13" s="1451">
        <v>46072</v>
      </c>
      <c r="C13" s="1451">
        <v>46102</v>
      </c>
      <c r="D13" s="1450" t="s">
        <v>2379</v>
      </c>
      <c r="E13" s="1828">
        <v>0</v>
      </c>
      <c r="F13" s="1828">
        <v>12690.84</v>
      </c>
      <c r="G13" s="1828">
        <v>0</v>
      </c>
      <c r="H13" s="1828">
        <v>12690.84</v>
      </c>
    </row>
    <row r="14" spans="1:8" ht="10.95" customHeight="1">
      <c r="A14" s="1450" t="s">
        <v>2210</v>
      </c>
      <c r="B14" s="1451">
        <v>46083</v>
      </c>
      <c r="C14" s="1451">
        <v>46113</v>
      </c>
      <c r="D14" s="1450" t="s">
        <v>2486</v>
      </c>
      <c r="E14" s="1828">
        <v>6914.99</v>
      </c>
      <c r="F14" s="1828">
        <v>0</v>
      </c>
      <c r="G14" s="1828">
        <v>0</v>
      </c>
      <c r="H14" s="1828">
        <v>6914.99</v>
      </c>
    </row>
    <row r="15" spans="1:8" ht="10.95" customHeight="1">
      <c r="A15" s="1450" t="s">
        <v>2265</v>
      </c>
      <c r="B15" s="1451">
        <v>46091</v>
      </c>
      <c r="C15" s="1451">
        <v>46121</v>
      </c>
      <c r="D15" s="1450" t="s">
        <v>2487</v>
      </c>
      <c r="E15" s="1828">
        <v>326983.84999999998</v>
      </c>
      <c r="F15" s="1828">
        <v>0</v>
      </c>
      <c r="G15" s="1828">
        <v>0</v>
      </c>
      <c r="H15" s="1828">
        <v>326983.84999999998</v>
      </c>
    </row>
    <row r="16" spans="1:8" ht="10.95" customHeight="1">
      <c r="A16" s="1450" t="s">
        <v>1116</v>
      </c>
      <c r="B16" s="1451">
        <v>46101</v>
      </c>
      <c r="C16" s="1451">
        <v>46131</v>
      </c>
      <c r="D16" s="1450" t="s">
        <v>2488</v>
      </c>
      <c r="E16" s="1828">
        <v>46787</v>
      </c>
      <c r="F16" s="1828">
        <v>0</v>
      </c>
      <c r="G16" s="1828">
        <v>0</v>
      </c>
      <c r="H16" s="1828">
        <v>46787</v>
      </c>
    </row>
    <row r="17" spans="1:8" ht="10.95" customHeight="1">
      <c r="A17" s="1450" t="s">
        <v>2265</v>
      </c>
      <c r="B17" s="1451">
        <v>46101</v>
      </c>
      <c r="C17" s="1451">
        <v>46131</v>
      </c>
      <c r="D17" s="1450" t="s">
        <v>2489</v>
      </c>
      <c r="E17" s="1828">
        <v>14155.33</v>
      </c>
      <c r="F17" s="1828">
        <v>0</v>
      </c>
      <c r="G17" s="1828">
        <v>0</v>
      </c>
      <c r="H17" s="1828">
        <v>14155.33</v>
      </c>
    </row>
    <row r="18" spans="1:8" ht="10.95" customHeight="1">
      <c r="A18" s="1450" t="s">
        <v>1116</v>
      </c>
      <c r="B18" s="1451">
        <v>46105</v>
      </c>
      <c r="C18" s="1451">
        <v>46135</v>
      </c>
      <c r="D18" s="1450" t="s">
        <v>2490</v>
      </c>
      <c r="E18" s="1828">
        <v>23229</v>
      </c>
      <c r="F18" s="1828">
        <v>0</v>
      </c>
      <c r="G18" s="1828">
        <v>0</v>
      </c>
      <c r="H18" s="1828">
        <v>23229</v>
      </c>
    </row>
    <row r="19" spans="1:8" ht="10.95" customHeight="1">
      <c r="A19" s="1450" t="s">
        <v>1116</v>
      </c>
      <c r="B19" s="1451">
        <v>46109</v>
      </c>
      <c r="C19" s="1451">
        <v>46139</v>
      </c>
      <c r="D19" s="1450" t="s">
        <v>2491</v>
      </c>
      <c r="E19" s="1828">
        <v>22890</v>
      </c>
      <c r="F19" s="1828">
        <v>0</v>
      </c>
      <c r="G19" s="1828">
        <v>0</v>
      </c>
      <c r="H19" s="1828">
        <v>22890</v>
      </c>
    </row>
    <row r="20" spans="1:8" ht="10.95" customHeight="1">
      <c r="A20" s="1454" t="s">
        <v>1831</v>
      </c>
      <c r="B20" s="1454"/>
      <c r="C20" s="1454"/>
      <c r="D20" s="1454"/>
      <c r="E20" s="1827">
        <f>SUM(E9:E19)</f>
        <v>451945.17</v>
      </c>
      <c r="F20" s="1827">
        <f>SUM(F9:F19)</f>
        <v>261311.81999999998</v>
      </c>
      <c r="G20" s="1827">
        <f>SUM(G9:G19)</f>
        <v>0</v>
      </c>
      <c r="H20" s="1827">
        <f>SUM(H9:H19)</f>
        <v>713256.98999999987</v>
      </c>
    </row>
    <row r="21" spans="1:8" ht="13.35" customHeight="1"/>
    <row r="22" spans="1:8" s="1444" customFormat="1" ht="12.15" customHeight="1">
      <c r="A22" s="1445" t="s">
        <v>2056</v>
      </c>
      <c r="B22" s="1445"/>
      <c r="C22" s="1445"/>
      <c r="D22" s="1445"/>
      <c r="E22" s="1830"/>
      <c r="F22" s="1830"/>
      <c r="G22" s="1830"/>
      <c r="H22" s="1830"/>
    </row>
    <row r="23" spans="1:8" ht="10.95" customHeight="1">
      <c r="A23" s="1446" t="s">
        <v>2210</v>
      </c>
      <c r="B23" s="1447">
        <v>46069</v>
      </c>
      <c r="C23" s="1447">
        <v>46099</v>
      </c>
      <c r="D23" s="1446" t="s">
        <v>2376</v>
      </c>
      <c r="E23" s="1829">
        <v>0</v>
      </c>
      <c r="F23" s="1829">
        <v>36699.980000000003</v>
      </c>
      <c r="G23" s="1829">
        <v>0</v>
      </c>
      <c r="H23" s="1829">
        <v>36699.980000000003</v>
      </c>
    </row>
    <row r="24" spans="1:8" ht="10.95" customHeight="1">
      <c r="A24" s="1446" t="s">
        <v>2210</v>
      </c>
      <c r="B24" s="1447">
        <v>46071</v>
      </c>
      <c r="C24" s="1447">
        <v>46101</v>
      </c>
      <c r="D24" s="1446" t="s">
        <v>2378</v>
      </c>
      <c r="E24" s="1829">
        <v>0</v>
      </c>
      <c r="F24" s="1829">
        <v>61653.2</v>
      </c>
      <c r="G24" s="1829">
        <v>0</v>
      </c>
      <c r="H24" s="1829">
        <v>61653.2</v>
      </c>
    </row>
    <row r="25" spans="1:8" ht="10.95" customHeight="1">
      <c r="A25" s="1446" t="s">
        <v>2210</v>
      </c>
      <c r="B25" s="1447">
        <v>46072</v>
      </c>
      <c r="C25" s="1447">
        <v>46102</v>
      </c>
      <c r="D25" s="1446" t="s">
        <v>2379</v>
      </c>
      <c r="E25" s="1829">
        <v>0</v>
      </c>
      <c r="F25" s="1829">
        <v>19012</v>
      </c>
      <c r="G25" s="1829">
        <v>0</v>
      </c>
      <c r="H25" s="1829">
        <v>19012</v>
      </c>
    </row>
    <row r="26" spans="1:8" ht="10.95" customHeight="1">
      <c r="A26" s="1446" t="s">
        <v>2210</v>
      </c>
      <c r="B26" s="1447">
        <v>46083</v>
      </c>
      <c r="C26" s="1447">
        <v>46113</v>
      </c>
      <c r="D26" s="1446" t="s">
        <v>2492</v>
      </c>
      <c r="E26" s="1829">
        <v>40727.040000000001</v>
      </c>
      <c r="F26" s="1829">
        <v>0</v>
      </c>
      <c r="G26" s="1829">
        <v>0</v>
      </c>
      <c r="H26" s="1829">
        <v>40727.040000000001</v>
      </c>
    </row>
    <row r="27" spans="1:8" ht="10.95" customHeight="1">
      <c r="A27" s="1446" t="s">
        <v>2210</v>
      </c>
      <c r="B27" s="1447">
        <v>46083</v>
      </c>
      <c r="C27" s="1447">
        <v>46113</v>
      </c>
      <c r="D27" s="1446" t="s">
        <v>2486</v>
      </c>
      <c r="E27" s="1829">
        <v>55469.22</v>
      </c>
      <c r="F27" s="1829">
        <v>0</v>
      </c>
      <c r="G27" s="1829">
        <v>0</v>
      </c>
      <c r="H27" s="1829">
        <v>55469.22</v>
      </c>
    </row>
    <row r="28" spans="1:8" ht="10.95" customHeight="1">
      <c r="A28" s="1446" t="s">
        <v>2265</v>
      </c>
      <c r="B28" s="1447">
        <v>46091</v>
      </c>
      <c r="C28" s="1447">
        <v>46121</v>
      </c>
      <c r="D28" s="1446" t="s">
        <v>2487</v>
      </c>
      <c r="E28" s="1829">
        <v>599242.18000000005</v>
      </c>
      <c r="F28" s="1829">
        <v>0</v>
      </c>
      <c r="G28" s="1829">
        <v>0</v>
      </c>
      <c r="H28" s="1829">
        <v>599242.18000000005</v>
      </c>
    </row>
    <row r="29" spans="1:8" ht="10.95" customHeight="1">
      <c r="A29" s="1446" t="s">
        <v>1116</v>
      </c>
      <c r="B29" s="1447">
        <v>46101</v>
      </c>
      <c r="C29" s="1447">
        <v>46131</v>
      </c>
      <c r="D29" s="1446" t="s">
        <v>2488</v>
      </c>
      <c r="E29" s="1829">
        <v>13280</v>
      </c>
      <c r="F29" s="1829">
        <v>0</v>
      </c>
      <c r="G29" s="1829">
        <v>0</v>
      </c>
      <c r="H29" s="1829">
        <v>13280</v>
      </c>
    </row>
    <row r="30" spans="1:8" ht="10.95" customHeight="1">
      <c r="A30" s="1446" t="s">
        <v>2265</v>
      </c>
      <c r="B30" s="1447">
        <v>46101</v>
      </c>
      <c r="C30" s="1447">
        <v>46131</v>
      </c>
      <c r="D30" s="1446" t="s">
        <v>2489</v>
      </c>
      <c r="E30" s="1829">
        <v>1251384</v>
      </c>
      <c r="F30" s="1829">
        <v>0</v>
      </c>
      <c r="G30" s="1829">
        <v>0</v>
      </c>
      <c r="H30" s="1829">
        <v>1251384</v>
      </c>
    </row>
    <row r="31" spans="1:8" ht="10.95" customHeight="1">
      <c r="A31" s="1446" t="s">
        <v>1337</v>
      </c>
      <c r="B31" s="1447">
        <v>46104</v>
      </c>
      <c r="C31" s="1447">
        <v>46096</v>
      </c>
      <c r="D31" s="1446" t="s">
        <v>2493</v>
      </c>
      <c r="E31" s="1829">
        <v>0</v>
      </c>
      <c r="F31" s="1829">
        <v>2790</v>
      </c>
      <c r="G31" s="1829">
        <v>0</v>
      </c>
      <c r="H31" s="1829">
        <v>2790</v>
      </c>
    </row>
    <row r="32" spans="1:8" ht="10.95" customHeight="1">
      <c r="A32" s="1446" t="s">
        <v>1116</v>
      </c>
      <c r="B32" s="1447">
        <v>46105</v>
      </c>
      <c r="C32" s="1447">
        <v>46135</v>
      </c>
      <c r="D32" s="1446" t="s">
        <v>2490</v>
      </c>
      <c r="E32" s="1829">
        <v>41744</v>
      </c>
      <c r="F32" s="1829">
        <v>0</v>
      </c>
      <c r="G32" s="1829">
        <v>0</v>
      </c>
      <c r="H32" s="1829">
        <v>41744</v>
      </c>
    </row>
    <row r="33" spans="1:8" ht="10.95" customHeight="1">
      <c r="A33" s="1446" t="s">
        <v>1116</v>
      </c>
      <c r="B33" s="1447">
        <v>46109</v>
      </c>
      <c r="C33" s="1447">
        <v>46139</v>
      </c>
      <c r="D33" s="1446" t="s">
        <v>2491</v>
      </c>
      <c r="E33" s="1829">
        <v>7630</v>
      </c>
      <c r="F33" s="1829">
        <v>0</v>
      </c>
      <c r="G33" s="1829">
        <v>0</v>
      </c>
      <c r="H33" s="1829">
        <v>7630</v>
      </c>
    </row>
    <row r="34" spans="1:8" ht="10.95" customHeight="1">
      <c r="A34" s="1446" t="s">
        <v>2400</v>
      </c>
      <c r="B34" s="1447">
        <v>46069</v>
      </c>
      <c r="C34" s="1447">
        <v>46099</v>
      </c>
      <c r="D34" s="1446" t="s">
        <v>2401</v>
      </c>
      <c r="E34" s="1829">
        <v>0</v>
      </c>
      <c r="F34" s="1829">
        <v>243582.06</v>
      </c>
      <c r="G34" s="1829">
        <v>0</v>
      </c>
      <c r="H34" s="1829">
        <v>243582.06</v>
      </c>
    </row>
    <row r="35" spans="1:8" ht="10.95" customHeight="1">
      <c r="A35" s="1450" t="s">
        <v>2220</v>
      </c>
      <c r="B35" s="1451">
        <v>46069</v>
      </c>
      <c r="C35" s="1451">
        <v>46099</v>
      </c>
      <c r="D35" s="1450" t="s">
        <v>2402</v>
      </c>
      <c r="E35" s="1828">
        <v>0</v>
      </c>
      <c r="F35" s="1828">
        <v>30238.04</v>
      </c>
      <c r="G35" s="1828">
        <v>0</v>
      </c>
      <c r="H35" s="1828">
        <v>30238.04</v>
      </c>
    </row>
    <row r="36" spans="1:8" ht="10.95" customHeight="1">
      <c r="A36" s="1450" t="s">
        <v>2220</v>
      </c>
      <c r="B36" s="1451">
        <v>46069</v>
      </c>
      <c r="C36" s="1451">
        <v>46099</v>
      </c>
      <c r="D36" s="1450" t="s">
        <v>2403</v>
      </c>
      <c r="E36" s="1828">
        <v>0</v>
      </c>
      <c r="F36" s="1828">
        <v>3508.4</v>
      </c>
      <c r="G36" s="1828">
        <v>0</v>
      </c>
      <c r="H36" s="1828">
        <v>3508.4</v>
      </c>
    </row>
    <row r="37" spans="1:8" ht="10.95" customHeight="1">
      <c r="A37" s="1450" t="s">
        <v>2400</v>
      </c>
      <c r="B37" s="1451">
        <v>46070</v>
      </c>
      <c r="C37" s="1451">
        <v>46100</v>
      </c>
      <c r="D37" s="1450" t="s">
        <v>2405</v>
      </c>
      <c r="E37" s="1828">
        <v>0</v>
      </c>
      <c r="F37" s="1828">
        <v>240141.36</v>
      </c>
      <c r="G37" s="1828">
        <v>0</v>
      </c>
      <c r="H37" s="1828">
        <v>240141.36</v>
      </c>
    </row>
    <row r="38" spans="1:8" ht="10.95" customHeight="1">
      <c r="A38" s="1450" t="s">
        <v>2400</v>
      </c>
      <c r="B38" s="1451">
        <v>46072</v>
      </c>
      <c r="C38" s="1451">
        <v>46102</v>
      </c>
      <c r="D38" s="1450" t="s">
        <v>2411</v>
      </c>
      <c r="E38" s="1828">
        <v>0</v>
      </c>
      <c r="F38" s="1828">
        <v>240141.37</v>
      </c>
      <c r="G38" s="1828">
        <v>0</v>
      </c>
      <c r="H38" s="1828">
        <v>240141.37</v>
      </c>
    </row>
    <row r="39" spans="1:8" ht="10.95" customHeight="1">
      <c r="A39" s="1450" t="s">
        <v>2400</v>
      </c>
      <c r="B39" s="1451">
        <v>46072</v>
      </c>
      <c r="C39" s="1451">
        <v>46102</v>
      </c>
      <c r="D39" s="1450" t="s">
        <v>2412</v>
      </c>
      <c r="E39" s="1828">
        <v>0</v>
      </c>
      <c r="F39" s="1828">
        <v>240141.36</v>
      </c>
      <c r="G39" s="1828">
        <v>0</v>
      </c>
      <c r="H39" s="1828">
        <v>240141.36</v>
      </c>
    </row>
    <row r="40" spans="1:8" ht="10.95" customHeight="1">
      <c r="A40" s="1450" t="s">
        <v>2210</v>
      </c>
      <c r="B40" s="1451">
        <v>46073</v>
      </c>
      <c r="C40" s="1451">
        <v>46103</v>
      </c>
      <c r="D40" s="1450" t="s">
        <v>2415</v>
      </c>
      <c r="E40" s="1828">
        <v>0</v>
      </c>
      <c r="F40" s="1828">
        <v>60171.69</v>
      </c>
      <c r="G40" s="1828">
        <v>0</v>
      </c>
      <c r="H40" s="1828">
        <v>60171.69</v>
      </c>
    </row>
    <row r="41" spans="1:8" ht="10.95" customHeight="1">
      <c r="A41" s="1450" t="s">
        <v>2220</v>
      </c>
      <c r="B41" s="1451">
        <v>46078</v>
      </c>
      <c r="C41" s="1451">
        <v>46108</v>
      </c>
      <c r="D41" s="1450" t="s">
        <v>2418</v>
      </c>
      <c r="E41" s="1828">
        <v>0</v>
      </c>
      <c r="F41" s="1828">
        <v>110830.86</v>
      </c>
      <c r="G41" s="1828">
        <v>0</v>
      </c>
      <c r="H41" s="1828">
        <v>110830.86</v>
      </c>
    </row>
    <row r="42" spans="1:8" ht="10.95" customHeight="1">
      <c r="A42" s="1450" t="s">
        <v>2275</v>
      </c>
      <c r="B42" s="1451">
        <v>46082</v>
      </c>
      <c r="C42" s="1451">
        <v>46111</v>
      </c>
      <c r="D42" s="1450" t="s">
        <v>2494</v>
      </c>
      <c r="E42" s="1828">
        <v>0</v>
      </c>
      <c r="F42" s="1828">
        <v>1891802.55</v>
      </c>
      <c r="G42" s="1828">
        <v>0</v>
      </c>
      <c r="H42" s="1828">
        <v>1891802.55</v>
      </c>
    </row>
    <row r="43" spans="1:8" ht="10.95" customHeight="1">
      <c r="A43" s="1450" t="s">
        <v>2265</v>
      </c>
      <c r="B43" s="1451">
        <v>46086</v>
      </c>
      <c r="C43" s="1451">
        <v>46116</v>
      </c>
      <c r="D43" s="1450" t="s">
        <v>2495</v>
      </c>
      <c r="E43" s="1828">
        <v>1222542.3500000001</v>
      </c>
      <c r="F43" s="1828">
        <v>0</v>
      </c>
      <c r="G43" s="1828">
        <v>0</v>
      </c>
      <c r="H43" s="1828">
        <v>1222542.3500000001</v>
      </c>
    </row>
    <row r="44" spans="1:8" ht="10.95" customHeight="1">
      <c r="A44" s="1450" t="s">
        <v>2406</v>
      </c>
      <c r="B44" s="1451">
        <v>46086</v>
      </c>
      <c r="C44" s="1451">
        <v>46094</v>
      </c>
      <c r="D44" s="1450" t="s">
        <v>2496</v>
      </c>
      <c r="E44" s="1828">
        <v>0</v>
      </c>
      <c r="F44" s="1828">
        <v>43956.18</v>
      </c>
      <c r="G44" s="1828">
        <v>0</v>
      </c>
      <c r="H44" s="1828">
        <v>43956.18</v>
      </c>
    </row>
    <row r="45" spans="1:8" ht="10.95" customHeight="1">
      <c r="A45" s="1450" t="s">
        <v>2265</v>
      </c>
      <c r="B45" s="1451">
        <v>46088</v>
      </c>
      <c r="C45" s="1451">
        <v>46118</v>
      </c>
      <c r="D45" s="1450" t="s">
        <v>2497</v>
      </c>
      <c r="E45" s="1828">
        <v>254795.89</v>
      </c>
      <c r="F45" s="1828">
        <v>0</v>
      </c>
      <c r="G45" s="1828">
        <v>0</v>
      </c>
      <c r="H45" s="1828">
        <v>254795.89</v>
      </c>
    </row>
    <row r="46" spans="1:8" ht="10.95" customHeight="1">
      <c r="A46" s="1450" t="s">
        <v>2210</v>
      </c>
      <c r="B46" s="1451">
        <v>46090</v>
      </c>
      <c r="C46" s="1451">
        <v>46120</v>
      </c>
      <c r="D46" s="1450" t="s">
        <v>2498</v>
      </c>
      <c r="E46" s="1828">
        <v>32092.59</v>
      </c>
      <c r="F46" s="1828">
        <v>0</v>
      </c>
      <c r="G46" s="1828">
        <v>0</v>
      </c>
      <c r="H46" s="1828">
        <v>32092.59</v>
      </c>
    </row>
    <row r="47" spans="1:8" ht="10.95" customHeight="1">
      <c r="A47" s="1450" t="s">
        <v>2220</v>
      </c>
      <c r="B47" s="1451">
        <v>46090</v>
      </c>
      <c r="C47" s="1451">
        <v>46120</v>
      </c>
      <c r="D47" s="1450" t="s">
        <v>2499</v>
      </c>
      <c r="E47" s="1828">
        <v>30841.21</v>
      </c>
      <c r="F47" s="1828">
        <v>0</v>
      </c>
      <c r="G47" s="1828">
        <v>0</v>
      </c>
      <c r="H47" s="1828">
        <v>30841.21</v>
      </c>
    </row>
    <row r="48" spans="1:8" ht="10.95" customHeight="1">
      <c r="A48" s="1450" t="s">
        <v>2265</v>
      </c>
      <c r="B48" s="1451">
        <v>46094</v>
      </c>
      <c r="C48" s="1451">
        <v>46124</v>
      </c>
      <c r="D48" s="1450" t="s">
        <v>2500</v>
      </c>
      <c r="E48" s="1828">
        <v>240640.56</v>
      </c>
      <c r="F48" s="1828">
        <v>0</v>
      </c>
      <c r="G48" s="1828">
        <v>0</v>
      </c>
      <c r="H48" s="1828">
        <v>240640.56</v>
      </c>
    </row>
    <row r="49" spans="1:8" ht="10.95" customHeight="1">
      <c r="A49" s="1450" t="s">
        <v>2265</v>
      </c>
      <c r="B49" s="1451">
        <v>46094</v>
      </c>
      <c r="C49" s="1451">
        <v>46124</v>
      </c>
      <c r="D49" s="1450" t="s">
        <v>2501</v>
      </c>
      <c r="E49" s="1828">
        <v>254795.89</v>
      </c>
      <c r="F49" s="1828">
        <v>0</v>
      </c>
      <c r="G49" s="1828">
        <v>0</v>
      </c>
      <c r="H49" s="1828">
        <v>254795.89</v>
      </c>
    </row>
    <row r="50" spans="1:8" ht="10.95" customHeight="1">
      <c r="A50" s="1450" t="s">
        <v>2220</v>
      </c>
      <c r="B50" s="1451">
        <v>46094</v>
      </c>
      <c r="C50" s="1451">
        <v>46124</v>
      </c>
      <c r="D50" s="1450" t="s">
        <v>2502</v>
      </c>
      <c r="E50" s="1828">
        <v>6786.24</v>
      </c>
      <c r="F50" s="1828">
        <v>0</v>
      </c>
      <c r="G50" s="1828">
        <v>0</v>
      </c>
      <c r="H50" s="1828">
        <v>6786.24</v>
      </c>
    </row>
    <row r="51" spans="1:8" ht="10.95" customHeight="1">
      <c r="A51" s="1450" t="s">
        <v>2210</v>
      </c>
      <c r="B51" s="1451">
        <v>46095</v>
      </c>
      <c r="C51" s="1451">
        <v>46125</v>
      </c>
      <c r="D51" s="1450" t="s">
        <v>2503</v>
      </c>
      <c r="E51" s="1828">
        <v>90996.23</v>
      </c>
      <c r="F51" s="1828">
        <v>0</v>
      </c>
      <c r="G51" s="1828">
        <v>0</v>
      </c>
      <c r="H51" s="1828">
        <v>90996.23</v>
      </c>
    </row>
    <row r="52" spans="1:8" ht="10.95" customHeight="1">
      <c r="A52" s="1450" t="s">
        <v>2265</v>
      </c>
      <c r="B52" s="1451">
        <v>46097</v>
      </c>
      <c r="C52" s="1451">
        <v>46112</v>
      </c>
      <c r="D52" s="1450" t="s">
        <v>2504</v>
      </c>
      <c r="E52" s="1828">
        <v>319868.94</v>
      </c>
      <c r="F52" s="1828">
        <v>0</v>
      </c>
      <c r="G52" s="1828">
        <v>0</v>
      </c>
      <c r="H52" s="1828">
        <v>319868.94</v>
      </c>
    </row>
    <row r="53" spans="1:8" ht="10.95" customHeight="1">
      <c r="A53" s="1450" t="s">
        <v>2267</v>
      </c>
      <c r="B53" s="1451">
        <v>46098</v>
      </c>
      <c r="C53" s="1451">
        <v>46112</v>
      </c>
      <c r="D53" s="1450" t="s">
        <v>2505</v>
      </c>
      <c r="E53" s="1828">
        <v>28249.200000000001</v>
      </c>
      <c r="F53" s="1828">
        <v>0</v>
      </c>
      <c r="G53" s="1828">
        <v>0</v>
      </c>
      <c r="H53" s="1828">
        <v>28249.200000000001</v>
      </c>
    </row>
    <row r="54" spans="1:8" ht="10.95" customHeight="1">
      <c r="A54" s="1450" t="s">
        <v>2506</v>
      </c>
      <c r="B54" s="1451">
        <v>46098</v>
      </c>
      <c r="C54" s="1451">
        <v>46113</v>
      </c>
      <c r="D54" s="1450" t="s">
        <v>2507</v>
      </c>
      <c r="E54" s="1828">
        <v>408000</v>
      </c>
      <c r="F54" s="1828">
        <v>0</v>
      </c>
      <c r="G54" s="1828">
        <v>0</v>
      </c>
      <c r="H54" s="1828">
        <v>408000</v>
      </c>
    </row>
    <row r="55" spans="1:8" ht="10.95" customHeight="1">
      <c r="A55" s="1450" t="s">
        <v>2506</v>
      </c>
      <c r="B55" s="1451">
        <v>46098</v>
      </c>
      <c r="C55" s="1451">
        <v>46159</v>
      </c>
      <c r="D55" s="1450" t="s">
        <v>2508</v>
      </c>
      <c r="E55" s="1828">
        <v>281450</v>
      </c>
      <c r="F55" s="1828">
        <v>0</v>
      </c>
      <c r="G55" s="1828">
        <v>0</v>
      </c>
      <c r="H55" s="1828">
        <v>281450</v>
      </c>
    </row>
    <row r="56" spans="1:8" ht="10.95" customHeight="1">
      <c r="A56" s="1450" t="s">
        <v>1116</v>
      </c>
      <c r="B56" s="1451">
        <v>46099</v>
      </c>
      <c r="C56" s="1451">
        <v>46114</v>
      </c>
      <c r="D56" s="1450" t="s">
        <v>2509</v>
      </c>
      <c r="E56" s="1828">
        <v>342501.72</v>
      </c>
      <c r="F56" s="1828">
        <v>0</v>
      </c>
      <c r="G56" s="1828">
        <v>0</v>
      </c>
      <c r="H56" s="1828">
        <v>342501.72</v>
      </c>
    </row>
    <row r="57" spans="1:8" ht="10.95" customHeight="1">
      <c r="A57" s="1450" t="s">
        <v>2220</v>
      </c>
      <c r="B57" s="1451">
        <v>46099</v>
      </c>
      <c r="C57" s="1451">
        <v>46129</v>
      </c>
      <c r="D57" s="1450" t="s">
        <v>2510</v>
      </c>
      <c r="E57" s="1828">
        <v>28120.77</v>
      </c>
      <c r="F57" s="1828">
        <v>0</v>
      </c>
      <c r="G57" s="1828">
        <v>0</v>
      </c>
      <c r="H57" s="1828">
        <v>28120.77</v>
      </c>
    </row>
    <row r="58" spans="1:8" ht="10.95" customHeight="1">
      <c r="A58" s="1450" t="s">
        <v>2220</v>
      </c>
      <c r="B58" s="1451">
        <v>46099</v>
      </c>
      <c r="C58" s="1451">
        <v>46129</v>
      </c>
      <c r="D58" s="1450" t="s">
        <v>2511</v>
      </c>
      <c r="E58" s="1828">
        <v>190525.06</v>
      </c>
      <c r="F58" s="1828">
        <v>0</v>
      </c>
      <c r="G58" s="1828">
        <v>0</v>
      </c>
      <c r="H58" s="1828">
        <v>190525.06</v>
      </c>
    </row>
    <row r="59" spans="1:8" ht="10.95" customHeight="1">
      <c r="A59" s="1450" t="s">
        <v>1116</v>
      </c>
      <c r="B59" s="1451">
        <v>46101</v>
      </c>
      <c r="C59" s="1451">
        <v>46131</v>
      </c>
      <c r="D59" s="1450" t="s">
        <v>2512</v>
      </c>
      <c r="E59" s="1828">
        <v>192467</v>
      </c>
      <c r="F59" s="1828">
        <v>0</v>
      </c>
      <c r="G59" s="1828">
        <v>0</v>
      </c>
      <c r="H59" s="1828">
        <v>192467</v>
      </c>
    </row>
    <row r="60" spans="1:8" ht="10.95" customHeight="1">
      <c r="A60" s="1450" t="s">
        <v>2210</v>
      </c>
      <c r="B60" s="1451">
        <v>46102</v>
      </c>
      <c r="C60" s="1451">
        <v>46132</v>
      </c>
      <c r="D60" s="1450" t="s">
        <v>2513</v>
      </c>
      <c r="E60" s="1828">
        <v>11750.14</v>
      </c>
      <c r="F60" s="1828">
        <v>0</v>
      </c>
      <c r="G60" s="1828">
        <v>0</v>
      </c>
      <c r="H60" s="1828">
        <v>11750.14</v>
      </c>
    </row>
    <row r="61" spans="1:8" ht="10.95" customHeight="1">
      <c r="A61" s="1450" t="s">
        <v>2220</v>
      </c>
      <c r="B61" s="1451">
        <v>46104</v>
      </c>
      <c r="C61" s="1451">
        <v>46134</v>
      </c>
      <c r="D61" s="1450" t="s">
        <v>2514</v>
      </c>
      <c r="E61" s="1828">
        <v>9786.5300000000007</v>
      </c>
      <c r="F61" s="1828">
        <v>0</v>
      </c>
      <c r="G61" s="1828">
        <v>0</v>
      </c>
      <c r="H61" s="1828">
        <v>9786.5300000000007</v>
      </c>
    </row>
    <row r="62" spans="1:8" ht="10.95" customHeight="1">
      <c r="A62" s="1450" t="s">
        <v>715</v>
      </c>
      <c r="B62" s="1451">
        <v>46105</v>
      </c>
      <c r="C62" s="1451">
        <v>46108</v>
      </c>
      <c r="D62" s="1450" t="s">
        <v>2515</v>
      </c>
      <c r="E62" s="1828">
        <v>0</v>
      </c>
      <c r="F62" s="1828">
        <v>1695129.06</v>
      </c>
      <c r="G62" s="1828">
        <v>0</v>
      </c>
      <c r="H62" s="1828">
        <v>1695129.06</v>
      </c>
    </row>
    <row r="63" spans="1:8" ht="10.95" customHeight="1">
      <c r="A63" s="1450" t="s">
        <v>1116</v>
      </c>
      <c r="B63" s="1451">
        <v>46106</v>
      </c>
      <c r="C63" s="1451">
        <v>46131</v>
      </c>
      <c r="D63" s="1450" t="s">
        <v>2516</v>
      </c>
      <c r="E63" s="1828">
        <v>5225</v>
      </c>
      <c r="F63" s="1828">
        <v>0</v>
      </c>
      <c r="G63" s="1828">
        <v>0</v>
      </c>
      <c r="H63" s="1828">
        <v>5225</v>
      </c>
    </row>
    <row r="64" spans="1:8" ht="10.95" customHeight="1">
      <c r="A64" s="1450" t="s">
        <v>2517</v>
      </c>
      <c r="B64" s="1451">
        <v>46106</v>
      </c>
      <c r="C64" s="1451">
        <v>46113</v>
      </c>
      <c r="D64" s="1450" t="s">
        <v>2518</v>
      </c>
      <c r="E64" s="1828">
        <v>39100.97</v>
      </c>
      <c r="F64" s="1828">
        <v>0</v>
      </c>
      <c r="G64" s="1828">
        <v>0</v>
      </c>
      <c r="H64" s="1828">
        <v>39100.97</v>
      </c>
    </row>
    <row r="65" spans="1:8" ht="10.95" customHeight="1">
      <c r="A65" s="1450" t="s">
        <v>2517</v>
      </c>
      <c r="B65" s="1451">
        <v>46106</v>
      </c>
      <c r="C65" s="1451">
        <v>46113</v>
      </c>
      <c r="D65" s="1450" t="s">
        <v>2519</v>
      </c>
      <c r="E65" s="1828">
        <v>20899.03</v>
      </c>
      <c r="F65" s="1828">
        <v>0</v>
      </c>
      <c r="G65" s="1828">
        <v>0</v>
      </c>
      <c r="H65" s="1828">
        <v>20899.03</v>
      </c>
    </row>
    <row r="66" spans="1:8" ht="10.95" customHeight="1">
      <c r="A66" s="1450" t="s">
        <v>2517</v>
      </c>
      <c r="B66" s="1451">
        <v>46106</v>
      </c>
      <c r="C66" s="1451">
        <v>46113</v>
      </c>
      <c r="D66" s="1450" t="s">
        <v>2520</v>
      </c>
      <c r="E66" s="1828">
        <v>182000</v>
      </c>
      <c r="F66" s="1828">
        <v>0</v>
      </c>
      <c r="G66" s="1828">
        <v>0</v>
      </c>
      <c r="H66" s="1828">
        <v>182000</v>
      </c>
    </row>
    <row r="67" spans="1:8" ht="10.95" customHeight="1">
      <c r="A67" s="1450" t="s">
        <v>2521</v>
      </c>
      <c r="B67" s="1451">
        <v>46106</v>
      </c>
      <c r="C67" s="1451">
        <v>46113</v>
      </c>
      <c r="D67" s="1450" t="s">
        <v>2522</v>
      </c>
      <c r="E67" s="1828">
        <v>30000</v>
      </c>
      <c r="F67" s="1828">
        <v>0</v>
      </c>
      <c r="G67" s="1828">
        <v>0</v>
      </c>
      <c r="H67" s="1828">
        <v>30000</v>
      </c>
    </row>
    <row r="68" spans="1:8" ht="10.95" customHeight="1">
      <c r="A68" s="1450" t="s">
        <v>2521</v>
      </c>
      <c r="B68" s="1451">
        <v>46106</v>
      </c>
      <c r="C68" s="1451">
        <v>46113</v>
      </c>
      <c r="D68" s="1450" t="s">
        <v>2523</v>
      </c>
      <c r="E68" s="1828">
        <v>215656.38</v>
      </c>
      <c r="F68" s="1828">
        <v>0</v>
      </c>
      <c r="G68" s="1828">
        <v>0</v>
      </c>
      <c r="H68" s="1828">
        <v>215656.38</v>
      </c>
    </row>
    <row r="69" spans="1:8" ht="10.95" customHeight="1">
      <c r="A69" s="1450" t="s">
        <v>2524</v>
      </c>
      <c r="B69" s="1451">
        <v>46106</v>
      </c>
      <c r="C69" s="1451">
        <v>46113</v>
      </c>
      <c r="D69" s="1450" t="s">
        <v>2525</v>
      </c>
      <c r="E69" s="1828">
        <v>219293.19</v>
      </c>
      <c r="F69" s="1828">
        <v>0</v>
      </c>
      <c r="G69" s="1828">
        <v>0</v>
      </c>
      <c r="H69" s="1828">
        <v>219293.19</v>
      </c>
    </row>
    <row r="70" spans="1:8" ht="10.95" customHeight="1">
      <c r="A70" s="1450" t="s">
        <v>2524</v>
      </c>
      <c r="B70" s="1451">
        <v>46106</v>
      </c>
      <c r="C70" s="1451">
        <v>46113</v>
      </c>
      <c r="D70" s="1450" t="s">
        <v>2526</v>
      </c>
      <c r="E70" s="1828">
        <v>27035.18</v>
      </c>
      <c r="F70" s="1828">
        <v>0</v>
      </c>
      <c r="G70" s="1828">
        <v>0</v>
      </c>
      <c r="H70" s="1828">
        <v>27035.18</v>
      </c>
    </row>
    <row r="71" spans="1:8" ht="10.95" customHeight="1">
      <c r="A71" s="1450" t="s">
        <v>2524</v>
      </c>
      <c r="B71" s="1451">
        <v>46106</v>
      </c>
      <c r="C71" s="1451">
        <v>46113</v>
      </c>
      <c r="D71" s="1450" t="s">
        <v>2527</v>
      </c>
      <c r="E71" s="1828">
        <v>251643.46</v>
      </c>
      <c r="F71" s="1828">
        <v>0</v>
      </c>
      <c r="G71" s="1828">
        <v>0</v>
      </c>
      <c r="H71" s="1828">
        <v>251643.46</v>
      </c>
    </row>
    <row r="72" spans="1:8" ht="10.95" customHeight="1">
      <c r="A72" s="1450" t="s">
        <v>2528</v>
      </c>
      <c r="B72" s="1451">
        <v>46106</v>
      </c>
      <c r="C72" s="1451">
        <v>46113</v>
      </c>
      <c r="D72" s="1450" t="s">
        <v>2529</v>
      </c>
      <c r="E72" s="1828">
        <v>507.54</v>
      </c>
      <c r="F72" s="1828">
        <v>0</v>
      </c>
      <c r="G72" s="1828">
        <v>0</v>
      </c>
      <c r="H72" s="1828">
        <v>507.54</v>
      </c>
    </row>
    <row r="73" spans="1:8" ht="10.95" customHeight="1">
      <c r="A73" s="1450" t="s">
        <v>2484</v>
      </c>
      <c r="B73" s="1451">
        <v>46106</v>
      </c>
      <c r="C73" s="1451">
        <v>46113</v>
      </c>
      <c r="D73" s="1450" t="s">
        <v>2530</v>
      </c>
      <c r="E73" s="1828">
        <v>30866.55</v>
      </c>
      <c r="F73" s="1828">
        <v>0</v>
      </c>
      <c r="G73" s="1828">
        <v>0</v>
      </c>
      <c r="H73" s="1828">
        <v>30866.55</v>
      </c>
    </row>
    <row r="74" spans="1:8" ht="10.95" customHeight="1">
      <c r="A74" s="1450" t="s">
        <v>2484</v>
      </c>
      <c r="B74" s="1451">
        <v>46106</v>
      </c>
      <c r="C74" s="1451">
        <v>46113</v>
      </c>
      <c r="D74" s="1450" t="s">
        <v>2531</v>
      </c>
      <c r="E74" s="1828">
        <v>9000</v>
      </c>
      <c r="F74" s="1828">
        <v>0</v>
      </c>
      <c r="G74" s="1828">
        <v>0</v>
      </c>
      <c r="H74" s="1828">
        <v>9000</v>
      </c>
    </row>
    <row r="75" spans="1:8" ht="10.95" customHeight="1">
      <c r="A75" s="1450" t="s">
        <v>2484</v>
      </c>
      <c r="B75" s="1451">
        <v>46106</v>
      </c>
      <c r="C75" s="1451">
        <v>46113</v>
      </c>
      <c r="D75" s="1450" t="s">
        <v>2532</v>
      </c>
      <c r="E75" s="1828">
        <v>238258.54</v>
      </c>
      <c r="F75" s="1828">
        <v>0</v>
      </c>
      <c r="G75" s="1828">
        <v>0</v>
      </c>
      <c r="H75" s="1828">
        <v>238258.54</v>
      </c>
    </row>
    <row r="76" spans="1:8" ht="10.95" customHeight="1">
      <c r="A76" s="1450" t="s">
        <v>2484</v>
      </c>
      <c r="B76" s="1451">
        <v>46106</v>
      </c>
      <c r="C76" s="1451">
        <v>46113</v>
      </c>
      <c r="D76" s="1450" t="s">
        <v>2533</v>
      </c>
      <c r="E76" s="1828">
        <v>42857.15</v>
      </c>
      <c r="F76" s="1828">
        <v>0</v>
      </c>
      <c r="G76" s="1828">
        <v>0</v>
      </c>
      <c r="H76" s="1828">
        <v>42857.15</v>
      </c>
    </row>
    <row r="77" spans="1:8" ht="10.95" customHeight="1">
      <c r="A77" s="1450" t="s">
        <v>2534</v>
      </c>
      <c r="B77" s="1451">
        <v>46106</v>
      </c>
      <c r="C77" s="1451">
        <v>46113</v>
      </c>
      <c r="D77" s="1450" t="s">
        <v>2535</v>
      </c>
      <c r="E77" s="1828">
        <v>501095.22</v>
      </c>
      <c r="F77" s="1828">
        <v>0</v>
      </c>
      <c r="G77" s="1828">
        <v>0</v>
      </c>
      <c r="H77" s="1828">
        <v>501095.22</v>
      </c>
    </row>
    <row r="78" spans="1:8" ht="10.95" customHeight="1">
      <c r="A78" s="1450" t="s">
        <v>2536</v>
      </c>
      <c r="B78" s="1451">
        <v>46106</v>
      </c>
      <c r="C78" s="1451">
        <v>46113</v>
      </c>
      <c r="D78" s="1450" t="s">
        <v>2537</v>
      </c>
      <c r="E78" s="1828">
        <v>181248.42</v>
      </c>
      <c r="F78" s="1828">
        <v>0</v>
      </c>
      <c r="G78" s="1828">
        <v>0</v>
      </c>
      <c r="H78" s="1828">
        <v>181248.42</v>
      </c>
    </row>
    <row r="79" spans="1:8" ht="10.95" customHeight="1">
      <c r="A79" s="1450" t="s">
        <v>2536</v>
      </c>
      <c r="B79" s="1451">
        <v>46106</v>
      </c>
      <c r="C79" s="1451">
        <v>46113</v>
      </c>
      <c r="D79" s="1450" t="s">
        <v>2538</v>
      </c>
      <c r="E79" s="1828">
        <v>43439.71</v>
      </c>
      <c r="F79" s="1828">
        <v>0</v>
      </c>
      <c r="G79" s="1828">
        <v>0</v>
      </c>
      <c r="H79" s="1828">
        <v>43439.71</v>
      </c>
    </row>
    <row r="80" spans="1:8" ht="10.95" customHeight="1">
      <c r="A80" s="1450" t="s">
        <v>1116</v>
      </c>
      <c r="B80" s="1451">
        <v>46107</v>
      </c>
      <c r="C80" s="1451">
        <v>46137</v>
      </c>
      <c r="D80" s="1450" t="s">
        <v>2539</v>
      </c>
      <c r="E80" s="1828">
        <v>6240</v>
      </c>
      <c r="F80" s="1828">
        <v>0</v>
      </c>
      <c r="G80" s="1828">
        <v>0</v>
      </c>
      <c r="H80" s="1828">
        <v>6240</v>
      </c>
    </row>
    <row r="81" spans="1:8" ht="10.95" customHeight="1">
      <c r="A81" s="1450" t="s">
        <v>1116</v>
      </c>
      <c r="B81" s="1451">
        <v>46107</v>
      </c>
      <c r="C81" s="1451">
        <v>46122</v>
      </c>
      <c r="D81" s="1450" t="s">
        <v>2540</v>
      </c>
      <c r="E81" s="1828">
        <v>675000</v>
      </c>
      <c r="F81" s="1828">
        <v>0</v>
      </c>
      <c r="G81" s="1828">
        <v>0</v>
      </c>
      <c r="H81" s="1828">
        <v>675000</v>
      </c>
    </row>
    <row r="82" spans="1:8" ht="10.95" customHeight="1">
      <c r="A82" s="1450" t="s">
        <v>1116</v>
      </c>
      <c r="B82" s="1451">
        <v>46108</v>
      </c>
      <c r="C82" s="1451">
        <v>46139</v>
      </c>
      <c r="D82" s="1450" t="s">
        <v>2541</v>
      </c>
      <c r="E82" s="1828">
        <v>6240</v>
      </c>
      <c r="F82" s="1828">
        <v>0</v>
      </c>
      <c r="G82" s="1828">
        <v>0</v>
      </c>
      <c r="H82" s="1828">
        <v>6240</v>
      </c>
    </row>
    <row r="83" spans="1:8" ht="10.95" customHeight="1">
      <c r="A83" s="1450" t="s">
        <v>2265</v>
      </c>
      <c r="B83" s="1451">
        <v>46108</v>
      </c>
      <c r="C83" s="1451">
        <v>46138</v>
      </c>
      <c r="D83" s="1450" t="s">
        <v>2542</v>
      </c>
      <c r="E83" s="1828">
        <v>240640.56</v>
      </c>
      <c r="F83" s="1828">
        <v>0</v>
      </c>
      <c r="G83" s="1828">
        <v>0</v>
      </c>
      <c r="H83" s="1828">
        <v>240640.56</v>
      </c>
    </row>
    <row r="84" spans="1:8" ht="10.95" customHeight="1">
      <c r="A84" s="1450" t="s">
        <v>2265</v>
      </c>
      <c r="B84" s="1451">
        <v>46111</v>
      </c>
      <c r="C84" s="1451">
        <v>46141</v>
      </c>
      <c r="D84" s="1450" t="s">
        <v>2543</v>
      </c>
      <c r="E84" s="1828">
        <v>495436.45</v>
      </c>
      <c r="F84" s="1828">
        <v>0</v>
      </c>
      <c r="G84" s="1828">
        <v>0</v>
      </c>
      <c r="H84" s="1828">
        <v>495436.45</v>
      </c>
    </row>
    <row r="85" spans="1:8" ht="10.95" customHeight="1">
      <c r="A85" s="1450" t="s">
        <v>2210</v>
      </c>
      <c r="B85" s="1451">
        <v>46111</v>
      </c>
      <c r="C85" s="1451">
        <v>46141</v>
      </c>
      <c r="D85" s="1450" t="s">
        <v>2544</v>
      </c>
      <c r="E85" s="1828">
        <v>112530.26</v>
      </c>
      <c r="F85" s="1828">
        <v>0</v>
      </c>
      <c r="G85" s="1828">
        <v>0</v>
      </c>
      <c r="H85" s="1828">
        <v>112530.26</v>
      </c>
    </row>
    <row r="86" spans="1:8" ht="10.95" customHeight="1">
      <c r="A86" s="1450" t="s">
        <v>2210</v>
      </c>
      <c r="B86" s="1451">
        <v>46111</v>
      </c>
      <c r="C86" s="1451">
        <v>46141</v>
      </c>
      <c r="D86" s="1450" t="s">
        <v>2545</v>
      </c>
      <c r="E86" s="1828">
        <v>35548.639999999999</v>
      </c>
      <c r="F86" s="1828">
        <v>0</v>
      </c>
      <c r="G86" s="1828">
        <v>0</v>
      </c>
      <c r="H86" s="1828">
        <v>35548.639999999999</v>
      </c>
    </row>
    <row r="87" spans="1:8" ht="10.95" customHeight="1">
      <c r="A87" s="1450" t="s">
        <v>2506</v>
      </c>
      <c r="B87" s="1451">
        <v>46111</v>
      </c>
      <c r="C87" s="1451">
        <v>46172</v>
      </c>
      <c r="D87" s="1450" t="s">
        <v>2546</v>
      </c>
      <c r="E87" s="1828">
        <v>175200</v>
      </c>
      <c r="F87" s="1828">
        <v>0</v>
      </c>
      <c r="G87" s="1828">
        <v>0</v>
      </c>
      <c r="H87" s="1828">
        <v>175200</v>
      </c>
    </row>
    <row r="88" spans="1:8" ht="10.95" customHeight="1">
      <c r="A88" s="1450" t="s">
        <v>2220</v>
      </c>
      <c r="B88" s="1451">
        <v>46111</v>
      </c>
      <c r="C88" s="1451">
        <v>46142</v>
      </c>
      <c r="D88" s="1450" t="s">
        <v>2547</v>
      </c>
      <c r="E88" s="1828">
        <v>70.8</v>
      </c>
      <c r="F88" s="1828">
        <v>0</v>
      </c>
      <c r="G88" s="1828">
        <v>0</v>
      </c>
      <c r="H88" s="1828">
        <v>70.8</v>
      </c>
    </row>
    <row r="89" spans="1:8" ht="10.95" customHeight="1">
      <c r="A89" s="1450" t="s">
        <v>2220</v>
      </c>
      <c r="B89" s="1451">
        <v>46111</v>
      </c>
      <c r="C89" s="1451">
        <v>46141</v>
      </c>
      <c r="D89" s="1450" t="s">
        <v>2548</v>
      </c>
      <c r="E89" s="1828">
        <v>247268.71</v>
      </c>
      <c r="F89" s="1828">
        <v>0</v>
      </c>
      <c r="G89" s="1828">
        <v>0</v>
      </c>
      <c r="H89" s="1828">
        <v>247268.71</v>
      </c>
    </row>
    <row r="90" spans="1:8" ht="10.95" customHeight="1">
      <c r="A90" s="1450" t="s">
        <v>1116</v>
      </c>
      <c r="B90" s="1451">
        <v>46112</v>
      </c>
      <c r="C90" s="1451">
        <v>46142</v>
      </c>
      <c r="D90" s="1450" t="s">
        <v>2549</v>
      </c>
      <c r="E90" s="1828">
        <v>126809</v>
      </c>
      <c r="F90" s="1828">
        <v>0</v>
      </c>
      <c r="G90" s="1828">
        <v>0</v>
      </c>
      <c r="H90" s="1828">
        <v>126809</v>
      </c>
    </row>
    <row r="91" spans="1:8" ht="10.95" customHeight="1">
      <c r="A91" s="1450" t="s">
        <v>2265</v>
      </c>
      <c r="B91" s="1451">
        <v>46112</v>
      </c>
      <c r="C91" s="1451">
        <v>46142</v>
      </c>
      <c r="D91" s="1450" t="s">
        <v>2550</v>
      </c>
      <c r="E91" s="1828">
        <v>1338262.28</v>
      </c>
      <c r="F91" s="1828">
        <v>0</v>
      </c>
      <c r="G91" s="1828">
        <v>0</v>
      </c>
      <c r="H91" s="1828">
        <v>1338262.28</v>
      </c>
    </row>
    <row r="92" spans="1:8" ht="10.95" customHeight="1">
      <c r="A92" s="1450" t="s">
        <v>2265</v>
      </c>
      <c r="B92" s="1451">
        <v>46112</v>
      </c>
      <c r="C92" s="1451">
        <v>46142</v>
      </c>
      <c r="D92" s="1450" t="s">
        <v>2551</v>
      </c>
      <c r="E92" s="1828">
        <v>240640.56</v>
      </c>
      <c r="F92" s="1828">
        <v>0</v>
      </c>
      <c r="G92" s="1828">
        <v>0</v>
      </c>
      <c r="H92" s="1828">
        <v>240640.56</v>
      </c>
    </row>
    <row r="93" spans="1:8" ht="10.95" customHeight="1">
      <c r="A93" s="1450" t="s">
        <v>2552</v>
      </c>
      <c r="B93" s="1451">
        <v>46112</v>
      </c>
      <c r="C93" s="1451">
        <v>46113</v>
      </c>
      <c r="D93" s="1450" t="s">
        <v>2553</v>
      </c>
      <c r="E93" s="1828">
        <v>47000</v>
      </c>
      <c r="F93" s="1828">
        <v>0</v>
      </c>
      <c r="G93" s="1828">
        <v>0</v>
      </c>
      <c r="H93" s="1828">
        <v>47000</v>
      </c>
    </row>
    <row r="94" spans="1:8" ht="10.95" customHeight="1">
      <c r="A94" s="1450" t="s">
        <v>2554</v>
      </c>
      <c r="B94" s="1451">
        <v>46112</v>
      </c>
      <c r="C94" s="1451">
        <v>46113</v>
      </c>
      <c r="D94" s="1450" t="s">
        <v>2555</v>
      </c>
      <c r="E94" s="1828">
        <v>75455.38</v>
      </c>
      <c r="F94" s="1828">
        <v>0</v>
      </c>
      <c r="G94" s="1828">
        <v>0</v>
      </c>
      <c r="H94" s="1828">
        <v>75455.38</v>
      </c>
    </row>
    <row r="95" spans="1:8" ht="10.95" customHeight="1">
      <c r="A95" s="1450" t="s">
        <v>2484</v>
      </c>
      <c r="B95" s="1451">
        <v>46112</v>
      </c>
      <c r="C95" s="1451">
        <v>46113</v>
      </c>
      <c r="D95" s="1450" t="s">
        <v>2556</v>
      </c>
      <c r="E95" s="1828">
        <v>71428.570000000007</v>
      </c>
      <c r="F95" s="1828">
        <v>0</v>
      </c>
      <c r="G95" s="1828">
        <v>0</v>
      </c>
      <c r="H95" s="1828">
        <v>71428.570000000007</v>
      </c>
    </row>
    <row r="96" spans="1:8" ht="10.95" customHeight="1">
      <c r="A96" s="1454" t="s">
        <v>2057</v>
      </c>
      <c r="B96" s="1454"/>
      <c r="C96" s="1454"/>
      <c r="D96" s="1454"/>
      <c r="E96" s="1827">
        <f>SUM(E23:E95)</f>
        <v>11887584.310000002</v>
      </c>
      <c r="F96" s="1827">
        <f>SUM(F23:F95)</f>
        <v>4919798.1100000003</v>
      </c>
      <c r="G96" s="1827">
        <f>SUM(G23:G95)</f>
        <v>0</v>
      </c>
      <c r="H96" s="1827">
        <f>SUM(H23:H95)</f>
        <v>16807382.420000006</v>
      </c>
    </row>
    <row r="97" spans="1:8" ht="13.35" customHeight="1"/>
    <row r="98" spans="1:8" s="1444" customFormat="1" ht="12.15" customHeight="1">
      <c r="A98" s="1445" t="s">
        <v>2557</v>
      </c>
      <c r="B98" s="1445"/>
      <c r="C98" s="1445"/>
      <c r="D98" s="1445"/>
      <c r="E98" s="1830"/>
      <c r="F98" s="1830"/>
      <c r="G98" s="1830"/>
      <c r="H98" s="1830"/>
    </row>
    <row r="99" spans="1:8" ht="10.95" customHeight="1">
      <c r="A99" s="1446" t="s">
        <v>2558</v>
      </c>
      <c r="B99" s="1447">
        <v>46086</v>
      </c>
      <c r="C99" s="1447">
        <v>46109</v>
      </c>
      <c r="D99" s="1446" t="s">
        <v>2559</v>
      </c>
      <c r="E99" s="1829">
        <v>0</v>
      </c>
      <c r="F99" s="1829">
        <v>1387881.97</v>
      </c>
      <c r="G99" s="1829">
        <v>0</v>
      </c>
      <c r="H99" s="1829">
        <v>1387881.97</v>
      </c>
    </row>
    <row r="100" spans="1:8" ht="10.95" customHeight="1">
      <c r="A100" s="1454" t="s">
        <v>2560</v>
      </c>
      <c r="B100" s="1454"/>
      <c r="C100" s="1454"/>
      <c r="D100" s="1454"/>
      <c r="E100" s="1827">
        <f>E99</f>
        <v>0</v>
      </c>
      <c r="F100" s="1827">
        <f>F99</f>
        <v>1387881.97</v>
      </c>
      <c r="G100" s="1827">
        <f>G99</f>
        <v>0</v>
      </c>
      <c r="H100" s="1827">
        <f>H99</f>
        <v>1387881.97</v>
      </c>
    </row>
    <row r="101" spans="1:8" ht="13.35" customHeight="1"/>
    <row r="102" spans="1:8" s="1444" customFormat="1" ht="12.15" customHeight="1">
      <c r="A102" s="1445" t="s">
        <v>2022</v>
      </c>
      <c r="B102" s="1445"/>
      <c r="C102" s="1445"/>
      <c r="D102" s="1445"/>
      <c r="E102" s="1830"/>
      <c r="F102" s="1830"/>
      <c r="G102" s="1830"/>
      <c r="H102" s="1830"/>
    </row>
    <row r="103" spans="1:8" ht="10.95" customHeight="1">
      <c r="A103" s="1446" t="s">
        <v>2023</v>
      </c>
      <c r="B103" s="1447">
        <v>46107</v>
      </c>
      <c r="C103" s="1447">
        <v>46111</v>
      </c>
      <c r="D103" s="1446" t="s">
        <v>2561</v>
      </c>
      <c r="E103" s="1829">
        <v>0</v>
      </c>
      <c r="F103" s="1829">
        <v>506964.3</v>
      </c>
      <c r="G103" s="1829">
        <v>0</v>
      </c>
      <c r="H103" s="1829">
        <v>506964.3</v>
      </c>
    </row>
    <row r="104" spans="1:8" ht="10.95" customHeight="1">
      <c r="A104" s="1454" t="s">
        <v>2024</v>
      </c>
      <c r="B104" s="1454"/>
      <c r="C104" s="1454"/>
      <c r="D104" s="1454"/>
      <c r="E104" s="1827">
        <f>E103</f>
        <v>0</v>
      </c>
      <c r="F104" s="1827">
        <f>F103</f>
        <v>506964.3</v>
      </c>
      <c r="G104" s="1827">
        <f>G103</f>
        <v>0</v>
      </c>
      <c r="H104" s="1827">
        <f>H103</f>
        <v>506964.3</v>
      </c>
    </row>
    <row r="105" spans="1:8" ht="13.35" customHeight="1"/>
    <row r="106" spans="1:8" s="1444" customFormat="1" ht="12.15" customHeight="1">
      <c r="A106" s="1445" t="s">
        <v>1475</v>
      </c>
      <c r="B106" s="1445"/>
      <c r="C106" s="1445"/>
      <c r="D106" s="1445"/>
      <c r="E106" s="1830"/>
      <c r="F106" s="1830"/>
      <c r="G106" s="1830"/>
      <c r="H106" s="1830"/>
    </row>
    <row r="107" spans="1:8" ht="10.95" customHeight="1">
      <c r="A107" s="1446" t="s">
        <v>914</v>
      </c>
      <c r="B107" s="1447">
        <v>46091</v>
      </c>
      <c r="C107" s="1447">
        <v>46107</v>
      </c>
      <c r="D107" s="1446" t="s">
        <v>2562</v>
      </c>
      <c r="E107" s="1829">
        <v>0</v>
      </c>
      <c r="F107" s="1829">
        <v>689912.37</v>
      </c>
      <c r="G107" s="1829">
        <v>0</v>
      </c>
      <c r="H107" s="1829">
        <v>689912.37</v>
      </c>
    </row>
    <row r="108" spans="1:8" ht="10.95" customHeight="1">
      <c r="A108" s="1450" t="s">
        <v>2563</v>
      </c>
      <c r="B108" s="1451">
        <v>46094</v>
      </c>
      <c r="C108" s="1451">
        <v>46107</v>
      </c>
      <c r="D108" s="1450" t="s">
        <v>2564</v>
      </c>
      <c r="E108" s="1828">
        <v>0</v>
      </c>
      <c r="F108" s="1828">
        <v>2162288.1800000002</v>
      </c>
      <c r="G108" s="1828">
        <v>0</v>
      </c>
      <c r="H108" s="1828">
        <v>2162288.1800000002</v>
      </c>
    </row>
    <row r="109" spans="1:8" ht="10.95" customHeight="1">
      <c r="A109" s="1454" t="s">
        <v>1841</v>
      </c>
      <c r="B109" s="1454"/>
      <c r="C109" s="1454"/>
      <c r="D109" s="1454"/>
      <c r="E109" s="1827">
        <f>SUM(E107:E108)</f>
        <v>0</v>
      </c>
      <c r="F109" s="1827">
        <f>SUM(F107:F108)</f>
        <v>2852200.5500000003</v>
      </c>
      <c r="G109" s="1827">
        <f>SUM(G107:G108)</f>
        <v>0</v>
      </c>
      <c r="H109" s="1827">
        <f>SUM(H107:H108)</f>
        <v>2852200.5500000003</v>
      </c>
    </row>
    <row r="110" spans="1:8" ht="13.35" customHeight="1"/>
    <row r="111" spans="1:8" s="1444" customFormat="1" ht="12.15" customHeight="1">
      <c r="A111" s="1445" t="s">
        <v>1847</v>
      </c>
      <c r="B111" s="1445"/>
      <c r="C111" s="1445"/>
      <c r="D111" s="1445"/>
      <c r="E111" s="1830"/>
      <c r="F111" s="1830"/>
      <c r="G111" s="1830"/>
      <c r="H111" s="1830"/>
    </row>
    <row r="112" spans="1:8" ht="10.95" customHeight="1">
      <c r="A112" s="1446" t="s">
        <v>1043</v>
      </c>
      <c r="B112" s="1447">
        <v>46098</v>
      </c>
      <c r="C112" s="1447">
        <v>46112</v>
      </c>
      <c r="D112" s="1446" t="s">
        <v>2565</v>
      </c>
      <c r="E112" s="1829">
        <v>14895.35</v>
      </c>
      <c r="F112" s="1829">
        <v>0</v>
      </c>
      <c r="G112" s="1829">
        <v>0</v>
      </c>
      <c r="H112" s="1829">
        <v>14895.35</v>
      </c>
    </row>
    <row r="113" spans="1:8" ht="10.95" customHeight="1">
      <c r="A113" s="1454" t="s">
        <v>1850</v>
      </c>
      <c r="B113" s="1454"/>
      <c r="C113" s="1454"/>
      <c r="D113" s="1454"/>
      <c r="E113" s="1827">
        <f>E112</f>
        <v>14895.35</v>
      </c>
      <c r="F113" s="1827">
        <f>F112</f>
        <v>0</v>
      </c>
      <c r="G113" s="1827">
        <f>G112</f>
        <v>0</v>
      </c>
      <c r="H113" s="1827">
        <f>H112</f>
        <v>14895.35</v>
      </c>
    </row>
    <row r="114" spans="1:8" ht="13.35" customHeight="1"/>
    <row r="115" spans="1:8" s="1444" customFormat="1" ht="12.15" customHeight="1">
      <c r="A115" s="1445" t="s">
        <v>2160</v>
      </c>
      <c r="B115" s="1445"/>
      <c r="C115" s="1445"/>
      <c r="D115" s="1445"/>
      <c r="E115" s="1830"/>
      <c r="F115" s="1830"/>
      <c r="G115" s="1830"/>
      <c r="H115" s="1830"/>
    </row>
    <row r="116" spans="1:8" ht="10.95" customHeight="1">
      <c r="A116" s="1446" t="s">
        <v>1855</v>
      </c>
      <c r="B116" s="1447">
        <v>46087</v>
      </c>
      <c r="C116" s="1447">
        <v>46117</v>
      </c>
      <c r="D116" s="1446" t="s">
        <v>2566</v>
      </c>
      <c r="E116" s="1829">
        <v>94400</v>
      </c>
      <c r="F116" s="1829">
        <v>0</v>
      </c>
      <c r="G116" s="1829">
        <v>0</v>
      </c>
      <c r="H116" s="1829">
        <v>94400</v>
      </c>
    </row>
    <row r="117" spans="1:8" ht="10.95" customHeight="1">
      <c r="A117" s="1450" t="s">
        <v>1631</v>
      </c>
      <c r="B117" s="1451">
        <v>46092</v>
      </c>
      <c r="C117" s="1451">
        <v>46112</v>
      </c>
      <c r="D117" s="1450" t="s">
        <v>2567</v>
      </c>
      <c r="E117" s="1828">
        <v>73042</v>
      </c>
      <c r="F117" s="1828">
        <v>0</v>
      </c>
      <c r="G117" s="1828">
        <v>0</v>
      </c>
      <c r="H117" s="1828">
        <v>73042</v>
      </c>
    </row>
    <row r="118" spans="1:8" ht="10.95" customHeight="1">
      <c r="A118" s="1454" t="s">
        <v>2164</v>
      </c>
      <c r="B118" s="1454"/>
      <c r="C118" s="1454"/>
      <c r="D118" s="1454"/>
      <c r="E118" s="1827">
        <f>SUM(E116:E117)</f>
        <v>167442</v>
      </c>
      <c r="F118" s="1827">
        <f>SUM(F116:F117)</f>
        <v>0</v>
      </c>
      <c r="G118" s="1827">
        <f>SUM(G116:G117)</f>
        <v>0</v>
      </c>
      <c r="H118" s="1827">
        <f>SUM(H116:H117)</f>
        <v>167442</v>
      </c>
    </row>
    <row r="119" spans="1:8" ht="13.35" customHeight="1"/>
    <row r="120" spans="1:8" s="1444" customFormat="1" ht="12.15" customHeight="1">
      <c r="A120" s="1445" t="s">
        <v>2031</v>
      </c>
      <c r="B120" s="1445"/>
      <c r="C120" s="1445"/>
      <c r="D120" s="1445"/>
      <c r="E120" s="1830"/>
      <c r="F120" s="1830"/>
      <c r="G120" s="1830"/>
      <c r="H120" s="1830"/>
    </row>
    <row r="121" spans="1:8" ht="10.95" customHeight="1">
      <c r="A121" s="1446" t="s">
        <v>2228</v>
      </c>
      <c r="B121" s="1447">
        <v>46098</v>
      </c>
      <c r="C121" s="1447">
        <v>46128</v>
      </c>
      <c r="D121" s="1446" t="s">
        <v>2568</v>
      </c>
      <c r="E121" s="1829">
        <v>88269.5</v>
      </c>
      <c r="F121" s="1829">
        <v>0</v>
      </c>
      <c r="G121" s="1829">
        <v>0</v>
      </c>
      <c r="H121" s="1829">
        <v>88269.5</v>
      </c>
    </row>
    <row r="122" spans="1:8" ht="10.95" customHeight="1">
      <c r="A122" s="1454" t="s">
        <v>2032</v>
      </c>
      <c r="B122" s="1454"/>
      <c r="C122" s="1454"/>
      <c r="D122" s="1454"/>
      <c r="E122" s="1827">
        <f>E121</f>
        <v>88269.5</v>
      </c>
      <c r="F122" s="1827">
        <f>F121</f>
        <v>0</v>
      </c>
      <c r="G122" s="1827">
        <f>G121</f>
        <v>0</v>
      </c>
      <c r="H122" s="1827">
        <f>H121</f>
        <v>88269.5</v>
      </c>
    </row>
    <row r="123" spans="1:8" ht="13.35" customHeight="1"/>
    <row r="124" spans="1:8" s="1444" customFormat="1" ht="12.15" customHeight="1">
      <c r="A124" s="1445" t="s">
        <v>2167</v>
      </c>
      <c r="B124" s="1445"/>
      <c r="C124" s="1445"/>
      <c r="D124" s="1445"/>
      <c r="E124" s="1830"/>
      <c r="F124" s="1830"/>
      <c r="G124" s="1830"/>
      <c r="H124" s="1830"/>
    </row>
    <row r="125" spans="1:8" ht="10.95" customHeight="1">
      <c r="A125" s="1446" t="s">
        <v>914</v>
      </c>
      <c r="B125" s="1447">
        <v>46100</v>
      </c>
      <c r="C125" s="1447">
        <v>46100</v>
      </c>
      <c r="D125" s="1446" t="s">
        <v>2569</v>
      </c>
      <c r="E125" s="1829">
        <v>0</v>
      </c>
      <c r="F125" s="1829">
        <v>395890</v>
      </c>
      <c r="G125" s="1829">
        <v>0</v>
      </c>
      <c r="H125" s="1829">
        <v>395890</v>
      </c>
    </row>
    <row r="126" spans="1:8" ht="10.95" customHeight="1">
      <c r="A126" s="1454" t="s">
        <v>2171</v>
      </c>
      <c r="B126" s="1454"/>
      <c r="C126" s="1454"/>
      <c r="D126" s="1454"/>
      <c r="E126" s="1827">
        <f>E125</f>
        <v>0</v>
      </c>
      <c r="F126" s="1827">
        <f>F125</f>
        <v>395890</v>
      </c>
      <c r="G126" s="1827">
        <f>G125</f>
        <v>0</v>
      </c>
      <c r="H126" s="1827">
        <f>H125</f>
        <v>395890</v>
      </c>
    </row>
    <row r="127" spans="1:8" ht="13.35" customHeight="1"/>
    <row r="128" spans="1:8" s="1444" customFormat="1" ht="12.15" customHeight="1">
      <c r="A128" s="1445" t="s">
        <v>2430</v>
      </c>
      <c r="B128" s="1445"/>
      <c r="C128" s="1445"/>
      <c r="D128" s="1445"/>
      <c r="E128" s="1830"/>
      <c r="F128" s="1830"/>
      <c r="G128" s="1830"/>
      <c r="H128" s="1830"/>
    </row>
    <row r="129" spans="1:8" ht="10.95" customHeight="1">
      <c r="A129" s="1446" t="s">
        <v>2431</v>
      </c>
      <c r="B129" s="1447">
        <v>46063</v>
      </c>
      <c r="C129" s="1447">
        <v>46120</v>
      </c>
      <c r="D129" s="1446" t="s">
        <v>2432</v>
      </c>
      <c r="E129" s="1829">
        <v>107004.11</v>
      </c>
      <c r="F129" s="1829">
        <v>0</v>
      </c>
      <c r="G129" s="1829">
        <v>0</v>
      </c>
      <c r="H129" s="1829">
        <v>107004.11</v>
      </c>
    </row>
    <row r="130" spans="1:8" ht="10.95" customHeight="1">
      <c r="A130" s="1454" t="s">
        <v>2355</v>
      </c>
      <c r="B130" s="1454"/>
      <c r="C130" s="1454"/>
      <c r="D130" s="1454"/>
      <c r="E130" s="1827">
        <f>E129</f>
        <v>107004.11</v>
      </c>
      <c r="F130" s="1827">
        <f>F129</f>
        <v>0</v>
      </c>
      <c r="G130" s="1827">
        <f>G129</f>
        <v>0</v>
      </c>
      <c r="H130" s="1827">
        <f>H129</f>
        <v>107004.11</v>
      </c>
    </row>
    <row r="131" spans="1:8" ht="13.35" customHeight="1"/>
    <row r="132" spans="1:8" s="1444" customFormat="1" ht="12.15" customHeight="1">
      <c r="A132" s="1445" t="s">
        <v>919</v>
      </c>
      <c r="B132" s="1445"/>
      <c r="C132" s="1445"/>
      <c r="D132" s="1445"/>
      <c r="E132" s="1830"/>
      <c r="F132" s="1830"/>
      <c r="G132" s="1830"/>
      <c r="H132" s="1830"/>
    </row>
    <row r="133" spans="1:8" ht="10.95" customHeight="1">
      <c r="A133" s="1446" t="s">
        <v>2570</v>
      </c>
      <c r="B133" s="1447">
        <v>46100</v>
      </c>
      <c r="C133" s="1447">
        <v>46112</v>
      </c>
      <c r="D133" s="1446" t="s">
        <v>2571</v>
      </c>
      <c r="E133" s="1829">
        <v>4755</v>
      </c>
      <c r="F133" s="1829">
        <v>0</v>
      </c>
      <c r="G133" s="1829">
        <v>0</v>
      </c>
      <c r="H133" s="1829">
        <v>4755</v>
      </c>
    </row>
    <row r="134" spans="1:8" ht="10.95" customHeight="1">
      <c r="A134" s="1450" t="s">
        <v>2572</v>
      </c>
      <c r="B134" s="1451">
        <v>46112</v>
      </c>
      <c r="C134" s="1451">
        <v>46112</v>
      </c>
      <c r="D134" s="1450" t="s">
        <v>2573</v>
      </c>
      <c r="E134" s="1828">
        <v>111300.56</v>
      </c>
      <c r="F134" s="1828">
        <v>0</v>
      </c>
      <c r="G134" s="1828">
        <v>0</v>
      </c>
      <c r="H134" s="1828">
        <v>111300.56</v>
      </c>
    </row>
    <row r="135" spans="1:8" ht="10.95" customHeight="1">
      <c r="A135" s="1454" t="s">
        <v>1864</v>
      </c>
      <c r="B135" s="1454"/>
      <c r="C135" s="1454"/>
      <c r="D135" s="1454"/>
      <c r="E135" s="1827">
        <f>SUM(E133:E134)</f>
        <v>116055.56</v>
      </c>
      <c r="F135" s="1827">
        <f>SUM(F133:F134)</f>
        <v>0</v>
      </c>
      <c r="G135" s="1827">
        <f>SUM(G133:G134)</f>
        <v>0</v>
      </c>
      <c r="H135" s="1827">
        <f>SUM(H133:H134)</f>
        <v>116055.56</v>
      </c>
    </row>
    <row r="136" spans="1:8" ht="13.35" customHeight="1"/>
    <row r="137" spans="1:8" ht="10.95" customHeight="1">
      <c r="A137" s="1461" t="s">
        <v>164</v>
      </c>
      <c r="B137" s="1461"/>
      <c r="C137" s="1461"/>
      <c r="D137" s="1461"/>
      <c r="E137" s="1826">
        <f>SUM(E20,E96,E100,E104,E109,E113,E118,E122,E126,E130,E135)</f>
        <v>12833196.000000002</v>
      </c>
      <c r="F137" s="1826">
        <f>SUM(F20,F96,F100,F104,F109,F113,F118,F122,F126,F130,F135)</f>
        <v>10324046.75</v>
      </c>
      <c r="G137" s="1826">
        <f>SUM(G20,G96,G100,G104,G109,G113,G118,G122,G126,G130,G135)</f>
        <v>0</v>
      </c>
      <c r="H137" s="1826">
        <f>SUM(H20,H96,H100,H104,H109,H113,H118,H122,H126,H130,H135)</f>
        <v>23157242.750000004</v>
      </c>
    </row>
    <row r="138" spans="1:8" ht="13.35" customHeight="1">
      <c r="H138" s="1825"/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F551F-A972-4F83-9056-61CBC66C04DE}">
  <dimension ref="A1:I21"/>
  <sheetViews>
    <sheetView showGridLines="0" zoomScaleNormal="100" workbookViewId="0">
      <selection activeCell="L13" sqref="L13"/>
    </sheetView>
  </sheetViews>
  <sheetFormatPr baseColWidth="10" defaultColWidth="8" defaultRowHeight="11.4"/>
  <cols>
    <col min="1" max="1" width="37.6640625" style="1440" customWidth="1"/>
    <col min="2" max="2" width="11" style="1440" bestFit="1" customWidth="1"/>
    <col min="3" max="3" width="10.6640625" style="1440" bestFit="1" customWidth="1"/>
    <col min="4" max="4" width="8" style="1440" bestFit="1" customWidth="1"/>
    <col min="5" max="6" width="9" style="1440" bestFit="1" customWidth="1"/>
    <col min="7" max="7" width="5.6640625" style="1440" bestFit="1" customWidth="1"/>
    <col min="8" max="8" width="11" style="1440" bestFit="1" customWidth="1"/>
    <col min="9" max="9" width="10.33203125" style="1641" bestFit="1" customWidth="1"/>
    <col min="10" max="16384" width="8" style="1440"/>
  </cols>
  <sheetData>
    <row r="1" spans="1:9" s="1437" customFormat="1" ht="16.649999999999999" customHeight="1">
      <c r="A1" s="1436" t="s">
        <v>771</v>
      </c>
      <c r="B1" s="1436"/>
      <c r="C1" s="1436"/>
      <c r="D1" s="1436"/>
      <c r="E1" s="1436"/>
      <c r="F1" s="1436"/>
      <c r="G1" s="1436"/>
      <c r="H1" s="1436"/>
      <c r="I1" s="1877"/>
    </row>
    <row r="2" spans="1:9" s="1439" customFormat="1" ht="14.4" customHeight="1">
      <c r="A2" s="1438" t="s">
        <v>236</v>
      </c>
      <c r="B2" s="1438"/>
      <c r="C2" s="1438"/>
      <c r="D2" s="1438"/>
      <c r="E2" s="1438"/>
      <c r="F2" s="1438"/>
      <c r="G2" s="1438"/>
      <c r="H2" s="1438"/>
      <c r="I2" s="1878"/>
    </row>
    <row r="3" spans="1:9" s="1439" customFormat="1" ht="14.4" customHeight="1">
      <c r="A3" s="1438" t="s">
        <v>2481</v>
      </c>
      <c r="B3" s="1438"/>
      <c r="C3" s="1438"/>
      <c r="D3" s="1438"/>
      <c r="E3" s="1438"/>
      <c r="F3" s="1438"/>
      <c r="G3" s="1438"/>
      <c r="H3" s="1438"/>
      <c r="I3" s="1878"/>
    </row>
    <row r="4" spans="1:9" s="1439" customFormat="1" ht="14.4" customHeight="1">
      <c r="A4" s="1438" t="s">
        <v>724</v>
      </c>
      <c r="B4" s="1438"/>
      <c r="C4" s="1438"/>
      <c r="D4" s="1438"/>
      <c r="E4" s="1438"/>
      <c r="F4" s="1438"/>
      <c r="G4" s="1438"/>
      <c r="H4" s="1438"/>
      <c r="I4" s="1878"/>
    </row>
    <row r="5" spans="1:9" ht="13.35" customHeight="1" thickBot="1"/>
    <row r="6" spans="1:9" s="1444" customFormat="1" ht="12.15" customHeight="1">
      <c r="A6" s="1609" t="s">
        <v>862</v>
      </c>
      <c r="B6" s="1610" t="s">
        <v>861</v>
      </c>
      <c r="C6" s="1610" t="s">
        <v>824</v>
      </c>
      <c r="D6" s="1610" t="s">
        <v>825</v>
      </c>
      <c r="E6" s="1610" t="s">
        <v>826</v>
      </c>
      <c r="F6" s="1610" t="s">
        <v>827</v>
      </c>
      <c r="G6" s="1610" t="s">
        <v>828</v>
      </c>
      <c r="H6" s="1610" t="s">
        <v>164</v>
      </c>
      <c r="I6" s="1879" t="s">
        <v>2435</v>
      </c>
    </row>
    <row r="7" spans="1:9" ht="10.95" customHeight="1">
      <c r="A7" s="1726" t="s">
        <v>1025</v>
      </c>
      <c r="B7" s="1737">
        <v>451945.17</v>
      </c>
      <c r="C7" s="1737">
        <v>261311.81999999998</v>
      </c>
      <c r="D7" s="1737">
        <v>0</v>
      </c>
      <c r="E7" s="1737">
        <v>0</v>
      </c>
      <c r="F7" s="1737">
        <v>0</v>
      </c>
      <c r="G7" s="1737">
        <v>0</v>
      </c>
      <c r="H7" s="1737">
        <v>713256.98999999987</v>
      </c>
      <c r="I7" s="1880">
        <f>+H7/$H$19</f>
        <v>3.080060081850633E-2</v>
      </c>
    </row>
    <row r="8" spans="1:9" ht="10.95" customHeight="1">
      <c r="A8" s="1611" t="s">
        <v>1795</v>
      </c>
      <c r="B8" s="1736">
        <v>11887584.310000002</v>
      </c>
      <c r="C8" s="1736">
        <v>4919798.1100000003</v>
      </c>
      <c r="D8" s="1736">
        <v>0</v>
      </c>
      <c r="E8" s="1736">
        <v>0</v>
      </c>
      <c r="F8" s="1736">
        <v>0</v>
      </c>
      <c r="G8" s="1736">
        <v>0</v>
      </c>
      <c r="H8" s="1736">
        <v>16807382.420000006</v>
      </c>
      <c r="I8" s="1881">
        <f t="shared" ref="I8:I17" si="0">+H8/$H$19</f>
        <v>0.72579376575391308</v>
      </c>
    </row>
    <row r="9" spans="1:9" ht="10.95" customHeight="1">
      <c r="A9" s="1611" t="s">
        <v>2190</v>
      </c>
      <c r="B9" s="1736">
        <v>0</v>
      </c>
      <c r="C9" s="1736">
        <v>1387881.97</v>
      </c>
      <c r="D9" s="1736">
        <v>0</v>
      </c>
      <c r="E9" s="1736">
        <v>0</v>
      </c>
      <c r="F9" s="1736">
        <v>0</v>
      </c>
      <c r="G9" s="1736">
        <v>0</v>
      </c>
      <c r="H9" s="1736">
        <v>1387881.97</v>
      </c>
      <c r="I9" s="1881">
        <f t="shared" si="0"/>
        <v>5.9932954237395114E-2</v>
      </c>
    </row>
    <row r="10" spans="1:9" ht="10.95" customHeight="1">
      <c r="A10" s="1611" t="s">
        <v>2235</v>
      </c>
      <c r="B10" s="1736">
        <v>0</v>
      </c>
      <c r="C10" s="1736">
        <v>506964.3</v>
      </c>
      <c r="D10" s="1736">
        <v>0</v>
      </c>
      <c r="E10" s="1736">
        <v>0</v>
      </c>
      <c r="F10" s="1736">
        <v>0</v>
      </c>
      <c r="G10" s="1736">
        <v>0</v>
      </c>
      <c r="H10" s="1736">
        <v>506964.3</v>
      </c>
      <c r="I10" s="1881">
        <f t="shared" si="0"/>
        <v>2.1892256581366964E-2</v>
      </c>
    </row>
    <row r="11" spans="1:9" ht="10.95" customHeight="1">
      <c r="A11" s="1611" t="s">
        <v>1610</v>
      </c>
      <c r="B11" s="1736">
        <v>0</v>
      </c>
      <c r="C11" s="1736">
        <v>2852200.55</v>
      </c>
      <c r="D11" s="1736">
        <v>0</v>
      </c>
      <c r="E11" s="1736">
        <v>0</v>
      </c>
      <c r="F11" s="1736">
        <v>0</v>
      </c>
      <c r="G11" s="1736">
        <v>0</v>
      </c>
      <c r="H11" s="1736">
        <v>2852200.55</v>
      </c>
      <c r="I11" s="1881">
        <f t="shared" si="0"/>
        <v>0.12316667319989982</v>
      </c>
    </row>
    <row r="12" spans="1:9" ht="10.95" customHeight="1">
      <c r="A12" s="1611" t="s">
        <v>1757</v>
      </c>
      <c r="B12" s="1736">
        <v>0</v>
      </c>
      <c r="C12" s="1736">
        <v>14895.35</v>
      </c>
      <c r="D12" s="1736">
        <v>0</v>
      </c>
      <c r="E12" s="1736">
        <v>0</v>
      </c>
      <c r="F12" s="1736">
        <v>0</v>
      </c>
      <c r="G12" s="1736">
        <v>0</v>
      </c>
      <c r="H12" s="1736">
        <v>14895.35</v>
      </c>
      <c r="I12" s="1881">
        <f t="shared" si="0"/>
        <v>6.4322640483612838E-4</v>
      </c>
    </row>
    <row r="13" spans="1:9" ht="10.95" customHeight="1">
      <c r="A13" s="1611" t="s">
        <v>2191</v>
      </c>
      <c r="B13" s="1736">
        <v>94400</v>
      </c>
      <c r="C13" s="1736">
        <v>73042</v>
      </c>
      <c r="D13" s="1736">
        <v>0</v>
      </c>
      <c r="E13" s="1736">
        <v>0</v>
      </c>
      <c r="F13" s="1736">
        <v>0</v>
      </c>
      <c r="G13" s="1736">
        <v>0</v>
      </c>
      <c r="H13" s="1736">
        <v>167442</v>
      </c>
      <c r="I13" s="1881">
        <f t="shared" si="0"/>
        <v>7.2306535716563222E-3</v>
      </c>
    </row>
    <row r="14" spans="1:9" ht="10.95" customHeight="1">
      <c r="A14" s="1611" t="s">
        <v>2073</v>
      </c>
      <c r="B14" s="1736">
        <v>88269.5</v>
      </c>
      <c r="C14" s="1736">
        <v>0</v>
      </c>
      <c r="D14" s="1736">
        <v>0</v>
      </c>
      <c r="E14" s="1736">
        <v>0</v>
      </c>
      <c r="F14" s="1736">
        <v>0</v>
      </c>
      <c r="G14" s="1736">
        <v>0</v>
      </c>
      <c r="H14" s="1736">
        <v>88269.5</v>
      </c>
      <c r="I14" s="1881">
        <f t="shared" si="0"/>
        <v>3.8117448157769123E-3</v>
      </c>
    </row>
    <row r="15" spans="1:9" ht="10.95" customHeight="1">
      <c r="A15" s="1611" t="s">
        <v>2074</v>
      </c>
      <c r="B15" s="1736">
        <v>0</v>
      </c>
      <c r="C15" s="1736">
        <v>395890</v>
      </c>
      <c r="D15" s="1736">
        <v>0</v>
      </c>
      <c r="E15" s="1736">
        <v>0</v>
      </c>
      <c r="F15" s="1736">
        <v>0</v>
      </c>
      <c r="G15" s="1736">
        <v>0</v>
      </c>
      <c r="H15" s="1736">
        <v>395890</v>
      </c>
      <c r="I15" s="1881">
        <f t="shared" si="0"/>
        <v>1.7095731312830841E-2</v>
      </c>
    </row>
    <row r="16" spans="1:9" ht="10.95" customHeight="1">
      <c r="A16" s="1611" t="s">
        <v>2075</v>
      </c>
      <c r="B16" s="1736">
        <v>107004.11</v>
      </c>
      <c r="C16" s="1736">
        <v>0</v>
      </c>
      <c r="D16" s="1736">
        <v>0</v>
      </c>
      <c r="E16" s="1736">
        <v>0</v>
      </c>
      <c r="F16" s="1736">
        <v>0</v>
      </c>
      <c r="G16" s="1736">
        <v>0</v>
      </c>
      <c r="H16" s="1736">
        <v>107004.11</v>
      </c>
      <c r="I16" s="1881">
        <f t="shared" si="0"/>
        <v>4.6207621155588564E-3</v>
      </c>
    </row>
    <row r="17" spans="1:9" ht="10.95" customHeight="1">
      <c r="A17" s="1611" t="s">
        <v>860</v>
      </c>
      <c r="B17" s="1736">
        <v>0</v>
      </c>
      <c r="C17" s="1736">
        <v>116055.56</v>
      </c>
      <c r="D17" s="1736">
        <v>0</v>
      </c>
      <c r="E17" s="1736">
        <v>0</v>
      </c>
      <c r="F17" s="1736">
        <v>0</v>
      </c>
      <c r="G17" s="1736">
        <v>0</v>
      </c>
      <c r="H17" s="1736">
        <v>116055.56</v>
      </c>
      <c r="I17" s="1881">
        <f t="shared" si="0"/>
        <v>5.0116311882596638E-3</v>
      </c>
    </row>
    <row r="18" spans="1:9" ht="13.35" customHeight="1">
      <c r="A18" s="1491"/>
      <c r="B18" s="1836"/>
      <c r="C18" s="1836"/>
      <c r="D18" s="1836"/>
      <c r="E18" s="1836"/>
      <c r="F18" s="1836"/>
      <c r="G18" s="1836"/>
      <c r="H18" s="1836"/>
      <c r="I18" s="1882"/>
    </row>
    <row r="19" spans="1:9" ht="10.95" customHeight="1">
      <c r="A19" s="1607" t="s">
        <v>164</v>
      </c>
      <c r="B19" s="1835">
        <f t="shared" ref="B19:I19" si="1">SUM(B7:B17)</f>
        <v>12629203.090000002</v>
      </c>
      <c r="C19" s="1835">
        <f t="shared" si="1"/>
        <v>10528039.66</v>
      </c>
      <c r="D19" s="1835">
        <f t="shared" si="1"/>
        <v>0</v>
      </c>
      <c r="E19" s="1835">
        <f t="shared" si="1"/>
        <v>0</v>
      </c>
      <c r="F19" s="1835">
        <f t="shared" si="1"/>
        <v>0</v>
      </c>
      <c r="G19" s="1835">
        <f t="shared" si="1"/>
        <v>0</v>
      </c>
      <c r="H19" s="1835">
        <f t="shared" si="1"/>
        <v>23157242.750000004</v>
      </c>
      <c r="I19" s="1885">
        <f t="shared" si="1"/>
        <v>1</v>
      </c>
    </row>
    <row r="20" spans="1:9" ht="13.35" customHeight="1">
      <c r="A20" s="1491"/>
      <c r="I20" s="1883"/>
    </row>
    <row r="21" spans="1:9" ht="10.95" customHeight="1" thickBot="1">
      <c r="A21" s="1608" t="s">
        <v>732</v>
      </c>
      <c r="B21" s="1834">
        <f>(SUM(B7:B17) / SUM(B7:G7,B8:G8,B9:G9,B10:G10,B11:G11,B12:G12,B13:G13,B14:G14,B15:G15,B16:G16,B17:G17))</f>
        <v>0.54536730587237114</v>
      </c>
      <c r="C21" s="1834">
        <f>(SUM(C7:C17) / SUM(B7:G7,B8:G8,B9:G9,B10:G10,B11:G11,B12:G12,B13:G13,B14:G14,B15:G15,B16:G16,B17:G17))</f>
        <v>0.45463269412762874</v>
      </c>
      <c r="D21" s="1834">
        <f>(SUM(D7:D17) / SUM(B7:G7,B8:G8,B9:G9,B10:G10,B11:G11,B12:G12,B13:G13,B14:G14,B15:G15,B16:G16,B17:G17))</f>
        <v>0</v>
      </c>
      <c r="E21" s="1834">
        <f>(SUM(E7:E17) / SUM(B7:G7,B8:G8,B9:G9,B10:G10,B11:G11,B12:G12,B13:G13,B14:G14,B15:G15,B16:G16,B17:G17))</f>
        <v>0</v>
      </c>
      <c r="F21" s="1834">
        <f>(SUM(F7:F17) / SUM(B7:G7,B8:G8,B9:G9,B10:G10,B11:G11,B12:G12,B13:G13,B14:G14,B15:G15,B16:G16,B17:G17))</f>
        <v>0</v>
      </c>
      <c r="G21" s="1834">
        <f>(SUM(G7:G17) / SUM(B7:G7,B8:G8,B9:G9,B10:G10,B11:G11,B12:G12,B13:G13,B14:G14,B15:G15,B16:G16,B17:G17))</f>
        <v>0</v>
      </c>
      <c r="H21" s="1834">
        <f>(SUM(H7:H17) / SUM(H7:H17))</f>
        <v>1</v>
      </c>
      <c r="I21" s="1884"/>
    </row>
  </sheetData>
  <pageMargins left="0.7" right="0.7" top="0.75" bottom="0.75" header="0.3" footer="0.3"/>
  <pageSetup paperSize="9" fitToWidth="0" fitToHeight="0" orientation="portrait" horizontalDpi="0" verticalDpi="0"/>
  <ignoredErrors>
    <ignoredError sqref="B21:G21" formulaRange="1"/>
  </ignoredErrors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F7020-5A21-4A47-88B2-9424B27ADCB3}">
  <sheetPr>
    <pageSetUpPr fitToPage="1"/>
  </sheetPr>
  <dimension ref="A1:E15"/>
  <sheetViews>
    <sheetView showGridLines="0" zoomScaleNormal="100" workbookViewId="0">
      <selection activeCell="I9" sqref="I9"/>
    </sheetView>
  </sheetViews>
  <sheetFormatPr baseColWidth="10" defaultColWidth="8" defaultRowHeight="11.4"/>
  <cols>
    <col min="1" max="1" width="20.6640625" style="408" customWidth="1"/>
    <col min="2" max="2" width="14.109375" style="408" bestFit="1" customWidth="1"/>
    <col min="3" max="3" width="52.33203125" style="528" bestFit="1" customWidth="1"/>
    <col min="4" max="4" width="32.33203125" style="408" customWidth="1"/>
    <col min="5" max="5" width="10" style="408" bestFit="1" customWidth="1"/>
    <col min="6" max="7" width="9.33203125" style="408" bestFit="1" customWidth="1"/>
    <col min="8" max="16384" width="8" style="408"/>
  </cols>
  <sheetData>
    <row r="1" spans="1:5" s="405" customFormat="1" ht="17.399999999999999">
      <c r="A1" s="2173" t="s">
        <v>1865</v>
      </c>
      <c r="B1" s="2173"/>
      <c r="C1" s="2173"/>
      <c r="D1" s="2173"/>
      <c r="E1" s="2173"/>
    </row>
    <row r="2" spans="1:5" s="407" customFormat="1" ht="15">
      <c r="A2" s="2151" t="s">
        <v>236</v>
      </c>
      <c r="B2" s="2151"/>
      <c r="C2" s="2151"/>
      <c r="D2" s="2152"/>
      <c r="E2" s="2151"/>
    </row>
    <row r="4" spans="1:5" s="412" customFormat="1" ht="13.2">
      <c r="A4" s="410" t="s">
        <v>1485</v>
      </c>
      <c r="B4" s="410" t="s">
        <v>1867</v>
      </c>
      <c r="C4" s="529" t="s">
        <v>817</v>
      </c>
      <c r="D4" s="410" t="s">
        <v>691</v>
      </c>
      <c r="E4" s="411" t="s">
        <v>1869</v>
      </c>
    </row>
    <row r="6" spans="1:5" ht="13.2">
      <c r="A6" s="1988" t="s">
        <v>2043</v>
      </c>
      <c r="B6" s="409"/>
      <c r="C6" s="530"/>
      <c r="D6" s="409"/>
      <c r="E6" s="409"/>
    </row>
    <row r="7" spans="1:5">
      <c r="A7" s="430">
        <v>45731</v>
      </c>
      <c r="B7" s="414" t="s">
        <v>1870</v>
      </c>
      <c r="C7" s="414" t="s">
        <v>2044</v>
      </c>
      <c r="D7" s="414" t="s">
        <v>1318</v>
      </c>
      <c r="E7" s="415">
        <v>826</v>
      </c>
    </row>
    <row r="8" spans="1:5" ht="12">
      <c r="A8" s="416" t="s">
        <v>2049</v>
      </c>
      <c r="B8" s="416"/>
      <c r="C8" s="532"/>
      <c r="D8" s="416"/>
      <c r="E8" s="417">
        <f>SUM(E7:E7)</f>
        <v>826</v>
      </c>
    </row>
    <row r="10" spans="1:5" ht="13.2">
      <c r="A10" s="1988" t="s">
        <v>860</v>
      </c>
      <c r="B10" s="409"/>
      <c r="C10" s="530"/>
      <c r="D10" s="409"/>
      <c r="E10" s="409"/>
    </row>
    <row r="11" spans="1:5">
      <c r="A11" s="430">
        <v>46042</v>
      </c>
      <c r="B11" s="414" t="s">
        <v>1870</v>
      </c>
      <c r="C11" s="414" t="s">
        <v>2312</v>
      </c>
      <c r="D11" s="414" t="s">
        <v>2260</v>
      </c>
      <c r="E11" s="415">
        <v>8500</v>
      </c>
    </row>
    <row r="12" spans="1:5">
      <c r="A12" s="430">
        <v>46073</v>
      </c>
      <c r="B12" s="414" t="s">
        <v>1870</v>
      </c>
      <c r="C12" s="414" t="s">
        <v>2312</v>
      </c>
      <c r="D12" s="414" t="s">
        <v>2436</v>
      </c>
      <c r="E12" s="415">
        <v>47500</v>
      </c>
    </row>
    <row r="13" spans="1:5" ht="12">
      <c r="A13" s="416" t="s">
        <v>1890</v>
      </c>
      <c r="B13" s="416"/>
      <c r="C13" s="532"/>
      <c r="D13" s="416"/>
      <c r="E13" s="417">
        <f>SUM(E11:E12)</f>
        <v>56000</v>
      </c>
    </row>
    <row r="14" spans="1:5" ht="12">
      <c r="A14" s="413"/>
      <c r="B14" s="413"/>
      <c r="C14" s="1567"/>
      <c r="D14" s="413"/>
      <c r="E14" s="428"/>
    </row>
    <row r="15" spans="1:5" ht="12">
      <c r="A15" s="419" t="s">
        <v>164</v>
      </c>
      <c r="B15" s="419"/>
      <c r="C15" s="534"/>
      <c r="D15" s="419"/>
      <c r="E15" s="420">
        <f>+E8+E13</f>
        <v>56826</v>
      </c>
    </row>
  </sheetData>
  <mergeCells count="2">
    <mergeCell ref="A1:E1"/>
    <mergeCell ref="A2:E2"/>
  </mergeCells>
  <pageMargins left="0.7" right="0.7" top="0.75" bottom="0.75" header="0.3" footer="0.3"/>
  <pageSetup scale="75" orientation="portrait" r:id="rId1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5D9F5-FEA3-4F34-AA9E-18CC01F3DD60}">
  <dimension ref="A1:F21"/>
  <sheetViews>
    <sheetView workbookViewId="0">
      <selection activeCell="E8" sqref="E8"/>
    </sheetView>
  </sheetViews>
  <sheetFormatPr baseColWidth="10" defaultColWidth="11.44140625" defaultRowHeight="14.4"/>
  <cols>
    <col min="1" max="1" width="38.6640625" bestFit="1" customWidth="1"/>
    <col min="2" max="2" width="19.109375" style="730" bestFit="1" customWidth="1"/>
    <col min="3" max="3" width="17.44140625" style="730" bestFit="1" customWidth="1"/>
    <col min="4" max="4" width="18.109375" style="730" customWidth="1"/>
    <col min="5" max="5" width="12.44140625" bestFit="1" customWidth="1"/>
    <col min="6" max="6" width="9.109375" bestFit="1" customWidth="1"/>
    <col min="7" max="7" width="13.109375" bestFit="1" customWidth="1"/>
  </cols>
  <sheetData>
    <row r="1" spans="1:5" s="546" customFormat="1" ht="29.4" customHeight="1">
      <c r="A1" s="1652" t="s">
        <v>2313</v>
      </c>
      <c r="B1" s="1653" t="s">
        <v>849</v>
      </c>
      <c r="C1" s="1653" t="s">
        <v>850</v>
      </c>
      <c r="D1" s="1653" t="s">
        <v>851</v>
      </c>
    </row>
    <row r="2" spans="1:5" ht="15">
      <c r="A2" s="1651" t="s">
        <v>2314</v>
      </c>
      <c r="B2" s="731">
        <v>106933000</v>
      </c>
      <c r="C2" s="731">
        <v>264445080.16</v>
      </c>
      <c r="D2" s="731">
        <v>264445081.16</v>
      </c>
    </row>
    <row r="3" spans="1:5" ht="15">
      <c r="A3" s="1650" t="s">
        <v>2315</v>
      </c>
      <c r="B3" s="730">
        <v>25000000</v>
      </c>
      <c r="C3" s="730">
        <v>24431389.440000001</v>
      </c>
      <c r="D3" s="730">
        <v>24431389.440000001</v>
      </c>
    </row>
    <row r="4" spans="1:5" ht="15">
      <c r="A4" s="1699" t="s">
        <v>2316</v>
      </c>
      <c r="B4" s="1700">
        <v>469787395.50999999</v>
      </c>
      <c r="C4" s="1700">
        <v>41171518.149999999</v>
      </c>
      <c r="D4" s="1700">
        <v>38528607.869999997</v>
      </c>
      <c r="E4" s="2174">
        <f>+D4+D5</f>
        <v>71784525.140000001</v>
      </c>
    </row>
    <row r="5" spans="1:5" ht="15">
      <c r="A5" s="1699" t="s">
        <v>2317</v>
      </c>
      <c r="B5" s="1700">
        <v>1517615075.75</v>
      </c>
      <c r="C5" s="1700">
        <v>120865656.48999999</v>
      </c>
      <c r="D5" s="1700">
        <v>33255917.27</v>
      </c>
      <c r="E5" s="2150"/>
    </row>
    <row r="6" spans="1:5" ht="15">
      <c r="A6" s="1650" t="s">
        <v>2318</v>
      </c>
      <c r="B6" s="730">
        <v>198740247.96000001</v>
      </c>
      <c r="C6" s="730">
        <v>42580702.560000002</v>
      </c>
      <c r="D6" s="730">
        <v>33230051.390000001</v>
      </c>
    </row>
    <row r="7" spans="1:5" ht="15">
      <c r="A7" s="1650" t="s">
        <v>2319</v>
      </c>
      <c r="B7" s="730">
        <v>47896399.740000002</v>
      </c>
      <c r="C7" s="730">
        <v>26336863.059999999</v>
      </c>
      <c r="D7" s="730">
        <v>6107761.2599999998</v>
      </c>
    </row>
    <row r="8" spans="1:5" ht="15">
      <c r="A8" s="1650" t="s">
        <v>2320</v>
      </c>
      <c r="B8" s="730">
        <v>39748049.590000004</v>
      </c>
      <c r="C8" s="730">
        <v>0</v>
      </c>
      <c r="D8" s="730">
        <v>0</v>
      </c>
    </row>
    <row r="9" spans="1:5" ht="15">
      <c r="A9" s="1650" t="s">
        <v>2321</v>
      </c>
      <c r="B9" s="730">
        <v>17866748.260000002</v>
      </c>
      <c r="C9" s="730">
        <v>8618393.0999999996</v>
      </c>
      <c r="D9" s="730">
        <v>3548750.1</v>
      </c>
    </row>
    <row r="10" spans="1:5" ht="15">
      <c r="A10" s="1651" t="s">
        <v>2322</v>
      </c>
      <c r="B10" s="731">
        <f>SUM(B3:B9)</f>
        <v>2316653916.8099999</v>
      </c>
      <c r="C10" s="731">
        <f t="shared" ref="C10" si="0">SUM(C3:C9)</f>
        <v>264004522.79999998</v>
      </c>
      <c r="D10" s="731">
        <f>SUM(D3:D9)</f>
        <v>139102477.32999998</v>
      </c>
    </row>
    <row r="11" spans="1:5" ht="15">
      <c r="A11" s="1650" t="s">
        <v>2323</v>
      </c>
      <c r="B11" s="730">
        <v>158992198.37</v>
      </c>
      <c r="C11" s="730">
        <v>39101175.969999999</v>
      </c>
      <c r="D11" s="730">
        <v>21401175.969999999</v>
      </c>
    </row>
    <row r="12" spans="1:5" ht="15">
      <c r="A12" s="1650" t="s">
        <v>2324</v>
      </c>
      <c r="B12" s="730">
        <v>329908811.24000001</v>
      </c>
      <c r="C12" s="730">
        <v>120280285.59999999</v>
      </c>
      <c r="D12" s="730">
        <v>94354178.409999996</v>
      </c>
    </row>
    <row r="13" spans="1:5" ht="15">
      <c r="A13" s="1650" t="s">
        <v>2325</v>
      </c>
      <c r="B13" s="730">
        <v>80207886.760000005</v>
      </c>
      <c r="C13" s="730">
        <v>21447732.739999998</v>
      </c>
      <c r="D13" s="730">
        <v>4547748.63</v>
      </c>
      <c r="E13" s="368"/>
    </row>
    <row r="14" spans="1:5" ht="15">
      <c r="A14" s="1650" t="s">
        <v>2326</v>
      </c>
      <c r="B14" s="730">
        <v>69559086.769999996</v>
      </c>
      <c r="C14" s="730">
        <v>31646741.850000001</v>
      </c>
      <c r="D14" s="730">
        <v>28652029.59</v>
      </c>
      <c r="E14" s="368"/>
    </row>
    <row r="15" spans="1:5" ht="15">
      <c r="A15" s="1650" t="s">
        <v>2327</v>
      </c>
      <c r="B15" s="730">
        <v>19874021.48</v>
      </c>
      <c r="C15" s="730">
        <v>0</v>
      </c>
      <c r="D15" s="730">
        <v>0</v>
      </c>
    </row>
    <row r="16" spans="1:5" ht="15">
      <c r="A16" s="1651" t="s">
        <v>2328</v>
      </c>
      <c r="B16" s="731">
        <f>SUM(B11:B15)</f>
        <v>658542004.62</v>
      </c>
      <c r="C16" s="731">
        <f t="shared" ref="C16:D16" si="1">SUM(C11:C15)</f>
        <v>212475936.16</v>
      </c>
      <c r="D16" s="731">
        <f t="shared" si="1"/>
        <v>148955132.59999999</v>
      </c>
    </row>
    <row r="17" spans="1:6" ht="15">
      <c r="A17" s="1650" t="s">
        <v>2329</v>
      </c>
      <c r="B17" s="730">
        <v>30500000</v>
      </c>
      <c r="C17" s="730">
        <v>24128264.149999999</v>
      </c>
      <c r="D17" s="730">
        <v>21477241.829999998</v>
      </c>
      <c r="E17" s="368">
        <f>+'Costos a Mar-26'!R47</f>
        <v>21470724.399999995</v>
      </c>
      <c r="F17" s="370">
        <f>+D17-E17</f>
        <v>6517.4300000034273</v>
      </c>
    </row>
    <row r="18" spans="1:6" ht="15">
      <c r="A18" s="1650" t="s">
        <v>2330</v>
      </c>
      <c r="B18" s="730">
        <v>229165392.31</v>
      </c>
      <c r="C18" s="730">
        <v>18617144.329999998</v>
      </c>
      <c r="D18" s="730">
        <v>12887977.66</v>
      </c>
    </row>
    <row r="19" spans="1:6" ht="15">
      <c r="A19" s="1650" t="s">
        <v>2331</v>
      </c>
      <c r="B19" s="730">
        <v>19874021.48</v>
      </c>
      <c r="C19" s="730">
        <v>0</v>
      </c>
      <c r="D19" s="730">
        <v>0</v>
      </c>
    </row>
    <row r="20" spans="1:6" ht="15">
      <c r="A20" s="1651" t="s">
        <v>2332</v>
      </c>
      <c r="B20" s="731">
        <f>SUM(B17:B19)</f>
        <v>279539413.79000002</v>
      </c>
      <c r="C20" s="731">
        <f t="shared" ref="C20:D20" si="2">SUM(C17:C19)</f>
        <v>42745408.479999997</v>
      </c>
      <c r="D20" s="731">
        <f t="shared" si="2"/>
        <v>34365219.489999995</v>
      </c>
    </row>
    <row r="21" spans="1:6" ht="16.8">
      <c r="A21" s="1654" t="s">
        <v>2333</v>
      </c>
      <c r="B21" s="1655">
        <f>+B10+B16+B20+B2</f>
        <v>3361668335.2199998</v>
      </c>
      <c r="C21" s="1655">
        <f>+C10+C16+C20+C2</f>
        <v>783670947.60000002</v>
      </c>
      <c r="D21" s="1655">
        <f>+D10+D16+D20+D2</f>
        <v>586867910.57999992</v>
      </c>
    </row>
  </sheetData>
  <mergeCells count="1">
    <mergeCell ref="E4:E5"/>
  </mergeCells>
  <pageMargins left="0.7" right="0.7" top="0.75" bottom="0.75" header="0.3" footer="0.3"/>
  <pageSetup paperSize="9" orientation="portrait" r:id="rId1"/>
  <ignoredErrors>
    <ignoredError sqref="B10:D10" formulaRange="1"/>
  </ignoredErrors>
  <drawing r:id="rId2"/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5ABC0-C6DD-4D2F-B4FB-A5688C9DCD7A}">
  <dimension ref="A1:W54"/>
  <sheetViews>
    <sheetView showGridLines="0" zoomScaleNormal="100" workbookViewId="0">
      <pane xSplit="1" ySplit="1" topLeftCell="P2" activePane="bottomRight" state="frozen"/>
      <selection pane="topRight" activeCell="C1" sqref="C1"/>
      <selection pane="bottomLeft" activeCell="A2" sqref="A2"/>
      <selection pane="bottomRight" activeCell="S6" sqref="S6"/>
    </sheetView>
  </sheetViews>
  <sheetFormatPr baseColWidth="10" defaultColWidth="11.5546875" defaultRowHeight="14.4"/>
  <cols>
    <col min="1" max="1" width="49.33203125" style="412" bestFit="1" customWidth="1"/>
    <col min="2" max="2" width="16.6640625" style="1241" customWidth="1"/>
    <col min="3" max="4" width="14.44140625" style="1241" customWidth="1"/>
    <col min="5" max="5" width="14.44140625" style="1236" customWidth="1"/>
    <col min="6" max="6" width="14.44140625" style="1241" customWidth="1"/>
    <col min="7" max="7" width="14.44140625" style="1236" customWidth="1"/>
    <col min="8" max="9" width="15.5546875" style="1236" customWidth="1"/>
    <col min="10" max="10" width="16.6640625" style="1236" customWidth="1"/>
    <col min="11" max="17" width="15.5546875" style="1236" customWidth="1"/>
    <col min="18" max="18" width="16.6640625" style="1236" bestFit="1" customWidth="1"/>
    <col min="19" max="19" width="10.6640625" style="408" bestFit="1" customWidth="1"/>
    <col min="20" max="20" width="21.6640625" style="408" bestFit="1" customWidth="1"/>
    <col min="21" max="21" width="13.44140625" style="408" bestFit="1" customWidth="1"/>
    <col min="22" max="22" width="12.44140625" style="408" bestFit="1" customWidth="1"/>
    <col min="23" max="23" width="12.33203125" style="408" bestFit="1" customWidth="1"/>
    <col min="24" max="32" width="7.6640625" style="408" customWidth="1"/>
    <col min="33" max="16384" width="11.5546875" style="408"/>
  </cols>
  <sheetData>
    <row r="1" spans="1:23" s="1228" customFormat="1" ht="13.8">
      <c r="A1" s="1228" t="s">
        <v>1791</v>
      </c>
      <c r="B1" s="1237">
        <v>45627</v>
      </c>
      <c r="C1" s="1237">
        <v>45658</v>
      </c>
      <c r="D1" s="1237">
        <v>45689</v>
      </c>
      <c r="E1" s="1232">
        <v>45717</v>
      </c>
      <c r="F1" s="1237">
        <v>45748</v>
      </c>
      <c r="G1" s="1232">
        <v>45778</v>
      </c>
      <c r="H1" s="1232">
        <v>45809</v>
      </c>
      <c r="I1" s="1232">
        <v>45839</v>
      </c>
      <c r="J1" s="1232">
        <v>45870</v>
      </c>
      <c r="K1" s="1232">
        <v>45901</v>
      </c>
      <c r="L1" s="1232">
        <v>45931</v>
      </c>
      <c r="M1" s="1232">
        <v>45962</v>
      </c>
      <c r="N1" s="1232">
        <v>45992</v>
      </c>
      <c r="O1" s="1232">
        <v>46023</v>
      </c>
      <c r="P1" s="1232">
        <v>46054</v>
      </c>
      <c r="Q1" s="1232">
        <v>46082</v>
      </c>
      <c r="R1" s="1232" t="s">
        <v>168</v>
      </c>
    </row>
    <row r="2" spans="1:23" s="1229" customFormat="1" ht="10.199999999999999">
      <c r="A2" s="1229" t="s">
        <v>1487</v>
      </c>
      <c r="B2" s="1238">
        <f>SUM(B3)</f>
        <v>94172341.829999998</v>
      </c>
      <c r="C2" s="1238">
        <f t="shared" ref="C2:Q2" si="0">SUM(C3)</f>
        <v>0</v>
      </c>
      <c r="D2" s="1238">
        <f t="shared" si="0"/>
        <v>0</v>
      </c>
      <c r="E2" s="1233">
        <f t="shared" si="0"/>
        <v>0</v>
      </c>
      <c r="F2" s="1238">
        <f t="shared" si="0"/>
        <v>0</v>
      </c>
      <c r="G2" s="1233">
        <f t="shared" si="0"/>
        <v>18880</v>
      </c>
      <c r="H2" s="1233">
        <f t="shared" si="0"/>
        <v>0</v>
      </c>
      <c r="I2" s="1233">
        <f t="shared" si="0"/>
        <v>0</v>
      </c>
      <c r="J2" s="1233">
        <f t="shared" si="0"/>
        <v>170252678.32999998</v>
      </c>
      <c r="K2" s="1233">
        <f t="shared" si="0"/>
        <v>1180</v>
      </c>
      <c r="L2" s="1233">
        <f t="shared" si="0"/>
        <v>0</v>
      </c>
      <c r="M2" s="1233">
        <f t="shared" si="0"/>
        <v>0</v>
      </c>
      <c r="N2" s="1233">
        <f t="shared" si="0"/>
        <v>0</v>
      </c>
      <c r="O2" s="1233">
        <f t="shared" si="0"/>
        <v>0</v>
      </c>
      <c r="P2" s="1233">
        <f t="shared" si="0"/>
        <v>0</v>
      </c>
      <c r="Q2" s="1233">
        <f t="shared" si="0"/>
        <v>0</v>
      </c>
      <c r="R2" s="1233">
        <f t="shared" ref="R2:R9" si="1">SUBTOTAL(9,B2:Q2)</f>
        <v>264445080.15999997</v>
      </c>
      <c r="S2" s="1230"/>
      <c r="T2" s="1230"/>
      <c r="U2" s="1230"/>
      <c r="V2" s="1230"/>
    </row>
    <row r="3" spans="1:23" s="1231" customFormat="1" ht="10.199999999999999">
      <c r="A3" s="1231" t="s">
        <v>1388</v>
      </c>
      <c r="B3" s="1239">
        <v>94172341.829999998</v>
      </c>
      <c r="C3" s="1239"/>
      <c r="D3" s="1239"/>
      <c r="E3" s="1234"/>
      <c r="F3" s="1239"/>
      <c r="G3" s="1234">
        <v>18880</v>
      </c>
      <c r="H3" s="1234"/>
      <c r="I3" s="1234"/>
      <c r="J3" s="1234">
        <v>170252678.32999998</v>
      </c>
      <c r="K3" s="1234">
        <v>1180</v>
      </c>
      <c r="L3" s="1234"/>
      <c r="M3" s="1234"/>
      <c r="N3" s="1234"/>
      <c r="O3" s="1234"/>
      <c r="P3" s="1234"/>
      <c r="Q3" s="1234"/>
      <c r="R3" s="1234">
        <f t="shared" si="1"/>
        <v>264445080.15999997</v>
      </c>
    </row>
    <row r="4" spans="1:23" s="1229" customFormat="1" ht="10.199999999999999">
      <c r="A4" s="1229" t="s">
        <v>1490</v>
      </c>
      <c r="B4" s="1238">
        <f>SUM(B5)</f>
        <v>21168315.640000001</v>
      </c>
      <c r="C4" s="1238">
        <f t="shared" ref="C4:O4" si="2">SUM(C5)</f>
        <v>239349.75</v>
      </c>
      <c r="D4" s="1238">
        <f t="shared" si="2"/>
        <v>0</v>
      </c>
      <c r="E4" s="1233">
        <f t="shared" si="2"/>
        <v>146320</v>
      </c>
      <c r="F4" s="1238">
        <f t="shared" si="2"/>
        <v>108350.26</v>
      </c>
      <c r="G4" s="1233">
        <f t="shared" si="2"/>
        <v>53100</v>
      </c>
      <c r="H4" s="1233">
        <f t="shared" si="2"/>
        <v>0</v>
      </c>
      <c r="I4" s="1233">
        <f t="shared" si="2"/>
        <v>0</v>
      </c>
      <c r="J4" s="1233">
        <f t="shared" si="2"/>
        <v>1595686.82</v>
      </c>
      <c r="K4" s="1233">
        <f t="shared" si="2"/>
        <v>87792</v>
      </c>
      <c r="L4" s="1233">
        <f t="shared" si="2"/>
        <v>312774.26</v>
      </c>
      <c r="M4" s="1233">
        <f t="shared" si="2"/>
        <v>0</v>
      </c>
      <c r="N4" s="1233">
        <f t="shared" si="2"/>
        <v>0</v>
      </c>
      <c r="O4" s="1233">
        <f t="shared" si="2"/>
        <v>0</v>
      </c>
      <c r="P4" s="1233">
        <f>SUM(P5)</f>
        <v>416685.22</v>
      </c>
      <c r="Q4" s="1233">
        <f>SUM(Q5)</f>
        <v>31433.410000000033</v>
      </c>
      <c r="R4" s="1233">
        <f t="shared" si="1"/>
        <v>24159807.360000003</v>
      </c>
      <c r="S4" s="1230"/>
      <c r="T4" s="1230"/>
      <c r="U4" s="1230"/>
      <c r="V4" s="1230"/>
    </row>
    <row r="5" spans="1:23" s="1231" customFormat="1" ht="10.199999999999999">
      <c r="A5" s="1231" t="s">
        <v>1389</v>
      </c>
      <c r="B5" s="1239">
        <v>21168315.640000001</v>
      </c>
      <c r="C5" s="1242">
        <v>239349.75</v>
      </c>
      <c r="D5" s="1239"/>
      <c r="E5" s="1234">
        <v>146320</v>
      </c>
      <c r="F5" s="1239">
        <v>108350.26</v>
      </c>
      <c r="G5" s="1234">
        <v>53100</v>
      </c>
      <c r="H5" s="1234"/>
      <c r="I5" s="1234"/>
      <c r="J5" s="1234">
        <v>1595686.82</v>
      </c>
      <c r="K5" s="1234">
        <v>87792</v>
      </c>
      <c r="L5" s="1234">
        <v>312774.26</v>
      </c>
      <c r="M5" s="1234">
        <v>0</v>
      </c>
      <c r="N5" s="1234"/>
      <c r="O5" s="1234"/>
      <c r="P5" s="1234">
        <v>416685.22</v>
      </c>
      <c r="Q5" s="1234">
        <f>448118.63-P5</f>
        <v>31433.410000000033</v>
      </c>
      <c r="R5" s="1234">
        <f t="shared" si="1"/>
        <v>24159807.360000003</v>
      </c>
    </row>
    <row r="6" spans="1:23" s="1229" customFormat="1" ht="10.199999999999999">
      <c r="A6" s="1229" t="s">
        <v>1792</v>
      </c>
      <c r="B6" s="1238">
        <f>SUM(B7)</f>
        <v>9219083.5899999999</v>
      </c>
      <c r="C6" s="1238">
        <f t="shared" ref="C6:N6" si="3">SUM(C7)</f>
        <v>0</v>
      </c>
      <c r="D6" s="1238">
        <f t="shared" si="3"/>
        <v>0</v>
      </c>
      <c r="E6" s="1233">
        <f t="shared" si="3"/>
        <v>0</v>
      </c>
      <c r="F6" s="1238">
        <f t="shared" si="3"/>
        <v>353433.2</v>
      </c>
      <c r="G6" s="1233">
        <f t="shared" si="3"/>
        <v>93563.38</v>
      </c>
      <c r="H6" s="1233">
        <f t="shared" si="3"/>
        <v>806839.56</v>
      </c>
      <c r="I6" s="1233">
        <f t="shared" si="3"/>
        <v>3069742.21</v>
      </c>
      <c r="J6" s="1233">
        <f t="shared" si="3"/>
        <v>2900560.48</v>
      </c>
      <c r="K6" s="1233">
        <f t="shared" si="3"/>
        <v>342033.18</v>
      </c>
      <c r="L6" s="1233">
        <f t="shared" si="3"/>
        <v>201871.48</v>
      </c>
      <c r="M6" s="1233">
        <f t="shared" si="3"/>
        <v>1617336.11</v>
      </c>
      <c r="N6" s="1233">
        <f t="shared" si="3"/>
        <v>15407306.5</v>
      </c>
      <c r="O6" s="1233">
        <f>SUM(O7)</f>
        <v>222844.91</v>
      </c>
      <c r="P6" s="1233">
        <f>SUM(P7)</f>
        <v>2449569.83</v>
      </c>
      <c r="Q6" s="1233">
        <f>SUM(Q7)</f>
        <v>1833923.43</v>
      </c>
      <c r="R6" s="1233">
        <f t="shared" si="1"/>
        <v>38518107.859999992</v>
      </c>
      <c r="S6" s="1779">
        <f>+N6-14900000</f>
        <v>507306.5</v>
      </c>
      <c r="T6" s="1779">
        <f>+O6</f>
        <v>222844.91</v>
      </c>
      <c r="U6" s="1779">
        <f>+P6</f>
        <v>2449569.83</v>
      </c>
      <c r="V6" s="1854">
        <f>+Q6</f>
        <v>1833923.43</v>
      </c>
      <c r="W6" s="1779">
        <f>SUM(S6:V6)</f>
        <v>5013644.67</v>
      </c>
    </row>
    <row r="7" spans="1:23" s="1231" customFormat="1" ht="10.199999999999999">
      <c r="A7" s="1231" t="s">
        <v>1793</v>
      </c>
      <c r="B7" s="1239">
        <v>9219083.5899999999</v>
      </c>
      <c r="C7" s="1239"/>
      <c r="D7" s="1239"/>
      <c r="E7" s="1234"/>
      <c r="F7" s="1239">
        <v>353433.2</v>
      </c>
      <c r="G7" s="1234">
        <v>93563.38</v>
      </c>
      <c r="H7" s="1234">
        <v>806839.56</v>
      </c>
      <c r="I7" s="1234">
        <v>3069742.21</v>
      </c>
      <c r="J7" s="1234">
        <v>2900560.48</v>
      </c>
      <c r="K7" s="1234">
        <v>342033.18</v>
      </c>
      <c r="L7" s="1234">
        <v>201871.48</v>
      </c>
      <c r="M7" s="1234">
        <v>1617336.11</v>
      </c>
      <c r="N7" s="1234">
        <v>15407306.5</v>
      </c>
      <c r="O7" s="1234">
        <v>222844.91</v>
      </c>
      <c r="P7" s="1234">
        <v>2449569.83</v>
      </c>
      <c r="Q7" s="1234">
        <v>1833923.43</v>
      </c>
      <c r="R7" s="1234">
        <f t="shared" si="1"/>
        <v>38518107.859999992</v>
      </c>
    </row>
    <row r="8" spans="1:23" s="1229" customFormat="1" ht="10.199999999999999">
      <c r="A8" s="1229" t="s">
        <v>1794</v>
      </c>
      <c r="B8" s="1238">
        <f>SUM(B9)</f>
        <v>0</v>
      </c>
      <c r="C8" s="1238">
        <f t="shared" ref="C8:N8" si="4">SUM(C9)</f>
        <v>0</v>
      </c>
      <c r="D8" s="1238">
        <f t="shared" si="4"/>
        <v>0</v>
      </c>
      <c r="E8" s="1233">
        <f t="shared" si="4"/>
        <v>0</v>
      </c>
      <c r="F8" s="1238">
        <f t="shared" si="4"/>
        <v>0</v>
      </c>
      <c r="G8" s="1233">
        <f t="shared" si="4"/>
        <v>0</v>
      </c>
      <c r="H8" s="1233">
        <f t="shared" si="4"/>
        <v>0</v>
      </c>
      <c r="I8" s="1233">
        <f t="shared" si="4"/>
        <v>0</v>
      </c>
      <c r="J8" s="1233">
        <f t="shared" si="4"/>
        <v>0</v>
      </c>
      <c r="K8" s="1233">
        <f t="shared" si="4"/>
        <v>0</v>
      </c>
      <c r="L8" s="1233">
        <f t="shared" si="4"/>
        <v>0</v>
      </c>
      <c r="M8" s="1233">
        <f t="shared" si="4"/>
        <v>0</v>
      </c>
      <c r="N8" s="1233">
        <f t="shared" si="4"/>
        <v>991237.18</v>
      </c>
      <c r="O8" s="1233">
        <f>SUM(O9)</f>
        <v>2132656.4500000002</v>
      </c>
      <c r="P8" s="1233">
        <f>SUM(P9)</f>
        <v>6421897.4300000006</v>
      </c>
      <c r="Q8" s="1233">
        <f>SUM(Q9)</f>
        <v>23667579.899999999</v>
      </c>
      <c r="R8" s="1233">
        <f t="shared" si="1"/>
        <v>33213370.960000001</v>
      </c>
      <c r="S8" s="1230"/>
      <c r="T8" s="1230"/>
      <c r="U8" s="1230"/>
      <c r="V8" s="1230"/>
    </row>
    <row r="9" spans="1:23" s="1231" customFormat="1" ht="10.199999999999999">
      <c r="A9" s="1231" t="s">
        <v>1795</v>
      </c>
      <c r="B9" s="1239"/>
      <c r="C9" s="1239"/>
      <c r="D9" s="1239"/>
      <c r="E9" s="1234"/>
      <c r="F9" s="1239"/>
      <c r="G9" s="1234"/>
      <c r="H9" s="1234"/>
      <c r="I9" s="1234"/>
      <c r="J9" s="1234"/>
      <c r="K9" s="1234"/>
      <c r="L9" s="1234"/>
      <c r="M9" s="1234"/>
      <c r="N9" s="1234">
        <v>991237.18</v>
      </c>
      <c r="O9" s="1234">
        <v>2132656.4500000002</v>
      </c>
      <c r="P9" s="1234">
        <v>6421897.4300000006</v>
      </c>
      <c r="Q9" s="1234">
        <v>23667579.899999999</v>
      </c>
      <c r="R9" s="1234">
        <f t="shared" si="1"/>
        <v>33213370.960000001</v>
      </c>
      <c r="S9" s="1870">
        <f>+R7+R9</f>
        <v>71731478.819999993</v>
      </c>
    </row>
    <row r="10" spans="1:23" s="1229" customFormat="1" ht="10.199999999999999">
      <c r="A10" s="1229" t="s">
        <v>952</v>
      </c>
      <c r="B10" s="1238">
        <f>SUM(B11)</f>
        <v>1644662.03</v>
      </c>
      <c r="C10" s="1238">
        <f t="shared" ref="C10:N10" si="5">SUM(C11)</f>
        <v>1770000</v>
      </c>
      <c r="D10" s="1238">
        <f t="shared" si="5"/>
        <v>0</v>
      </c>
      <c r="E10" s="1233">
        <f t="shared" si="5"/>
        <v>885000</v>
      </c>
      <c r="F10" s="1238">
        <f t="shared" si="5"/>
        <v>2455806.54</v>
      </c>
      <c r="G10" s="1233">
        <f t="shared" si="5"/>
        <v>2360000</v>
      </c>
      <c r="H10" s="1233">
        <f t="shared" si="5"/>
        <v>2417857.34</v>
      </c>
      <c r="I10" s="1233">
        <f t="shared" si="5"/>
        <v>2664755.19</v>
      </c>
      <c r="J10" s="1233">
        <f t="shared" si="5"/>
        <v>2360000</v>
      </c>
      <c r="K10" s="1233">
        <f t="shared" si="5"/>
        <v>2360000</v>
      </c>
      <c r="L10" s="1233">
        <f t="shared" si="5"/>
        <v>2360000</v>
      </c>
      <c r="M10" s="1233">
        <f t="shared" si="5"/>
        <v>2783225.26</v>
      </c>
      <c r="N10" s="1233">
        <f t="shared" si="5"/>
        <v>1770000</v>
      </c>
      <c r="O10" s="1233">
        <f>SUM(O11)</f>
        <v>2360000</v>
      </c>
      <c r="P10" s="1233">
        <f>SUM(P11)</f>
        <v>2862845.21</v>
      </c>
      <c r="Q10" s="1233">
        <f>SUM(Q11)</f>
        <v>2228947.7200000002</v>
      </c>
      <c r="R10" s="1233">
        <f t="shared" ref="R10:R52" si="6">SUBTOTAL(9,B10:Q10)</f>
        <v>33283099.289999999</v>
      </c>
      <c r="S10" s="1230"/>
      <c r="T10" s="1230"/>
      <c r="U10" s="1230"/>
      <c r="V10" s="1230"/>
    </row>
    <row r="11" spans="1:23" s="1231" customFormat="1">
      <c r="A11" s="1231" t="s">
        <v>1796</v>
      </c>
      <c r="B11" s="1239">
        <v>1644662.03</v>
      </c>
      <c r="C11" s="1243">
        <v>1770000</v>
      </c>
      <c r="D11" s="1239"/>
      <c r="E11" s="1234">
        <v>885000</v>
      </c>
      <c r="F11" s="1239">
        <v>2455806.54</v>
      </c>
      <c r="G11" s="1234">
        <v>2360000</v>
      </c>
      <c r="H11" s="1234">
        <v>2417857.34</v>
      </c>
      <c r="I11" s="1234">
        <v>2664755.19</v>
      </c>
      <c r="J11" s="1234">
        <v>2360000</v>
      </c>
      <c r="K11" s="1234">
        <v>2360000</v>
      </c>
      <c r="L11" s="1234">
        <v>2360000</v>
      </c>
      <c r="M11" s="1234">
        <v>2783225.26</v>
      </c>
      <c r="N11" s="1234">
        <v>1770000</v>
      </c>
      <c r="O11" s="1234">
        <v>2360000</v>
      </c>
      <c r="P11" s="1234">
        <v>2862845.21</v>
      </c>
      <c r="Q11" s="1234">
        <v>2228947.7200000002</v>
      </c>
      <c r="R11" s="1234">
        <f t="shared" si="6"/>
        <v>33283099.289999999</v>
      </c>
      <c r="T11" t="s">
        <v>2574</v>
      </c>
      <c r="U11" s="368">
        <v>1189613.1200000001</v>
      </c>
      <c r="V11" s="1870">
        <f>+R17</f>
        <v>1387881.97</v>
      </c>
      <c r="W11" s="1870">
        <f>+U11-V11</f>
        <v>-198268.84999999986</v>
      </c>
    </row>
    <row r="12" spans="1:23" s="1229" customFormat="1">
      <c r="A12" s="1229" t="s">
        <v>1797</v>
      </c>
      <c r="B12" s="1238">
        <f>SUM(B13:B19)</f>
        <v>0</v>
      </c>
      <c r="C12" s="1238">
        <f t="shared" ref="C12:Q12" si="7">SUM(C13:C19)</f>
        <v>0</v>
      </c>
      <c r="D12" s="1238">
        <f t="shared" si="7"/>
        <v>0</v>
      </c>
      <c r="E12" s="1233">
        <f t="shared" si="7"/>
        <v>0</v>
      </c>
      <c r="F12" s="1238">
        <f t="shared" si="7"/>
        <v>0</v>
      </c>
      <c r="G12" s="1233">
        <f t="shared" si="7"/>
        <v>0</v>
      </c>
      <c r="H12" s="1233">
        <f t="shared" si="7"/>
        <v>147108.53999999998</v>
      </c>
      <c r="I12" s="1233">
        <f t="shared" si="7"/>
        <v>92700.800000000003</v>
      </c>
      <c r="J12" s="1233">
        <f t="shared" si="7"/>
        <v>96854.399999999994</v>
      </c>
      <c r="K12" s="1233">
        <f t="shared" si="7"/>
        <v>90246.399999999994</v>
      </c>
      <c r="L12" s="1233">
        <f t="shared" si="7"/>
        <v>92700.800000000003</v>
      </c>
      <c r="M12" s="1233">
        <f t="shared" si="7"/>
        <v>332688.71000000002</v>
      </c>
      <c r="N12" s="1233">
        <f t="shared" si="7"/>
        <v>92700.800000000003</v>
      </c>
      <c r="O12" s="1233">
        <f t="shared" si="7"/>
        <v>102858.24000000001</v>
      </c>
      <c r="P12" s="1233">
        <f t="shared" si="7"/>
        <v>3036943.49</v>
      </c>
      <c r="Q12" s="1233">
        <f t="shared" si="7"/>
        <v>2022959.08</v>
      </c>
      <c r="R12" s="1233">
        <f t="shared" si="6"/>
        <v>6107761.2599999998</v>
      </c>
      <c r="S12" s="1230"/>
      <c r="T12" t="s">
        <v>2575</v>
      </c>
      <c r="U12" s="368">
        <v>257394302</v>
      </c>
      <c r="V12" s="1906">
        <f>+R2</f>
        <v>264445080.15999997</v>
      </c>
      <c r="W12" s="1870">
        <f t="shared" ref="W12:W20" si="8">+U12-V12</f>
        <v>-7050778.1599999666</v>
      </c>
    </row>
    <row r="13" spans="1:23" s="1231" customFormat="1">
      <c r="A13" s="1231" t="s">
        <v>1798</v>
      </c>
      <c r="B13" s="1240"/>
      <c r="C13" s="1240"/>
      <c r="D13" s="1240"/>
      <c r="E13" s="1235"/>
      <c r="F13" s="1240"/>
      <c r="G13" s="1235"/>
      <c r="H13" s="1235"/>
      <c r="I13" s="1235"/>
      <c r="J13" s="1235"/>
      <c r="K13" s="1235"/>
      <c r="L13" s="1235"/>
      <c r="M13" s="1235"/>
      <c r="N13" s="1235"/>
      <c r="O13" s="1235"/>
      <c r="P13" s="1235">
        <v>104300</v>
      </c>
      <c r="Q13" s="1235">
        <v>52150</v>
      </c>
      <c r="R13" s="1235">
        <f t="shared" si="6"/>
        <v>156450</v>
      </c>
      <c r="T13" t="s">
        <v>2576</v>
      </c>
      <c r="U13" s="368">
        <v>66446621.859999999</v>
      </c>
      <c r="V13" s="1870">
        <f>+R6+R8+R12-R17</f>
        <v>76451358.109999999</v>
      </c>
      <c r="W13" s="1870">
        <f t="shared" si="8"/>
        <v>-10004736.25</v>
      </c>
    </row>
    <row r="14" spans="1:23" s="1231" customFormat="1">
      <c r="A14" s="1231" t="s">
        <v>1799</v>
      </c>
      <c r="B14" s="1240"/>
      <c r="C14" s="1240"/>
      <c r="D14" s="1240"/>
      <c r="E14" s="1235"/>
      <c r="F14" s="1240"/>
      <c r="G14" s="1235"/>
      <c r="H14" s="1235"/>
      <c r="I14" s="1235"/>
      <c r="J14" s="1235"/>
      <c r="K14" s="1235"/>
      <c r="L14" s="1235"/>
      <c r="M14" s="1235">
        <v>191502.06</v>
      </c>
      <c r="N14" s="1235"/>
      <c r="O14" s="1235">
        <v>8080.64</v>
      </c>
      <c r="P14" s="1235">
        <v>207605.89</v>
      </c>
      <c r="Q14" s="1235">
        <v>54227.11</v>
      </c>
      <c r="R14" s="1235">
        <f t="shared" si="6"/>
        <v>461415.7</v>
      </c>
      <c r="T14" t="s">
        <v>298</v>
      </c>
      <c r="U14" s="368">
        <v>19831585.879999999</v>
      </c>
      <c r="V14" s="1870">
        <f>+R5</f>
        <v>24159807.360000003</v>
      </c>
      <c r="W14" s="1870">
        <f t="shared" si="8"/>
        <v>-4328221.4800000042</v>
      </c>
    </row>
    <row r="15" spans="1:23" s="1231" customFormat="1">
      <c r="A15" s="1231" t="s">
        <v>1800</v>
      </c>
      <c r="B15" s="1240"/>
      <c r="C15" s="1240"/>
      <c r="D15" s="1240"/>
      <c r="E15" s="1235"/>
      <c r="F15" s="1240"/>
      <c r="G15" s="1235"/>
      <c r="H15" s="1235"/>
      <c r="I15" s="1235"/>
      <c r="J15" s="1235"/>
      <c r="K15" s="1235"/>
      <c r="L15" s="1235"/>
      <c r="M15" s="1235">
        <v>52569</v>
      </c>
      <c r="N15" s="1235"/>
      <c r="O15" s="1235"/>
      <c r="P15" s="1235">
        <v>2029200</v>
      </c>
      <c r="Q15" s="1235">
        <v>427200</v>
      </c>
      <c r="R15" s="1235">
        <f t="shared" si="6"/>
        <v>2508969</v>
      </c>
      <c r="T15" t="s">
        <v>379</v>
      </c>
      <c r="U15" s="368">
        <v>44367965.960000001</v>
      </c>
      <c r="V15" s="1870">
        <f>+R10+R22</f>
        <v>36831849.390000001</v>
      </c>
      <c r="W15" s="1870">
        <f t="shared" si="8"/>
        <v>7536116.5700000003</v>
      </c>
    </row>
    <row r="16" spans="1:23" s="1231" customFormat="1">
      <c r="A16" s="1231" t="s">
        <v>1390</v>
      </c>
      <c r="B16" s="1240"/>
      <c r="C16" s="1240"/>
      <c r="D16" s="1240"/>
      <c r="E16" s="1235"/>
      <c r="F16" s="1240"/>
      <c r="G16" s="1235"/>
      <c r="H16" s="1235">
        <v>92323.199999999997</v>
      </c>
      <c r="I16" s="1235">
        <v>92700.800000000003</v>
      </c>
      <c r="J16" s="1235">
        <v>96854.399999999994</v>
      </c>
      <c r="K16" s="1235">
        <v>90246.399999999994</v>
      </c>
      <c r="L16" s="1235">
        <v>92700.800000000003</v>
      </c>
      <c r="M16" s="1235">
        <v>94400</v>
      </c>
      <c r="N16" s="1235">
        <v>92700.800000000003</v>
      </c>
      <c r="O16" s="1235">
        <v>94777.600000000006</v>
      </c>
      <c r="P16" s="1235">
        <v>85337.600000000006</v>
      </c>
      <c r="Q16" s="1235"/>
      <c r="R16" s="1235">
        <f t="shared" si="6"/>
        <v>832041.60000000009</v>
      </c>
      <c r="T16" t="s">
        <v>384</v>
      </c>
      <c r="U16" s="368">
        <v>19615887.879999999</v>
      </c>
      <c r="V16" s="1870">
        <f>+R24</f>
        <v>21401175.969999999</v>
      </c>
      <c r="W16" s="1870">
        <f t="shared" si="8"/>
        <v>-1785288.0899999999</v>
      </c>
    </row>
    <row r="17" spans="1:23" s="1231" customFormat="1">
      <c r="A17" s="1231" t="s">
        <v>2190</v>
      </c>
      <c r="B17" s="1240"/>
      <c r="C17" s="1240"/>
      <c r="D17" s="1240"/>
      <c r="E17" s="1235"/>
      <c r="F17" s="1240"/>
      <c r="G17" s="1235"/>
      <c r="H17" s="1235"/>
      <c r="I17" s="1235"/>
      <c r="J17" s="1235"/>
      <c r="K17" s="1235"/>
      <c r="L17" s="1235"/>
      <c r="M17" s="1235"/>
      <c r="N17" s="1235"/>
      <c r="O17" s="1235"/>
      <c r="P17" s="1235"/>
      <c r="Q17" s="1235">
        <v>1387881.97</v>
      </c>
      <c r="R17" s="1235">
        <f t="shared" si="6"/>
        <v>1387881.97</v>
      </c>
      <c r="T17" t="s">
        <v>390</v>
      </c>
      <c r="U17" s="368">
        <v>20998335</v>
      </c>
      <c r="V17" s="1870">
        <f>+R46</f>
        <v>21470724.399999995</v>
      </c>
      <c r="W17" s="1870">
        <f t="shared" si="8"/>
        <v>-472389.39999999478</v>
      </c>
    </row>
    <row r="18" spans="1:23" s="1231" customFormat="1">
      <c r="A18" s="1231" t="s">
        <v>1391</v>
      </c>
      <c r="B18" s="1240"/>
      <c r="C18" s="1240"/>
      <c r="D18" s="1240"/>
      <c r="E18" s="1235"/>
      <c r="F18" s="1240"/>
      <c r="G18" s="1235"/>
      <c r="H18" s="1235">
        <v>54785.34</v>
      </c>
      <c r="I18" s="1235"/>
      <c r="J18" s="1235"/>
      <c r="K18" s="1235"/>
      <c r="L18" s="1235"/>
      <c r="M18" s="1235">
        <v>-5782.35</v>
      </c>
      <c r="N18" s="1235"/>
      <c r="O18" s="1235"/>
      <c r="P18" s="1235">
        <v>610500</v>
      </c>
      <c r="Q18" s="1235">
        <v>101500</v>
      </c>
      <c r="R18" s="1235">
        <f t="shared" si="6"/>
        <v>761002.99</v>
      </c>
      <c r="T18" t="s">
        <v>262</v>
      </c>
      <c r="U18" s="368">
        <v>27780742.399999999</v>
      </c>
      <c r="V18" s="1870">
        <f>+R34</f>
        <v>28653691.039999999</v>
      </c>
      <c r="W18" s="1870">
        <f t="shared" si="8"/>
        <v>-872948.6400000006</v>
      </c>
    </row>
    <row r="19" spans="1:23" s="1231" customFormat="1">
      <c r="A19" s="1231" t="s">
        <v>1802</v>
      </c>
      <c r="B19" s="1240"/>
      <c r="C19" s="1240"/>
      <c r="D19" s="1240"/>
      <c r="E19" s="1235"/>
      <c r="F19" s="1240"/>
      <c r="G19" s="1235"/>
      <c r="H19" s="1235"/>
      <c r="I19" s="1235"/>
      <c r="J19" s="1235"/>
      <c r="K19" s="1235"/>
      <c r="L19" s="1235"/>
      <c r="M19" s="1235"/>
      <c r="N19" s="1235"/>
      <c r="O19" s="1235"/>
      <c r="P19" s="1235"/>
      <c r="Q19" s="1235"/>
      <c r="R19" s="1235">
        <f t="shared" si="6"/>
        <v>0</v>
      </c>
      <c r="T19" t="s">
        <v>387</v>
      </c>
      <c r="U19" s="368">
        <v>95344978.879999995</v>
      </c>
      <c r="V19" s="1870">
        <f>+R26</f>
        <v>94352517</v>
      </c>
      <c r="W19" s="1870">
        <f t="shared" si="8"/>
        <v>992461.87999999523</v>
      </c>
    </row>
    <row r="20" spans="1:23" s="1229" customFormat="1">
      <c r="A20" s="1229" t="s">
        <v>1803</v>
      </c>
      <c r="B20" s="1238">
        <f>SUM(B21)</f>
        <v>0</v>
      </c>
      <c r="C20" s="1238">
        <f t="shared" ref="C20:M20" si="9">SUM(C21)</f>
        <v>0</v>
      </c>
      <c r="D20" s="1238">
        <f t="shared" si="9"/>
        <v>0</v>
      </c>
      <c r="E20" s="1233">
        <f t="shared" si="9"/>
        <v>0</v>
      </c>
      <c r="F20" s="1238">
        <f t="shared" si="9"/>
        <v>0</v>
      </c>
      <c r="G20" s="1233">
        <f t="shared" si="9"/>
        <v>0</v>
      </c>
      <c r="H20" s="1233">
        <f t="shared" si="9"/>
        <v>0</v>
      </c>
      <c r="I20" s="1233">
        <f t="shared" si="9"/>
        <v>0</v>
      </c>
      <c r="J20" s="1233">
        <f t="shared" si="9"/>
        <v>0</v>
      </c>
      <c r="K20" s="1233">
        <f t="shared" si="9"/>
        <v>0</v>
      </c>
      <c r="L20" s="1233">
        <f t="shared" si="9"/>
        <v>0</v>
      </c>
      <c r="M20" s="1233">
        <f t="shared" si="9"/>
        <v>0</v>
      </c>
      <c r="N20" s="1233">
        <f>SUM(N21)</f>
        <v>0</v>
      </c>
      <c r="O20" s="1233">
        <f>SUM(O21)</f>
        <v>0</v>
      </c>
      <c r="P20" s="1233">
        <f>SUM(P21)</f>
        <v>0</v>
      </c>
      <c r="Q20" s="1233">
        <f>SUM(Q21)</f>
        <v>0</v>
      </c>
      <c r="R20" s="1233">
        <f t="shared" si="6"/>
        <v>0</v>
      </c>
      <c r="S20" s="1230"/>
      <c r="T20" t="s">
        <v>2577</v>
      </c>
      <c r="U20" s="368">
        <v>12857077.67</v>
      </c>
      <c r="V20" s="1906">
        <f>+R50</f>
        <v>12887977.66</v>
      </c>
      <c r="W20" s="1870">
        <f t="shared" si="8"/>
        <v>-30899.990000000224</v>
      </c>
    </row>
    <row r="21" spans="1:23" s="1231" customFormat="1" ht="10.199999999999999">
      <c r="A21" s="1231" t="s">
        <v>1804</v>
      </c>
      <c r="B21" s="1239"/>
      <c r="C21" s="1239"/>
      <c r="D21" s="1239"/>
      <c r="E21" s="1234"/>
      <c r="F21" s="1239"/>
      <c r="G21" s="1234"/>
      <c r="H21" s="1234"/>
      <c r="I21" s="1234"/>
      <c r="J21" s="1234"/>
      <c r="K21" s="1234"/>
      <c r="L21" s="1234"/>
      <c r="M21" s="1234"/>
      <c r="N21" s="1234"/>
      <c r="O21" s="1234"/>
      <c r="P21" s="1234"/>
      <c r="Q21" s="1234"/>
      <c r="R21" s="1234">
        <f t="shared" si="6"/>
        <v>0</v>
      </c>
      <c r="U21" s="1905">
        <f>SUM(U11:U20)</f>
        <v>565827110.64999998</v>
      </c>
      <c r="V21" s="1870">
        <f>SUM(V11:V20)</f>
        <v>582042063.05999982</v>
      </c>
      <c r="W21" s="1870">
        <f>SUM(W11:W20)</f>
        <v>-16214952.409999972</v>
      </c>
    </row>
    <row r="22" spans="1:23" s="1229" customFormat="1" ht="10.199999999999999">
      <c r="A22" s="1229" t="s">
        <v>1805</v>
      </c>
      <c r="B22" s="1238">
        <f>SUM(B23)</f>
        <v>0</v>
      </c>
      <c r="C22" s="1238">
        <f t="shared" ref="C22:Q22" si="10">SUM(C23)</f>
        <v>0</v>
      </c>
      <c r="D22" s="1238">
        <f t="shared" si="10"/>
        <v>0</v>
      </c>
      <c r="E22" s="1233">
        <f t="shared" si="10"/>
        <v>0</v>
      </c>
      <c r="F22" s="1238">
        <f t="shared" si="10"/>
        <v>0</v>
      </c>
      <c r="G22" s="1233">
        <f t="shared" si="10"/>
        <v>0</v>
      </c>
      <c r="H22" s="1233">
        <f t="shared" si="10"/>
        <v>0</v>
      </c>
      <c r="I22" s="1233">
        <f t="shared" si="10"/>
        <v>0</v>
      </c>
      <c r="J22" s="1233">
        <f t="shared" si="10"/>
        <v>0</v>
      </c>
      <c r="K22" s="1233">
        <f t="shared" si="10"/>
        <v>0</v>
      </c>
      <c r="L22" s="1233">
        <f t="shared" si="10"/>
        <v>1013928.6</v>
      </c>
      <c r="M22" s="1233">
        <f t="shared" si="10"/>
        <v>506964.3</v>
      </c>
      <c r="N22" s="1233">
        <f t="shared" si="10"/>
        <v>506964.3</v>
      </c>
      <c r="O22" s="1233">
        <f t="shared" si="10"/>
        <v>506964.3</v>
      </c>
      <c r="P22" s="1233">
        <f t="shared" si="10"/>
        <v>506964.3</v>
      </c>
      <c r="Q22" s="1233">
        <f t="shared" si="10"/>
        <v>506964.3</v>
      </c>
      <c r="R22" s="1233">
        <f t="shared" si="6"/>
        <v>3548750.0999999996</v>
      </c>
      <c r="S22" s="1230"/>
      <c r="T22" s="1230"/>
      <c r="U22" s="1907">
        <v>1993242.31</v>
      </c>
      <c r="V22" s="1906">
        <f>+R52</f>
        <v>586589811.68999994</v>
      </c>
    </row>
    <row r="23" spans="1:23" s="1231" customFormat="1" ht="10.199999999999999">
      <c r="A23" s="1231" t="s">
        <v>1806</v>
      </c>
      <c r="B23" s="1239"/>
      <c r="C23" s="1239"/>
      <c r="D23" s="1239"/>
      <c r="E23" s="1234"/>
      <c r="F23" s="1239"/>
      <c r="G23" s="1234"/>
      <c r="H23" s="1234"/>
      <c r="I23" s="1234"/>
      <c r="J23" s="1234"/>
      <c r="K23" s="1234"/>
      <c r="L23" s="1234">
        <v>1013928.6</v>
      </c>
      <c r="M23" s="1234">
        <v>506964.3</v>
      </c>
      <c r="N23" s="1234">
        <v>506964.3</v>
      </c>
      <c r="O23" s="1234">
        <v>506964.3</v>
      </c>
      <c r="P23" s="1234">
        <v>506964.3</v>
      </c>
      <c r="Q23" s="1234">
        <v>506964.3</v>
      </c>
      <c r="R23" s="1234">
        <f t="shared" si="6"/>
        <v>3548750.0999999996</v>
      </c>
      <c r="V23" s="1870">
        <f>+V21-V22</f>
        <v>-4547748.6300001144</v>
      </c>
    </row>
    <row r="24" spans="1:23" s="1229" customFormat="1" ht="10.199999999999999">
      <c r="A24" s="1229" t="s">
        <v>1807</v>
      </c>
      <c r="B24" s="1238">
        <f>SUM(B25)</f>
        <v>161175.97</v>
      </c>
      <c r="C24" s="1238">
        <f t="shared" ref="C24:Q24" si="11">SUM(C25)</f>
        <v>0</v>
      </c>
      <c r="D24" s="1238">
        <f t="shared" si="11"/>
        <v>0</v>
      </c>
      <c r="E24" s="1233">
        <f t="shared" si="11"/>
        <v>0</v>
      </c>
      <c r="F24" s="1238">
        <f t="shared" si="11"/>
        <v>1770000</v>
      </c>
      <c r="G24" s="1233">
        <f t="shared" si="11"/>
        <v>1770000</v>
      </c>
      <c r="H24" s="1233">
        <f t="shared" si="11"/>
        <v>1770000</v>
      </c>
      <c r="I24" s="1233">
        <f t="shared" si="11"/>
        <v>1770000</v>
      </c>
      <c r="J24" s="1233">
        <f t="shared" si="11"/>
        <v>1770000</v>
      </c>
      <c r="K24" s="1233">
        <f t="shared" si="11"/>
        <v>1770000</v>
      </c>
      <c r="L24" s="1233">
        <f t="shared" si="11"/>
        <v>1770000</v>
      </c>
      <c r="M24" s="1233">
        <f t="shared" si="11"/>
        <v>1770000</v>
      </c>
      <c r="N24" s="1233">
        <f t="shared" si="11"/>
        <v>1770000</v>
      </c>
      <c r="O24" s="1233">
        <f t="shared" si="11"/>
        <v>1770000</v>
      </c>
      <c r="P24" s="1233">
        <f t="shared" si="11"/>
        <v>1770000</v>
      </c>
      <c r="Q24" s="1233">
        <f t="shared" si="11"/>
        <v>1770000</v>
      </c>
      <c r="R24" s="1233">
        <f t="shared" si="6"/>
        <v>21401175.969999999</v>
      </c>
      <c r="S24" s="1230"/>
      <c r="T24" s="1230"/>
      <c r="U24" s="1230"/>
      <c r="V24" s="1906">
        <f>+R31</f>
        <v>4547748.629999999</v>
      </c>
    </row>
    <row r="25" spans="1:23" s="1231" customFormat="1" ht="10.199999999999999">
      <c r="A25" s="1231" t="s">
        <v>954</v>
      </c>
      <c r="B25" s="1239">
        <v>161175.97</v>
      </c>
      <c r="C25" s="1239"/>
      <c r="D25" s="1239"/>
      <c r="E25" s="1234"/>
      <c r="F25" s="1239">
        <v>1770000</v>
      </c>
      <c r="G25" s="1234">
        <v>1770000</v>
      </c>
      <c r="H25" s="1234">
        <v>1770000</v>
      </c>
      <c r="I25" s="1234">
        <v>1770000</v>
      </c>
      <c r="J25" s="1234">
        <v>1770000</v>
      </c>
      <c r="K25" s="1234">
        <v>1770000</v>
      </c>
      <c r="L25" s="1234">
        <v>1770000</v>
      </c>
      <c r="M25" s="1234">
        <v>1770000</v>
      </c>
      <c r="N25" s="1234">
        <v>1770000</v>
      </c>
      <c r="O25" s="1234">
        <v>1770000</v>
      </c>
      <c r="P25" s="1234">
        <v>1770000</v>
      </c>
      <c r="Q25" s="1234">
        <v>1770000</v>
      </c>
      <c r="R25" s="1234">
        <f t="shared" si="6"/>
        <v>21401175.969999999</v>
      </c>
    </row>
    <row r="26" spans="1:23" s="1229" customFormat="1" ht="10.199999999999999">
      <c r="A26" s="1229" t="s">
        <v>1808</v>
      </c>
      <c r="B26" s="1238">
        <f>SUM(B27:B30)</f>
        <v>559355.54</v>
      </c>
      <c r="C26" s="1238">
        <f t="shared" ref="C26:Q26" si="12">SUM(C27:C30)</f>
        <v>0</v>
      </c>
      <c r="D26" s="1238">
        <f t="shared" si="12"/>
        <v>645765.21</v>
      </c>
      <c r="E26" s="1233">
        <f t="shared" si="12"/>
        <v>595001.35</v>
      </c>
      <c r="F26" s="1238">
        <f t="shared" si="12"/>
        <v>1549872.47</v>
      </c>
      <c r="G26" s="1233">
        <f t="shared" si="12"/>
        <v>1423527.61</v>
      </c>
      <c r="H26" s="1233">
        <f t="shared" si="12"/>
        <v>1733909.84</v>
      </c>
      <c r="I26" s="1233">
        <f t="shared" si="12"/>
        <v>7890097.2200000007</v>
      </c>
      <c r="J26" s="1233">
        <f t="shared" si="12"/>
        <v>16166710.020000001</v>
      </c>
      <c r="K26" s="1233">
        <f t="shared" si="12"/>
        <v>11886550.289999999</v>
      </c>
      <c r="L26" s="1233">
        <f t="shared" si="12"/>
        <v>12659941.220000001</v>
      </c>
      <c r="M26" s="1233">
        <f t="shared" si="12"/>
        <v>15204797.51</v>
      </c>
      <c r="N26" s="1233">
        <f t="shared" si="12"/>
        <v>5620798.7199999997</v>
      </c>
      <c r="O26" s="1233">
        <f t="shared" si="12"/>
        <v>5330355.3599999994</v>
      </c>
      <c r="P26" s="1233">
        <f t="shared" si="12"/>
        <v>3557189.4699999997</v>
      </c>
      <c r="Q26" s="1233">
        <f t="shared" si="12"/>
        <v>9528645.1699999999</v>
      </c>
      <c r="R26" s="1233">
        <f t="shared" si="6"/>
        <v>94352517</v>
      </c>
      <c r="S26" s="1230"/>
      <c r="T26" s="1230"/>
      <c r="U26" s="1230"/>
      <c r="V26" s="1230"/>
    </row>
    <row r="27" spans="1:23" s="1231" customFormat="1" ht="10.199999999999999">
      <c r="A27" s="1231" t="s">
        <v>1610</v>
      </c>
      <c r="B27" s="1645"/>
      <c r="C27" s="1645"/>
      <c r="D27" s="1645"/>
      <c r="E27" s="1626"/>
      <c r="F27" s="1645"/>
      <c r="G27" s="1626"/>
      <c r="H27" s="1626"/>
      <c r="I27" s="1626">
        <v>6290641.6900000004</v>
      </c>
      <c r="J27" s="1626">
        <v>14391880.130000001</v>
      </c>
      <c r="K27" s="1626">
        <v>9799035.4900000002</v>
      </c>
      <c r="L27" s="1626">
        <v>10674167.390000001</v>
      </c>
      <c r="M27" s="1626">
        <v>12853059.84</v>
      </c>
      <c r="N27" s="1626">
        <v>3433866.78</v>
      </c>
      <c r="O27" s="1626">
        <f>3349220.38-6120.38</f>
        <v>3343100</v>
      </c>
      <c r="P27" s="1626">
        <v>1786576.18</v>
      </c>
      <c r="Q27" s="1626">
        <v>7825189.7300000004</v>
      </c>
      <c r="R27" s="1626">
        <f t="shared" si="6"/>
        <v>70397517.230000004</v>
      </c>
    </row>
    <row r="28" spans="1:23" s="1231" customFormat="1" ht="10.199999999999999">
      <c r="A28" s="1231" t="s">
        <v>1279</v>
      </c>
      <c r="B28" s="1240"/>
      <c r="C28" s="1240"/>
      <c r="D28" s="1240"/>
      <c r="E28" s="1235"/>
      <c r="F28" s="1240">
        <v>767000</v>
      </c>
      <c r="G28" s="1235">
        <v>767000</v>
      </c>
      <c r="H28" s="1235">
        <v>767000</v>
      </c>
      <c r="I28" s="1235">
        <v>767000</v>
      </c>
      <c r="J28" s="1235">
        <v>767000</v>
      </c>
      <c r="K28" s="1235">
        <v>767000</v>
      </c>
      <c r="L28" s="1235">
        <v>767000</v>
      </c>
      <c r="M28" s="1235">
        <v>767000</v>
      </c>
      <c r="N28" s="1235">
        <v>767000</v>
      </c>
      <c r="O28" s="1235">
        <v>767000</v>
      </c>
      <c r="P28" s="1235">
        <v>767000</v>
      </c>
      <c r="Q28" s="1235">
        <v>783295.8</v>
      </c>
      <c r="R28" s="1235">
        <f t="shared" si="6"/>
        <v>9220295.8000000007</v>
      </c>
    </row>
    <row r="29" spans="1:23" s="1231" customFormat="1" ht="10.199999999999999">
      <c r="A29" s="1231" t="s">
        <v>1280</v>
      </c>
      <c r="B29" s="1240">
        <v>559355.54</v>
      </c>
      <c r="C29" s="1240"/>
      <c r="D29" s="1240">
        <v>645765.21</v>
      </c>
      <c r="E29" s="1235">
        <v>595001.35</v>
      </c>
      <c r="F29" s="1240">
        <v>677173.63</v>
      </c>
      <c r="G29" s="1235">
        <v>620535.91</v>
      </c>
      <c r="H29" s="1235">
        <v>825710.8</v>
      </c>
      <c r="I29" s="1235">
        <v>832455.53</v>
      </c>
      <c r="J29" s="1235">
        <v>941719.5</v>
      </c>
      <c r="K29" s="1235">
        <v>1237302.53</v>
      </c>
      <c r="L29" s="1235">
        <v>1132936.8999999999</v>
      </c>
      <c r="M29" s="1235">
        <v>1276808.69</v>
      </c>
      <c r="N29" s="1235">
        <v>1311409.7</v>
      </c>
      <c r="O29" s="1235">
        <v>1120340.27</v>
      </c>
      <c r="P29" s="1235">
        <v>924788.11</v>
      </c>
      <c r="Q29" s="1235">
        <v>905264.29</v>
      </c>
      <c r="R29" s="1235">
        <f t="shared" si="6"/>
        <v>13606567.959999997</v>
      </c>
    </row>
    <row r="30" spans="1:23" s="1231" customFormat="1" ht="10.199999999999999">
      <c r="A30" s="1231" t="s">
        <v>1757</v>
      </c>
      <c r="B30" s="1240"/>
      <c r="C30" s="1240"/>
      <c r="D30" s="1240"/>
      <c r="E30" s="1235"/>
      <c r="F30" s="1240">
        <v>105698.84</v>
      </c>
      <c r="G30" s="1235">
        <v>35991.699999999997</v>
      </c>
      <c r="H30" s="1235">
        <v>141199.04000000001</v>
      </c>
      <c r="I30" s="1235"/>
      <c r="J30" s="1235">
        <v>66110.39</v>
      </c>
      <c r="K30" s="1235">
        <v>83212.27</v>
      </c>
      <c r="L30" s="1235">
        <v>85836.93</v>
      </c>
      <c r="M30" s="1235">
        <v>307928.98</v>
      </c>
      <c r="N30" s="1235">
        <v>108522.24000000001</v>
      </c>
      <c r="O30" s="1235">
        <v>99915.09</v>
      </c>
      <c r="P30" s="1235">
        <v>78825.179999999993</v>
      </c>
      <c r="Q30" s="1235">
        <v>14895.35</v>
      </c>
      <c r="R30" s="1235">
        <f t="shared" si="6"/>
        <v>1128136.01</v>
      </c>
    </row>
    <row r="31" spans="1:23" s="1229" customFormat="1" ht="10.199999999999999">
      <c r="A31" s="1229" t="s">
        <v>1809</v>
      </c>
      <c r="B31" s="1238">
        <f>SUM(B32:B33)</f>
        <v>373034.61</v>
      </c>
      <c r="C31" s="1238">
        <f t="shared" ref="C31:Q31" si="13">SUM(C32:C33)</f>
        <v>43563.47</v>
      </c>
      <c r="D31" s="1238">
        <f t="shared" si="13"/>
        <v>36723.129999999997</v>
      </c>
      <c r="E31" s="1233">
        <f t="shared" si="13"/>
        <v>37034.89</v>
      </c>
      <c r="F31" s="1238">
        <f t="shared" si="13"/>
        <v>51335.37</v>
      </c>
      <c r="G31" s="1233">
        <f t="shared" si="13"/>
        <v>125971.53</v>
      </c>
      <c r="H31" s="1233">
        <f t="shared" si="13"/>
        <v>205035.01</v>
      </c>
      <c r="I31" s="1233">
        <f t="shared" si="13"/>
        <v>193826.15000000002</v>
      </c>
      <c r="J31" s="1233">
        <f t="shared" si="13"/>
        <v>228402.97999999998</v>
      </c>
      <c r="K31" s="1233">
        <f t="shared" si="13"/>
        <v>824240.61999999988</v>
      </c>
      <c r="L31" s="1233">
        <f t="shared" si="13"/>
        <v>143558.04999999999</v>
      </c>
      <c r="M31" s="1233">
        <f t="shared" si="13"/>
        <v>111569.53</v>
      </c>
      <c r="N31" s="1233">
        <f t="shared" si="13"/>
        <v>187644.31</v>
      </c>
      <c r="O31" s="1233">
        <f t="shared" si="13"/>
        <v>111272.45999999999</v>
      </c>
      <c r="P31" s="1233">
        <f t="shared" si="13"/>
        <v>1296067.68</v>
      </c>
      <c r="Q31" s="1233">
        <f t="shared" si="13"/>
        <v>578468.84</v>
      </c>
      <c r="R31" s="1233">
        <f t="shared" si="6"/>
        <v>4547748.629999999</v>
      </c>
      <c r="S31" s="1230"/>
      <c r="T31" s="1230"/>
      <c r="U31" s="1230"/>
      <c r="V31" s="1230"/>
    </row>
    <row r="32" spans="1:23" s="1231" customFormat="1" ht="10.199999999999999">
      <c r="A32" s="1231" t="s">
        <v>1281</v>
      </c>
      <c r="B32" s="1240">
        <v>344499.26</v>
      </c>
      <c r="C32" s="1243">
        <v>36279.57</v>
      </c>
      <c r="D32" s="1240">
        <v>36723.129999999997</v>
      </c>
      <c r="E32" s="1235">
        <v>37034.89</v>
      </c>
      <c r="F32" s="1240">
        <v>37423.760000000002</v>
      </c>
      <c r="G32" s="1235">
        <v>34807.29</v>
      </c>
      <c r="H32" s="1235">
        <v>35695</v>
      </c>
      <c r="I32" s="1235">
        <v>35546.730000000003</v>
      </c>
      <c r="J32" s="1235">
        <v>36234.199999999997</v>
      </c>
      <c r="K32" s="1235">
        <v>627694.68999999994</v>
      </c>
      <c r="L32" s="1235">
        <v>37152.89</v>
      </c>
      <c r="M32" s="1235">
        <v>37296.32</v>
      </c>
      <c r="N32" s="1235">
        <v>113391.16</v>
      </c>
      <c r="O32" s="1235">
        <v>37257.67</v>
      </c>
      <c r="P32" s="1235">
        <v>1216866.45</v>
      </c>
      <c r="Q32" s="1235">
        <v>486278.51</v>
      </c>
      <c r="R32" s="1235">
        <f t="shared" si="6"/>
        <v>3190181.5199999996</v>
      </c>
    </row>
    <row r="33" spans="1:22" s="1231" customFormat="1" ht="10.199999999999999">
      <c r="A33" s="1231" t="s">
        <v>1282</v>
      </c>
      <c r="B33" s="1240">
        <v>28535.35</v>
      </c>
      <c r="C33" s="1243">
        <v>7283.9</v>
      </c>
      <c r="D33" s="1240"/>
      <c r="E33" s="1235"/>
      <c r="F33" s="1240">
        <v>13911.61</v>
      </c>
      <c r="G33" s="1235">
        <v>91164.24</v>
      </c>
      <c r="H33" s="1235">
        <v>169340.01</v>
      </c>
      <c r="I33" s="1235">
        <v>158279.42000000001</v>
      </c>
      <c r="J33" s="1235">
        <v>192168.78</v>
      </c>
      <c r="K33" s="1235">
        <v>196545.93</v>
      </c>
      <c r="L33" s="1235">
        <v>106405.16</v>
      </c>
      <c r="M33" s="1235">
        <v>74273.210000000006</v>
      </c>
      <c r="N33" s="1235">
        <v>74253.149999999994</v>
      </c>
      <c r="O33" s="1235">
        <v>74014.789999999994</v>
      </c>
      <c r="P33" s="1235">
        <v>79201.23</v>
      </c>
      <c r="Q33" s="1235">
        <v>92190.33</v>
      </c>
      <c r="R33" s="1235">
        <f t="shared" si="6"/>
        <v>1357567.11</v>
      </c>
    </row>
    <row r="34" spans="1:22" s="1229" customFormat="1" ht="10.199999999999999">
      <c r="A34" s="1229" t="s">
        <v>854</v>
      </c>
      <c r="B34" s="1238">
        <f t="shared" ref="B34:Q34" si="14">SUM(B35:B42)</f>
        <v>9529685.3000000007</v>
      </c>
      <c r="C34" s="1238">
        <f t="shared" si="14"/>
        <v>915790.08000000007</v>
      </c>
      <c r="D34" s="1238">
        <f t="shared" si="14"/>
        <v>1931201.9</v>
      </c>
      <c r="E34" s="1238">
        <f t="shared" si="14"/>
        <v>1084802.17</v>
      </c>
      <c r="F34" s="1238">
        <f t="shared" si="14"/>
        <v>826552.34</v>
      </c>
      <c r="G34" s="1238">
        <f t="shared" si="14"/>
        <v>740040.2</v>
      </c>
      <c r="H34" s="1238">
        <f t="shared" si="14"/>
        <v>1412884.71</v>
      </c>
      <c r="I34" s="1238">
        <f t="shared" si="14"/>
        <v>3494146.35</v>
      </c>
      <c r="J34" s="1238">
        <f t="shared" si="14"/>
        <v>1721745.17</v>
      </c>
      <c r="K34" s="1238">
        <f t="shared" si="14"/>
        <v>551935.67999999993</v>
      </c>
      <c r="L34" s="1238">
        <f t="shared" si="14"/>
        <v>1245788.3799999999</v>
      </c>
      <c r="M34" s="1238">
        <f t="shared" si="14"/>
        <v>949800.34</v>
      </c>
      <c r="N34" s="1238">
        <f t="shared" si="14"/>
        <v>996281.21</v>
      </c>
      <c r="O34" s="1238">
        <f t="shared" si="14"/>
        <v>927133.48</v>
      </c>
      <c r="P34" s="1238">
        <f t="shared" si="14"/>
        <v>1013980.0700000001</v>
      </c>
      <c r="Q34" s="1238">
        <f t="shared" si="14"/>
        <v>1311923.6599999999</v>
      </c>
      <c r="R34" s="1238">
        <f t="shared" si="6"/>
        <v>28653691.039999999</v>
      </c>
      <c r="S34" s="1230"/>
      <c r="T34" s="1230"/>
      <c r="U34" s="1230"/>
      <c r="V34" s="1230"/>
    </row>
    <row r="35" spans="1:22" s="1231" customFormat="1" ht="10.199999999999999">
      <c r="A35" s="1231" t="s">
        <v>1283</v>
      </c>
      <c r="B35" s="1240">
        <v>4456434.6400000006</v>
      </c>
      <c r="C35" s="1243">
        <v>292040.78000000003</v>
      </c>
      <c r="D35" s="1240"/>
      <c r="E35" s="1235">
        <v>149662.62</v>
      </c>
      <c r="F35" s="1240">
        <v>167745.43</v>
      </c>
      <c r="G35" s="1235"/>
      <c r="H35" s="1235">
        <v>258175.66</v>
      </c>
      <c r="I35" s="1235"/>
      <c r="J35" s="1235"/>
      <c r="K35" s="1235"/>
      <c r="L35" s="1235"/>
      <c r="M35" s="1235">
        <v>-180453.94</v>
      </c>
      <c r="N35" s="1235"/>
      <c r="O35" s="1235"/>
      <c r="P35" s="1235"/>
      <c r="Q35" s="1235"/>
      <c r="R35" s="1235">
        <f t="shared" si="6"/>
        <v>5143605.1900000004</v>
      </c>
    </row>
    <row r="36" spans="1:22" s="1231" customFormat="1" ht="10.199999999999999">
      <c r="A36" s="1231" t="s">
        <v>2071</v>
      </c>
      <c r="B36" s="1240">
        <v>4481135.66</v>
      </c>
      <c r="C36" s="1240">
        <v>57400.509999999995</v>
      </c>
      <c r="D36" s="1240">
        <v>1795826.4</v>
      </c>
      <c r="E36" s="1235">
        <v>187959.76</v>
      </c>
      <c r="F36" s="1240">
        <v>188099.53</v>
      </c>
      <c r="G36" s="1235">
        <v>192037.45</v>
      </c>
      <c r="H36" s="1235">
        <v>179220.88999999998</v>
      </c>
      <c r="I36" s="1235">
        <v>2902845.21</v>
      </c>
      <c r="J36" s="1235">
        <v>1207725.21</v>
      </c>
      <c r="K36" s="1235">
        <v>52946.6</v>
      </c>
      <c r="L36" s="1235"/>
      <c r="M36" s="1235"/>
      <c r="N36" s="1235"/>
      <c r="O36" s="1235"/>
      <c r="P36" s="1235"/>
      <c r="Q36" s="1235"/>
      <c r="R36" s="1235">
        <f t="shared" si="6"/>
        <v>11245197.220000001</v>
      </c>
    </row>
    <row r="37" spans="1:22" s="1231" customFormat="1" ht="10.199999999999999">
      <c r="A37" s="1231" t="s">
        <v>2062</v>
      </c>
      <c r="B37" s="1240"/>
      <c r="C37" s="1243"/>
      <c r="D37" s="1240"/>
      <c r="E37" s="1235">
        <v>74992.789999999994</v>
      </c>
      <c r="F37" s="1240">
        <v>52091.040000000001</v>
      </c>
      <c r="G37" s="1235">
        <v>129162.79</v>
      </c>
      <c r="H37" s="1235">
        <v>186272.04</v>
      </c>
      <c r="I37" s="1235">
        <v>234473.14</v>
      </c>
      <c r="J37" s="1235">
        <v>259817.28</v>
      </c>
      <c r="K37" s="1235">
        <v>122677.4</v>
      </c>
      <c r="L37" s="1235">
        <v>196734.06</v>
      </c>
      <c r="M37" s="1235">
        <v>257568.44</v>
      </c>
      <c r="N37" s="1235">
        <v>176353.58</v>
      </c>
      <c r="O37" s="1235">
        <v>337884.2</v>
      </c>
      <c r="P37" s="1235">
        <v>114023.92</v>
      </c>
      <c r="Q37" s="1235">
        <v>472859.2</v>
      </c>
      <c r="R37" s="1235">
        <f t="shared" si="6"/>
        <v>2614909.8800000004</v>
      </c>
    </row>
    <row r="38" spans="1:22" s="1231" customFormat="1" ht="10.199999999999999">
      <c r="A38" s="1231" t="s">
        <v>2191</v>
      </c>
      <c r="B38" s="1240">
        <v>0</v>
      </c>
      <c r="C38" s="1243">
        <v>435604.79000000004</v>
      </c>
      <c r="D38" s="1240">
        <v>0</v>
      </c>
      <c r="E38" s="1235">
        <v>147972</v>
      </c>
      <c r="F38" s="1240">
        <v>149742</v>
      </c>
      <c r="G38" s="1235">
        <v>142190</v>
      </c>
      <c r="H38" s="1235">
        <v>142190</v>
      </c>
      <c r="I38" s="1235">
        <v>144432</v>
      </c>
      <c r="J38" s="1235">
        <v>144698.68</v>
      </c>
      <c r="K38" s="1235">
        <v>245567.68</v>
      </c>
      <c r="L38" s="1235">
        <v>316570.40000000002</v>
      </c>
      <c r="M38" s="1626">
        <v>325416.5</v>
      </c>
      <c r="N38" s="1235">
        <v>322352.40000000002</v>
      </c>
      <c r="O38" s="1235">
        <f>318842.61-2601.29</f>
        <v>316241.32</v>
      </c>
      <c r="P38" s="1235">
        <v>245440</v>
      </c>
      <c r="Q38" s="1235">
        <v>384208</v>
      </c>
      <c r="R38" s="1235">
        <f t="shared" si="6"/>
        <v>3462625.7699999996</v>
      </c>
    </row>
    <row r="39" spans="1:22" s="1231" customFormat="1" ht="10.199999999999999">
      <c r="A39" s="1231" t="s">
        <v>2073</v>
      </c>
      <c r="B39" s="1240">
        <v>559615</v>
      </c>
      <c r="C39" s="1240">
        <v>130744</v>
      </c>
      <c r="D39" s="1240">
        <v>130744</v>
      </c>
      <c r="E39" s="1235">
        <v>130744</v>
      </c>
      <c r="F39" s="1240">
        <v>130744</v>
      </c>
      <c r="G39" s="1235">
        <v>109504</v>
      </c>
      <c r="H39" s="1235">
        <v>109504</v>
      </c>
      <c r="I39" s="1235">
        <v>88264</v>
      </c>
      <c r="J39" s="1235">
        <v>109504</v>
      </c>
      <c r="K39" s="1235">
        <v>130744</v>
      </c>
      <c r="L39" s="1235">
        <v>70800</v>
      </c>
      <c r="M39" s="1626">
        <v>21240</v>
      </c>
      <c r="N39" s="1235">
        <v>278729.5</v>
      </c>
      <c r="O39" s="1235">
        <v>281966.5</v>
      </c>
      <c r="P39" s="1235">
        <v>146325.5</v>
      </c>
      <c r="Q39" s="1235">
        <v>190229.5</v>
      </c>
      <c r="R39" s="1235">
        <f t="shared" si="6"/>
        <v>2619402</v>
      </c>
    </row>
    <row r="40" spans="1:22" s="1231" customFormat="1" ht="10.199999999999999">
      <c r="A40" s="1231" t="s">
        <v>2043</v>
      </c>
      <c r="B40" s="1240">
        <v>32500</v>
      </c>
      <c r="C40" s="1240"/>
      <c r="D40" s="1240">
        <v>4631.5</v>
      </c>
      <c r="E40" s="1235">
        <v>826</v>
      </c>
      <c r="F40" s="1240">
        <v>138130.34</v>
      </c>
      <c r="G40" s="1235">
        <v>167145.96000000002</v>
      </c>
      <c r="H40" s="1235">
        <v>537522.12</v>
      </c>
      <c r="I40" s="1235">
        <v>124132</v>
      </c>
      <c r="J40" s="1235"/>
      <c r="K40" s="1235"/>
      <c r="L40" s="1235">
        <v>216162.42</v>
      </c>
      <c r="M40" s="1626">
        <v>12555.41</v>
      </c>
      <c r="N40" s="1235">
        <v>208600</v>
      </c>
      <c r="O40" s="1235"/>
      <c r="P40" s="1235"/>
      <c r="Q40" s="1235"/>
      <c r="R40" s="1235">
        <f t="shared" si="6"/>
        <v>1442205.75</v>
      </c>
    </row>
    <row r="41" spans="1:22" s="1231" customFormat="1" ht="10.199999999999999">
      <c r="A41" s="1231" t="s">
        <v>2074</v>
      </c>
      <c r="B41" s="1240"/>
      <c r="C41" s="1240"/>
      <c r="D41" s="1240"/>
      <c r="E41" s="1235">
        <v>392645</v>
      </c>
      <c r="F41" s="1240"/>
      <c r="G41" s="1235"/>
      <c r="H41" s="1235"/>
      <c r="I41" s="1235"/>
      <c r="J41" s="1235"/>
      <c r="K41" s="1235"/>
      <c r="L41" s="1235">
        <v>445521.5</v>
      </c>
      <c r="M41" s="1235">
        <v>513473.93</v>
      </c>
      <c r="N41" s="1235">
        <v>10245.73</v>
      </c>
      <c r="O41" s="1235">
        <v>-8958.5400000000009</v>
      </c>
      <c r="P41" s="1235"/>
      <c r="Q41" s="1235">
        <v>395890</v>
      </c>
      <c r="R41" s="1235">
        <f t="shared" si="6"/>
        <v>1748817.6199999999</v>
      </c>
    </row>
    <row r="42" spans="1:22" s="1231" customFormat="1" ht="10.199999999999999">
      <c r="A42" s="1231" t="s">
        <v>2075</v>
      </c>
      <c r="B42" s="1240"/>
      <c r="C42" s="1240"/>
      <c r="D42" s="1240"/>
      <c r="E42" s="1235"/>
      <c r="F42" s="1240"/>
      <c r="G42" s="1235"/>
      <c r="H42" s="1235"/>
      <c r="I42" s="1235"/>
      <c r="J42" s="1235"/>
      <c r="K42" s="1235"/>
      <c r="L42" s="1235"/>
      <c r="M42" s="1235"/>
      <c r="N42" s="1235"/>
      <c r="O42" s="1235"/>
      <c r="P42" s="1235">
        <v>508190.65</v>
      </c>
      <c r="Q42" s="1235">
        <f>376927.61-P42</f>
        <v>-131263.04000000004</v>
      </c>
      <c r="R42" s="1235">
        <f t="shared" si="6"/>
        <v>376927.61</v>
      </c>
    </row>
    <row r="43" spans="1:22" s="1229" customFormat="1" ht="10.199999999999999">
      <c r="A43" s="1229" t="s">
        <v>1811</v>
      </c>
      <c r="B43" s="1238">
        <f>SUM(B44:B45)</f>
        <v>0</v>
      </c>
      <c r="C43" s="1238">
        <f t="shared" ref="C43:Q43" si="15">SUM(C44:C45)</f>
        <v>0</v>
      </c>
      <c r="D43" s="1238">
        <f t="shared" si="15"/>
        <v>0</v>
      </c>
      <c r="E43" s="1233">
        <f t="shared" si="15"/>
        <v>0</v>
      </c>
      <c r="F43" s="1238">
        <f t="shared" si="15"/>
        <v>0</v>
      </c>
      <c r="G43" s="1233">
        <f t="shared" si="15"/>
        <v>0</v>
      </c>
      <c r="H43" s="1233">
        <f t="shared" si="15"/>
        <v>0</v>
      </c>
      <c r="I43" s="1233">
        <f t="shared" si="15"/>
        <v>0</v>
      </c>
      <c r="J43" s="1233">
        <f t="shared" si="15"/>
        <v>0</v>
      </c>
      <c r="K43" s="1233">
        <f t="shared" si="15"/>
        <v>0</v>
      </c>
      <c r="L43" s="1233">
        <f t="shared" si="15"/>
        <v>0</v>
      </c>
      <c r="M43" s="1233">
        <f t="shared" si="15"/>
        <v>0</v>
      </c>
      <c r="N43" s="1233">
        <f t="shared" si="15"/>
        <v>0</v>
      </c>
      <c r="O43" s="1233">
        <f t="shared" si="15"/>
        <v>0</v>
      </c>
      <c r="P43" s="1233">
        <f t="shared" si="15"/>
        <v>0</v>
      </c>
      <c r="Q43" s="1233">
        <f t="shared" si="15"/>
        <v>0</v>
      </c>
      <c r="R43" s="1233">
        <f t="shared" si="6"/>
        <v>0</v>
      </c>
      <c r="S43" s="1230"/>
      <c r="T43" s="1230"/>
      <c r="U43" s="1230"/>
      <c r="V43" s="1230"/>
    </row>
    <row r="44" spans="1:22" s="1231" customFormat="1" ht="10.199999999999999">
      <c r="A44" s="1231" t="s">
        <v>1812</v>
      </c>
      <c r="B44" s="1240"/>
      <c r="C44" s="1240"/>
      <c r="D44" s="1240"/>
      <c r="E44" s="1235"/>
      <c r="F44" s="1240"/>
      <c r="G44" s="1235"/>
      <c r="H44" s="1235"/>
      <c r="I44" s="1235"/>
      <c r="J44" s="1235"/>
      <c r="K44" s="1235"/>
      <c r="L44" s="1235"/>
      <c r="M44" s="1235"/>
      <c r="N44" s="1235"/>
      <c r="O44" s="1235"/>
      <c r="P44" s="1235"/>
      <c r="Q44" s="1235"/>
      <c r="R44" s="1235">
        <f t="shared" si="6"/>
        <v>0</v>
      </c>
    </row>
    <row r="45" spans="1:22" s="1231" customFormat="1" ht="10.199999999999999">
      <c r="A45" s="1231" t="s">
        <v>1813</v>
      </c>
      <c r="B45" s="1240"/>
      <c r="C45" s="1240"/>
      <c r="D45" s="1240"/>
      <c r="E45" s="1235"/>
      <c r="F45" s="1240"/>
      <c r="G45" s="1235"/>
      <c r="H45" s="1235"/>
      <c r="I45" s="1235"/>
      <c r="J45" s="1235"/>
      <c r="K45" s="1235"/>
      <c r="L45" s="1235"/>
      <c r="M45" s="1235"/>
      <c r="N45" s="1235"/>
      <c r="O45" s="1235"/>
      <c r="P45" s="1235"/>
      <c r="Q45" s="1235"/>
      <c r="R45" s="1235">
        <f t="shared" si="6"/>
        <v>0</v>
      </c>
    </row>
    <row r="46" spans="1:22" s="1229" customFormat="1" ht="10.199999999999999">
      <c r="A46" s="1229" t="s">
        <v>859</v>
      </c>
      <c r="B46" s="1238">
        <f>SUM(B47)</f>
        <v>12715384.379999999</v>
      </c>
      <c r="C46" s="1238">
        <f t="shared" ref="C46:Q46" si="16">SUM(C47)</f>
        <v>0</v>
      </c>
      <c r="D46" s="1238">
        <f t="shared" si="16"/>
        <v>0</v>
      </c>
      <c r="E46" s="1233">
        <f t="shared" si="16"/>
        <v>128745.38</v>
      </c>
      <c r="F46" s="1238">
        <f t="shared" si="16"/>
        <v>552632.57999999996</v>
      </c>
      <c r="G46" s="1233">
        <f t="shared" si="16"/>
        <v>120006</v>
      </c>
      <c r="H46" s="1233">
        <f t="shared" si="16"/>
        <v>1543136</v>
      </c>
      <c r="I46" s="1233">
        <f t="shared" si="16"/>
        <v>300</v>
      </c>
      <c r="J46" s="1233">
        <f t="shared" si="16"/>
        <v>223322.53</v>
      </c>
      <c r="K46" s="1233">
        <f t="shared" si="16"/>
        <v>1594150.23</v>
      </c>
      <c r="L46" s="1233">
        <f t="shared" si="16"/>
        <v>842419.7</v>
      </c>
      <c r="M46" s="1233">
        <f t="shared" si="16"/>
        <v>339222.22</v>
      </c>
      <c r="N46" s="1233">
        <f t="shared" si="16"/>
        <v>2546180</v>
      </c>
      <c r="O46" s="1233">
        <f t="shared" si="16"/>
        <v>517341.31</v>
      </c>
      <c r="P46" s="1233">
        <f t="shared" si="16"/>
        <v>0</v>
      </c>
      <c r="Q46" s="1233">
        <f t="shared" si="16"/>
        <v>347884.07</v>
      </c>
      <c r="R46" s="1233">
        <f t="shared" si="6"/>
        <v>21470724.399999995</v>
      </c>
      <c r="S46" s="1230"/>
      <c r="T46" s="1230"/>
      <c r="U46" s="1230"/>
      <c r="V46" s="1230"/>
    </row>
    <row r="47" spans="1:22" s="1231" customFormat="1" ht="10.199999999999999">
      <c r="A47" s="1231" t="s">
        <v>860</v>
      </c>
      <c r="B47" s="1239">
        <v>12715384.379999999</v>
      </c>
      <c r="C47" s="1239"/>
      <c r="D47" s="1239"/>
      <c r="E47" s="1234">
        <v>128745.38</v>
      </c>
      <c r="F47" s="1239">
        <v>552632.57999999996</v>
      </c>
      <c r="G47" s="1234">
        <v>120006</v>
      </c>
      <c r="H47" s="1234">
        <v>1543136</v>
      </c>
      <c r="I47" s="1234">
        <v>300</v>
      </c>
      <c r="J47" s="1234">
        <v>223322.53</v>
      </c>
      <c r="K47" s="1234">
        <f>1099066.83+495083.4</f>
        <v>1594150.23</v>
      </c>
      <c r="L47" s="1234">
        <v>842419.7</v>
      </c>
      <c r="M47" s="1234">
        <v>339222.22</v>
      </c>
      <c r="N47" s="1234">
        <v>2546180</v>
      </c>
      <c r="O47" s="1234">
        <v>517341.31</v>
      </c>
      <c r="P47" s="1234"/>
      <c r="Q47" s="1234">
        <f>201652.76+146231.31</f>
        <v>347884.07</v>
      </c>
      <c r="R47" s="1234">
        <f t="shared" si="6"/>
        <v>21470724.399999995</v>
      </c>
      <c r="S47" s="1870"/>
    </row>
    <row r="48" spans="1:22" s="1229" customFormat="1" ht="10.199999999999999">
      <c r="A48" s="1229" t="s">
        <v>1814</v>
      </c>
      <c r="B48" s="1238">
        <f>SUM(B49)</f>
        <v>0</v>
      </c>
      <c r="C48" s="1238">
        <f t="shared" ref="C48:Q48" si="17">SUM(C49)</f>
        <v>0</v>
      </c>
      <c r="D48" s="1238">
        <f t="shared" si="17"/>
        <v>0</v>
      </c>
      <c r="E48" s="1233">
        <f t="shared" si="17"/>
        <v>0</v>
      </c>
      <c r="F48" s="1238">
        <f t="shared" si="17"/>
        <v>0</v>
      </c>
      <c r="G48" s="1233">
        <f t="shared" si="17"/>
        <v>0</v>
      </c>
      <c r="H48" s="1233">
        <f t="shared" si="17"/>
        <v>0</v>
      </c>
      <c r="I48" s="1233">
        <f t="shared" si="17"/>
        <v>0</v>
      </c>
      <c r="J48" s="1233">
        <f t="shared" si="17"/>
        <v>0</v>
      </c>
      <c r="K48" s="1233">
        <f t="shared" si="17"/>
        <v>0</v>
      </c>
      <c r="L48" s="1233">
        <f t="shared" si="17"/>
        <v>0</v>
      </c>
      <c r="M48" s="1233">
        <f t="shared" si="17"/>
        <v>0</v>
      </c>
      <c r="N48" s="1233">
        <f t="shared" si="17"/>
        <v>0</v>
      </c>
      <c r="O48" s="1233">
        <f t="shared" si="17"/>
        <v>0</v>
      </c>
      <c r="P48" s="1233">
        <f t="shared" si="17"/>
        <v>0</v>
      </c>
      <c r="Q48" s="1233">
        <f t="shared" si="17"/>
        <v>0</v>
      </c>
      <c r="R48" s="1233">
        <f t="shared" si="6"/>
        <v>0</v>
      </c>
      <c r="S48" s="1230"/>
      <c r="T48" s="1230"/>
      <c r="U48" s="1230"/>
      <c r="V48" s="1230"/>
    </row>
    <row r="49" spans="1:22" s="1231" customFormat="1" ht="10.199999999999999">
      <c r="A49" s="1231" t="s">
        <v>1815</v>
      </c>
      <c r="B49" s="1239"/>
      <c r="C49" s="1239"/>
      <c r="D49" s="1239"/>
      <c r="E49" s="1234"/>
      <c r="F49" s="1239"/>
      <c r="G49" s="1234"/>
      <c r="H49" s="1234"/>
      <c r="I49" s="1234"/>
      <c r="J49" s="1234"/>
      <c r="K49" s="1234"/>
      <c r="L49" s="1234"/>
      <c r="M49" s="1234"/>
      <c r="N49" s="1234"/>
      <c r="O49" s="1234"/>
      <c r="P49" s="1234"/>
      <c r="Q49" s="1234"/>
      <c r="R49" s="1234">
        <f t="shared" si="6"/>
        <v>0</v>
      </c>
    </row>
    <row r="50" spans="1:22" s="1229" customFormat="1" ht="10.199999999999999">
      <c r="A50" s="1229" t="s">
        <v>1816</v>
      </c>
      <c r="B50" s="1238">
        <f>SUM(B51)</f>
        <v>0</v>
      </c>
      <c r="C50" s="1238">
        <f t="shared" ref="C50:Q50" si="18">SUM(C51)</f>
        <v>0</v>
      </c>
      <c r="D50" s="1238">
        <f t="shared" si="18"/>
        <v>0</v>
      </c>
      <c r="E50" s="1233">
        <f t="shared" si="18"/>
        <v>0</v>
      </c>
      <c r="F50" s="1238">
        <f t="shared" si="18"/>
        <v>0</v>
      </c>
      <c r="G50" s="1233">
        <f t="shared" si="18"/>
        <v>0</v>
      </c>
      <c r="H50" s="1233">
        <f t="shared" si="18"/>
        <v>0</v>
      </c>
      <c r="I50" s="1233">
        <f t="shared" si="18"/>
        <v>0</v>
      </c>
      <c r="J50" s="1233">
        <f t="shared" si="18"/>
        <v>0</v>
      </c>
      <c r="K50" s="1233">
        <f t="shared" si="18"/>
        <v>0</v>
      </c>
      <c r="L50" s="1233">
        <f t="shared" si="18"/>
        <v>5900</v>
      </c>
      <c r="M50" s="1233">
        <f t="shared" si="18"/>
        <v>0</v>
      </c>
      <c r="N50" s="1233">
        <f t="shared" si="18"/>
        <v>4408448</v>
      </c>
      <c r="O50" s="1233">
        <f t="shared" si="18"/>
        <v>0</v>
      </c>
      <c r="P50" s="1233">
        <f t="shared" si="18"/>
        <v>0</v>
      </c>
      <c r="Q50" s="1233">
        <f t="shared" si="18"/>
        <v>8473629.6600000001</v>
      </c>
      <c r="R50" s="1233">
        <f t="shared" si="6"/>
        <v>12887977.66</v>
      </c>
      <c r="S50" s="1230"/>
      <c r="T50" s="1230"/>
      <c r="U50" s="1230"/>
      <c r="V50" s="1230"/>
    </row>
    <row r="51" spans="1:22" s="1231" customFormat="1" ht="10.199999999999999">
      <c r="A51" s="1231" t="s">
        <v>1817</v>
      </c>
      <c r="B51" s="1239"/>
      <c r="C51" s="1239"/>
      <c r="D51" s="1239"/>
      <c r="E51" s="1234"/>
      <c r="F51" s="1239"/>
      <c r="G51" s="1234"/>
      <c r="H51" s="1234"/>
      <c r="I51" s="1234"/>
      <c r="J51" s="1234"/>
      <c r="K51" s="1234"/>
      <c r="L51" s="1234">
        <v>5900</v>
      </c>
      <c r="M51" s="1234"/>
      <c r="N51" s="1234">
        <v>4408448</v>
      </c>
      <c r="O51" s="1234"/>
      <c r="P51" s="1234"/>
      <c r="Q51" s="1234">
        <v>8473629.6600000001</v>
      </c>
      <c r="R51" s="1234">
        <f t="shared" si="6"/>
        <v>12887977.66</v>
      </c>
    </row>
    <row r="52" spans="1:22" s="1245" customFormat="1" ht="13.8">
      <c r="A52" s="1245" t="s">
        <v>1818</v>
      </c>
      <c r="B52" s="1246">
        <f t="shared" ref="B52:M52" si="19">+B2+B4+B6+B8+B10+B12+B20+B22+B24+B26+B31+B34+B43+B46+B48+B50</f>
        <v>149543038.89000002</v>
      </c>
      <c r="C52" s="1246">
        <f t="shared" si="19"/>
        <v>2968703.3</v>
      </c>
      <c r="D52" s="1246">
        <f t="shared" si="19"/>
        <v>2613690.2399999998</v>
      </c>
      <c r="E52" s="1247">
        <f t="shared" si="19"/>
        <v>2876903.79</v>
      </c>
      <c r="F52" s="1246">
        <f t="shared" si="19"/>
        <v>7667982.7599999998</v>
      </c>
      <c r="G52" s="1247">
        <f t="shared" si="19"/>
        <v>6705088.7200000007</v>
      </c>
      <c r="H52" s="1247">
        <f t="shared" si="19"/>
        <v>10036771</v>
      </c>
      <c r="I52" s="1247">
        <f t="shared" si="19"/>
        <v>19175567.920000002</v>
      </c>
      <c r="J52" s="1247">
        <f t="shared" si="19"/>
        <v>197315960.72999996</v>
      </c>
      <c r="K52" s="1247">
        <f t="shared" si="19"/>
        <v>19508128.399999999</v>
      </c>
      <c r="L52" s="1247">
        <f t="shared" si="19"/>
        <v>20648882.489999998</v>
      </c>
      <c r="M52" s="1247">
        <f t="shared" si="19"/>
        <v>23615603.98</v>
      </c>
      <c r="N52" s="1247">
        <f>+N2+N4+N6+N8+N10+N12+N20+N22+N24+N26+N31+N34+N43+N46+N48+N50</f>
        <v>34297561.019999996</v>
      </c>
      <c r="O52" s="1247">
        <f>+O2+O4+O6+O8+O10+O12+O20+O22+O24+O26+O31+O34+O43+O46+O48+O50</f>
        <v>13981426.510000002</v>
      </c>
      <c r="P52" s="1247">
        <f>+P2+P4+P6+P8+P10+P12+P20+P22+P24+P26+P31+P34+P43+P46+P48+P50</f>
        <v>23332142.700000003</v>
      </c>
      <c r="Q52" s="1247">
        <f>+Q2+Q4+Q6+Q8+Q10+Q12+Q20+Q22+Q24+Q26+Q31+Q34+Q43+Q46+Q48+Q50</f>
        <v>52302359.239999995</v>
      </c>
      <c r="R52" s="1247">
        <f t="shared" si="6"/>
        <v>586589811.68999994</v>
      </c>
    </row>
    <row r="53" spans="1:22">
      <c r="R53" s="1236">
        <f>+'BCE 03-26'!C27-'BCE 03-26'!C23</f>
        <v>586589811.69000006</v>
      </c>
    </row>
    <row r="54" spans="1:22">
      <c r="R54" s="1236">
        <f>+R52-R53</f>
        <v>0</v>
      </c>
    </row>
  </sheetData>
  <autoFilter ref="A1:R54" xr:uid="{E2A45053-F1C6-4266-8F20-3FD38BF97DEF}"/>
  <pageMargins left="0.7" right="0.7" top="0.75" bottom="0.75" header="0.3" footer="0.3"/>
  <pageSetup paperSize="9" orientation="portrait" r:id="rId1"/>
  <legacyDrawing r:id="rId2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EFED7-D741-40DF-8B84-3D1EB79109FA}">
  <sheetPr>
    <pageSetUpPr autoPageBreaks="0" fitToPage="1"/>
  </sheetPr>
  <dimension ref="B1:AA36"/>
  <sheetViews>
    <sheetView showGridLines="0" topLeftCell="A9" zoomScale="120" zoomScaleNormal="120" zoomScalePageLayoutView="125" workbookViewId="0">
      <selection activeCell="E17" sqref="E17"/>
    </sheetView>
  </sheetViews>
  <sheetFormatPr baseColWidth="10" defaultColWidth="2.6640625" defaultRowHeight="13.8"/>
  <cols>
    <col min="1" max="1" width="1.33203125" style="1173" customWidth="1"/>
    <col min="2" max="2" width="22.6640625" style="1173" customWidth="1"/>
    <col min="3" max="3" width="15" style="1177" bestFit="1" customWidth="1"/>
    <col min="4" max="4" width="15.5546875" style="1173" customWidth="1"/>
    <col min="5" max="5" width="15.33203125" style="1173" customWidth="1"/>
    <col min="6" max="7" width="13.6640625" style="1173" customWidth="1"/>
    <col min="8" max="8" width="13.6640625" style="1173" hidden="1" customWidth="1"/>
    <col min="9" max="9" width="12.6640625" style="1173" customWidth="1"/>
    <col min="10" max="10" width="12.5546875" style="1173" customWidth="1"/>
    <col min="11" max="11" width="10.5546875" style="1173" hidden="1" customWidth="1"/>
    <col min="12" max="12" width="11.33203125" style="1173" hidden="1" customWidth="1"/>
    <col min="13" max="13" width="10.5546875" style="1173" hidden="1" customWidth="1"/>
    <col min="14" max="15" width="11.44140625" style="1173" hidden="1" customWidth="1"/>
    <col min="16" max="17" width="12.44140625" style="1173" hidden="1" customWidth="1"/>
    <col min="18" max="18" width="12.5546875" style="1173" hidden="1" customWidth="1"/>
    <col min="19" max="23" width="12.44140625" style="1173" hidden="1" customWidth="1"/>
    <col min="24" max="26" width="12.44140625" style="1173" customWidth="1"/>
    <col min="27" max="27" width="13.88671875" style="1173" hidden="1" customWidth="1"/>
    <col min="28" max="16384" width="2.6640625" style="1173"/>
  </cols>
  <sheetData>
    <row r="1" spans="2:27" ht="23.4">
      <c r="B1" s="1175" t="s">
        <v>1891</v>
      </c>
      <c r="C1" s="1176"/>
      <c r="F1" s="1257" t="s">
        <v>1892</v>
      </c>
    </row>
    <row r="2" spans="2:27" ht="9.6" customHeight="1">
      <c r="B2" s="1179"/>
      <c r="C2" s="1180"/>
      <c r="F2" s="1181"/>
      <c r="G2" s="1181"/>
      <c r="H2" s="1181"/>
    </row>
    <row r="3" spans="2:27" ht="28.8">
      <c r="B3" s="2153" t="s">
        <v>1893</v>
      </c>
      <c r="C3" s="2153"/>
      <c r="D3" s="1970" t="s">
        <v>2334</v>
      </c>
      <c r="E3" s="1971"/>
    </row>
    <row r="4" spans="2:27" s="1183" customFormat="1" ht="12">
      <c r="B4" s="1184" t="s">
        <v>29</v>
      </c>
      <c r="C4" s="1184" t="s">
        <v>1895</v>
      </c>
      <c r="D4" s="1184" t="s">
        <v>1896</v>
      </c>
      <c r="E4" s="1401"/>
      <c r="F4" s="1401"/>
      <c r="G4" s="1184"/>
      <c r="H4" s="1184"/>
      <c r="I4" s="1185"/>
      <c r="J4" s="1185"/>
      <c r="K4" s="1185" t="s">
        <v>1897</v>
      </c>
      <c r="L4" s="1185">
        <v>45658</v>
      </c>
      <c r="M4" s="1185">
        <v>45689</v>
      </c>
      <c r="N4" s="1185">
        <v>45717</v>
      </c>
      <c r="O4" s="1185">
        <v>45748</v>
      </c>
      <c r="P4" s="1185">
        <v>45778</v>
      </c>
      <c r="Q4" s="1185">
        <v>45809</v>
      </c>
      <c r="R4" s="1185">
        <v>45839</v>
      </c>
      <c r="S4" s="1185">
        <v>45870</v>
      </c>
      <c r="T4" s="1185">
        <v>45901</v>
      </c>
      <c r="U4" s="1185">
        <v>45931</v>
      </c>
      <c r="V4" s="1185">
        <v>45962</v>
      </c>
      <c r="W4" s="1185">
        <v>45992</v>
      </c>
      <c r="X4" s="1185">
        <v>46023</v>
      </c>
      <c r="Y4" s="1185">
        <v>46054</v>
      </c>
      <c r="Z4" s="1185">
        <v>46082</v>
      </c>
      <c r="AA4" s="1184" t="s">
        <v>1898</v>
      </c>
    </row>
    <row r="5" spans="2:27" s="1183" customFormat="1" ht="12.6" thickBot="1">
      <c r="B5" s="1261" t="s">
        <v>1899</v>
      </c>
      <c r="C5" s="1258">
        <v>462</v>
      </c>
      <c r="D5" s="1402">
        <f>SUM(K5:T5)</f>
        <v>76</v>
      </c>
      <c r="E5" s="1264"/>
      <c r="F5" s="1259"/>
      <c r="G5" s="1259"/>
      <c r="H5" s="1259"/>
      <c r="Q5" s="1183">
        <v>3</v>
      </c>
      <c r="R5" s="1183">
        <v>29</v>
      </c>
      <c r="S5" s="1183">
        <v>20</v>
      </c>
      <c r="T5" s="1260">
        <v>24</v>
      </c>
      <c r="U5" s="1260"/>
      <c r="V5" s="1260"/>
      <c r="W5" s="1260"/>
      <c r="X5" s="1260"/>
      <c r="Y5" s="1260"/>
      <c r="Z5" s="1260"/>
      <c r="AA5" s="1384">
        <f>+C5-D5</f>
        <v>386</v>
      </c>
    </row>
    <row r="6" spans="2:27" s="1183" customFormat="1" ht="12.6" thickBot="1">
      <c r="B6" s="1266" t="s">
        <v>1900</v>
      </c>
      <c r="C6" s="1373">
        <f>+'ADI 09-25'!D50</f>
        <v>68068862.399999991</v>
      </c>
      <c r="D6" s="1403">
        <f>SUM(K6:T6)</f>
        <v>13885050</v>
      </c>
      <c r="E6" s="1373"/>
      <c r="F6" s="1186"/>
      <c r="G6" s="1186"/>
      <c r="H6" s="1186"/>
      <c r="I6" s="1187"/>
      <c r="J6" s="1362"/>
      <c r="K6" s="1405"/>
      <c r="L6" s="1405">
        <v>138050</v>
      </c>
      <c r="M6" s="1405"/>
      <c r="N6" s="1405"/>
      <c r="O6" s="1405">
        <v>403450</v>
      </c>
      <c r="P6" s="1405">
        <v>3464300</v>
      </c>
      <c r="Q6" s="1405">
        <v>1453610</v>
      </c>
      <c r="R6" s="1405">
        <v>3115440</v>
      </c>
      <c r="S6" s="1405">
        <v>2848600</v>
      </c>
      <c r="T6" s="1406">
        <v>2461600</v>
      </c>
      <c r="U6" s="1364"/>
      <c r="V6" s="1364"/>
      <c r="W6" s="1364"/>
      <c r="X6" s="1364"/>
      <c r="Y6" s="1364"/>
      <c r="Z6" s="1364"/>
      <c r="AA6" s="1364">
        <f>+C6-D6</f>
        <v>54183812.399999991</v>
      </c>
    </row>
    <row r="7" spans="2:27" s="1183" customFormat="1" ht="12.6" thickBot="1">
      <c r="B7" s="1407" t="s">
        <v>1901</v>
      </c>
      <c r="C7" s="1373"/>
      <c r="D7" s="1403"/>
      <c r="E7" s="1373"/>
      <c r="F7" s="1186"/>
      <c r="G7" s="1186"/>
      <c r="H7" s="1186"/>
      <c r="I7" s="1187"/>
      <c r="J7" s="1362"/>
      <c r="K7" s="1405"/>
      <c r="L7" s="1405"/>
      <c r="M7" s="1405"/>
      <c r="N7" s="1405"/>
      <c r="O7" s="1405"/>
      <c r="P7" s="1405"/>
      <c r="Q7" s="1405"/>
      <c r="R7" s="1405"/>
      <c r="S7" s="1405"/>
      <c r="T7" s="1406"/>
      <c r="U7" s="1364"/>
      <c r="V7" s="1364"/>
      <c r="W7" s="1364"/>
      <c r="X7" s="1364"/>
      <c r="Y7" s="1364"/>
      <c r="Z7" s="1364"/>
      <c r="AA7" s="1364"/>
    </row>
    <row r="8" spans="2:27" s="1183" customFormat="1" ht="12.6" thickBot="1">
      <c r="B8" s="1262" t="s">
        <v>1902</v>
      </c>
      <c r="C8" s="1365">
        <f>+'ADI 09-25'!C50</f>
        <v>4152200606.3999996</v>
      </c>
      <c r="D8" s="1404">
        <f>SUM(K8:T8)</f>
        <v>76880590.930000007</v>
      </c>
      <c r="E8" s="1365"/>
      <c r="F8" s="1263">
        <f>+D8</f>
        <v>76880590.930000007</v>
      </c>
      <c r="G8" s="1263"/>
      <c r="H8" s="1263"/>
      <c r="I8" s="1265"/>
      <c r="J8" s="1363"/>
      <c r="K8" s="1374">
        <v>597566.75</v>
      </c>
      <c r="L8" s="1374">
        <v>123420.98</v>
      </c>
      <c r="M8" s="1374">
        <v>-123572.38</v>
      </c>
      <c r="N8" s="1374">
        <v>61261.19</v>
      </c>
      <c r="O8" s="1374">
        <v>3006924.23</v>
      </c>
      <c r="P8" s="1374">
        <v>6287923.8600000003</v>
      </c>
      <c r="Q8" s="1374">
        <v>12848147.640000001</v>
      </c>
      <c r="R8" s="1374">
        <v>18376055.530000001</v>
      </c>
      <c r="S8" s="1374">
        <v>16465115.92</v>
      </c>
      <c r="T8" s="1375">
        <v>19237747.210000001</v>
      </c>
      <c r="U8" s="1366"/>
      <c r="V8" s="1366"/>
      <c r="W8" s="1366"/>
      <c r="X8" s="1366"/>
      <c r="Y8" s="1366"/>
      <c r="Z8" s="1366"/>
      <c r="AA8" s="1366">
        <f>+C8-D8</f>
        <v>4075320015.4699998</v>
      </c>
    </row>
    <row r="9" spans="2:27" s="1183" customFormat="1" ht="15" customHeight="1" thickBot="1">
      <c r="B9" s="1262" t="s">
        <v>1903</v>
      </c>
      <c r="C9" s="1225"/>
      <c r="D9" s="1226"/>
      <c r="E9" s="1226"/>
      <c r="F9" s="1226"/>
      <c r="G9" s="1226"/>
      <c r="H9" s="1226"/>
      <c r="K9" s="1189"/>
      <c r="L9" s="1189"/>
      <c r="M9" s="1189"/>
      <c r="N9" s="1189"/>
      <c r="O9" s="1189"/>
      <c r="P9" s="1189"/>
      <c r="Q9" s="1189"/>
      <c r="R9" s="1189"/>
      <c r="S9" s="1189"/>
      <c r="T9" s="1189"/>
      <c r="U9" s="1189"/>
      <c r="V9" s="1189"/>
      <c r="W9" s="1189"/>
      <c r="X9" s="1189"/>
      <c r="Y9" s="1189"/>
      <c r="Z9" s="1189"/>
      <c r="AA9" s="1189"/>
    </row>
    <row r="10" spans="2:27" s="1183" customFormat="1" ht="12" customHeight="1">
      <c r="C10" s="1188"/>
      <c r="D10" s="2155" t="s">
        <v>2578</v>
      </c>
      <c r="E10" s="2156"/>
      <c r="F10" s="2156"/>
      <c r="G10" s="2156"/>
      <c r="H10" s="2156"/>
      <c r="I10" s="2156"/>
      <c r="J10" s="2157"/>
      <c r="K10" s="1189"/>
      <c r="L10" s="1189"/>
      <c r="M10" s="1189"/>
      <c r="N10" s="1189"/>
      <c r="O10" s="1189"/>
      <c r="P10" s="1189"/>
      <c r="Q10" s="1189"/>
      <c r="R10" s="1189"/>
      <c r="S10" s="1189"/>
      <c r="T10" s="1189"/>
      <c r="U10" s="1189"/>
      <c r="V10" s="1189"/>
      <c r="W10" s="1189"/>
      <c r="X10" s="1189"/>
      <c r="Y10" s="1189"/>
      <c r="Z10" s="1189"/>
      <c r="AA10" s="1189"/>
    </row>
    <row r="11" spans="2:27" s="1183" customFormat="1" ht="24">
      <c r="B11" s="2154" t="s">
        <v>1905</v>
      </c>
      <c r="C11" s="2154"/>
      <c r="D11" s="1222" t="s">
        <v>2579</v>
      </c>
      <c r="E11" s="1222" t="s">
        <v>1907</v>
      </c>
      <c r="F11" s="1222" t="s">
        <v>1908</v>
      </c>
      <c r="G11" s="1223" t="s">
        <v>1909</v>
      </c>
      <c r="H11" s="1223" t="s">
        <v>2336</v>
      </c>
      <c r="I11" s="1223" t="s">
        <v>1910</v>
      </c>
      <c r="J11" s="1223" t="s">
        <v>1911</v>
      </c>
      <c r="K11" s="1190"/>
      <c r="P11" s="1191"/>
    </row>
    <row r="12" spans="2:27" s="1183" customFormat="1" ht="15.6">
      <c r="B12" s="1182"/>
      <c r="C12" s="1182"/>
      <c r="D12" s="1224" t="s">
        <v>1912</v>
      </c>
      <c r="E12" s="1224" t="s">
        <v>1913</v>
      </c>
      <c r="F12" s="1224" t="s">
        <v>1914</v>
      </c>
      <c r="G12" s="1224" t="s">
        <v>1915</v>
      </c>
      <c r="H12" s="1224" t="s">
        <v>2337</v>
      </c>
      <c r="I12" s="1224" t="s">
        <v>1916</v>
      </c>
      <c r="J12" s="1224" t="s">
        <v>1917</v>
      </c>
      <c r="K12" s="1190" t="s">
        <v>1918</v>
      </c>
      <c r="P12" s="1191"/>
      <c r="U12" s="1183" t="s">
        <v>1919</v>
      </c>
    </row>
    <row r="13" spans="2:27" s="1192" customFormat="1" ht="12">
      <c r="B13" s="1193" t="s">
        <v>29</v>
      </c>
      <c r="C13" s="1193" t="s">
        <v>1895</v>
      </c>
      <c r="D13" s="1193"/>
      <c r="E13" s="1193"/>
      <c r="F13" s="1193"/>
      <c r="G13" s="1193"/>
      <c r="H13" s="1193"/>
      <c r="I13" s="1193"/>
      <c r="J13" s="1194"/>
      <c r="K13" s="1194" t="s">
        <v>1897</v>
      </c>
      <c r="L13" s="1194">
        <v>45658</v>
      </c>
      <c r="M13" s="1194">
        <v>45689</v>
      </c>
      <c r="N13" s="1194">
        <v>45717</v>
      </c>
      <c r="O13" s="1194">
        <v>45748</v>
      </c>
      <c r="P13" s="1194">
        <v>45778</v>
      </c>
      <c r="Q13" s="1194">
        <v>45809</v>
      </c>
      <c r="R13" s="1194">
        <v>45839</v>
      </c>
      <c r="S13" s="1194">
        <v>45870</v>
      </c>
      <c r="T13" s="1194">
        <v>45901</v>
      </c>
      <c r="U13" s="1194">
        <v>45931</v>
      </c>
      <c r="V13" s="1194">
        <v>45962</v>
      </c>
      <c r="W13" s="1194">
        <v>45992</v>
      </c>
      <c r="X13" s="1194">
        <v>46023</v>
      </c>
      <c r="Y13" s="1194">
        <v>46054</v>
      </c>
      <c r="Z13" s="1194">
        <v>46082</v>
      </c>
      <c r="AA13" s="1193" t="s">
        <v>1898</v>
      </c>
    </row>
    <row r="14" spans="2:27" s="1183" customFormat="1" ht="12">
      <c r="B14" s="1195" t="s">
        <v>1428</v>
      </c>
      <c r="C14" s="1196">
        <f>+'ADI 09-25'!C18</f>
        <v>106933000</v>
      </c>
      <c r="D14" s="1196">
        <f t="shared" ref="D14:D20" si="0">SUM(G14:I14)</f>
        <v>264445080.15999997</v>
      </c>
      <c r="E14" s="1196">
        <f t="shared" ref="E14:E20" si="1">+C14-D14</f>
        <v>-157512080.15999997</v>
      </c>
      <c r="F14" s="1196">
        <f t="shared" ref="F14:F20" si="2">SUM(G14:J14)</f>
        <v>264445080.15999997</v>
      </c>
      <c r="G14" s="1196">
        <f t="shared" ref="G14:G20" si="3">SUM(K14:Z14)</f>
        <v>264445080.15999997</v>
      </c>
      <c r="H14" s="1196"/>
      <c r="I14" s="1196"/>
      <c r="J14" s="1196"/>
      <c r="K14" s="1376">
        <f>+'Costos a Sept-25'!B2</f>
        <v>94172341.829999998</v>
      </c>
      <c r="L14" s="1376">
        <f>+'Costos a Sept-25'!C2</f>
        <v>0</v>
      </c>
      <c r="M14" s="1376">
        <f>+'Costos a Sept-25'!D2</f>
        <v>0</v>
      </c>
      <c r="N14" s="1376">
        <f>+'Costos a Sept-25'!E2</f>
        <v>0</v>
      </c>
      <c r="O14" s="1376">
        <f>+'Costos a Sept-25'!F2</f>
        <v>0</v>
      </c>
      <c r="P14" s="1376">
        <f>+'Costos a Sept-25'!G2</f>
        <v>18880</v>
      </c>
      <c r="Q14" s="1376">
        <f>+'Costos a Sept-25'!H2</f>
        <v>0</v>
      </c>
      <c r="R14" s="1376">
        <f>+'Costos a Sept-25'!I2</f>
        <v>0</v>
      </c>
      <c r="S14" s="1376">
        <f>+'Costos a Sept-25'!J2</f>
        <v>170252678.32999998</v>
      </c>
      <c r="T14" s="1377">
        <f>+'Costos a Sept-25'!K2</f>
        <v>1180</v>
      </c>
      <c r="U14" s="1377">
        <f>+'Costos a Oct-25'!L2</f>
        <v>0</v>
      </c>
      <c r="V14" s="1376">
        <f>+'Costos a Sept-25'!M2</f>
        <v>0</v>
      </c>
      <c r="W14" s="1376">
        <f>+'Costos a Ene-26'!N2</f>
        <v>0</v>
      </c>
      <c r="X14" s="1376">
        <f>+'Costos a Ene-26'!O2</f>
        <v>0</v>
      </c>
      <c r="Y14" s="1376">
        <f>+'Costos a Feb-26'!P2</f>
        <v>0</v>
      </c>
      <c r="Z14" s="1376">
        <f>+'Costos a Mar-26'!Q2</f>
        <v>0</v>
      </c>
      <c r="AA14" s="1208">
        <f t="shared" ref="AA14:AA20" si="4">SUM(U14:X14)</f>
        <v>0</v>
      </c>
    </row>
    <row r="15" spans="2:27" s="1183" customFormat="1" ht="12">
      <c r="B15" s="1197" t="s">
        <v>35</v>
      </c>
      <c r="C15" s="1198">
        <f>+'ADI 09-25'!C19</f>
        <v>469173666.60000002</v>
      </c>
      <c r="D15" s="1198">
        <f t="shared" si="0"/>
        <v>39219126.979999997</v>
      </c>
      <c r="E15" s="1198">
        <f t="shared" si="1"/>
        <v>429954539.62</v>
      </c>
      <c r="F15" s="1198">
        <f t="shared" si="2"/>
        <v>38505869.989999995</v>
      </c>
      <c r="G15" s="1198">
        <f t="shared" si="3"/>
        <v>38518107.859999992</v>
      </c>
      <c r="H15" s="1198">
        <v>278099.52</v>
      </c>
      <c r="I15" s="1198">
        <f>+'Anticipos 03-26'!D5</f>
        <v>422919.6</v>
      </c>
      <c r="J15" s="1198">
        <f>-'CXP 03-26 RES'!H7</f>
        <v>-713256.98999999987</v>
      </c>
      <c r="K15" s="1378">
        <f>+'Costos a Sept-25'!B6</f>
        <v>9219083.5899999999</v>
      </c>
      <c r="L15" s="1378">
        <f>+'Costos a Sept-25'!C6</f>
        <v>0</v>
      </c>
      <c r="M15" s="1378">
        <f>+'Costos a Sept-25'!D6</f>
        <v>0</v>
      </c>
      <c r="N15" s="1378">
        <f>+'Costos a Sept-25'!E6</f>
        <v>0</v>
      </c>
      <c r="O15" s="1378">
        <f>+'Costos a Sept-25'!F6</f>
        <v>353433.2</v>
      </c>
      <c r="P15" s="1378">
        <f>+'Costos a Sept-25'!G6</f>
        <v>93563.38</v>
      </c>
      <c r="Q15" s="1378">
        <f>+'Costos a Sept-25'!H6</f>
        <v>806839.56</v>
      </c>
      <c r="R15" s="1378">
        <f>+'Costos a Sept-25'!I6</f>
        <v>3069742.21</v>
      </c>
      <c r="S15" s="1378">
        <f>+'Costos a Sept-25'!J6</f>
        <v>2900560.48</v>
      </c>
      <c r="T15" s="1379">
        <f>+'Costos a Sept-25'!K6</f>
        <v>342033.18</v>
      </c>
      <c r="U15" s="1379">
        <f>+'Costos a Oct-25'!L6</f>
        <v>201871.48</v>
      </c>
      <c r="V15" s="1379">
        <f>+'Costos a Nov-25'!M6</f>
        <v>1617336.11</v>
      </c>
      <c r="W15" s="1379">
        <f>+'Costos a Ene-26'!N6</f>
        <v>15407306.5</v>
      </c>
      <c r="X15" s="1379">
        <f>+'Costos a Ene-26'!O6</f>
        <v>222844.91</v>
      </c>
      <c r="Y15" s="1379">
        <f>+'Costos a Feb-26'!P6</f>
        <v>2449569.83</v>
      </c>
      <c r="Z15" s="1379">
        <f>+'Costos a Mar-26'!Q6</f>
        <v>1833923.43</v>
      </c>
      <c r="AA15" s="1209">
        <f t="shared" si="4"/>
        <v>17449359</v>
      </c>
    </row>
    <row r="16" spans="2:27" s="1183" customFormat="1" ht="12">
      <c r="B16" s="1197" t="s">
        <v>38</v>
      </c>
      <c r="C16" s="1198">
        <f>+'ADI 09-25'!C20</f>
        <v>1517166651</v>
      </c>
      <c r="D16" s="1198">
        <f t="shared" si="0"/>
        <v>33328600.960000001</v>
      </c>
      <c r="E16" s="1198">
        <f t="shared" si="1"/>
        <v>1483838050.04</v>
      </c>
      <c r="F16" s="1198">
        <f t="shared" si="2"/>
        <v>16521218.539999995</v>
      </c>
      <c r="G16" s="1198">
        <f t="shared" si="3"/>
        <v>33213370.960000001</v>
      </c>
      <c r="H16" s="1198"/>
      <c r="I16" s="1198">
        <f>+'Anticipos 03-26'!D8</f>
        <v>115230</v>
      </c>
      <c r="J16" s="1198">
        <f>-'CXP 03-26 RES'!H8</f>
        <v>-16807382.420000006</v>
      </c>
      <c r="K16" s="1378">
        <f>+'Costos a Sept-25'!B8</f>
        <v>0</v>
      </c>
      <c r="L16" s="1378">
        <f>+'Costos a Sept-25'!C8</f>
        <v>0</v>
      </c>
      <c r="M16" s="1378">
        <f>+'Costos a Sept-25'!D8</f>
        <v>0</v>
      </c>
      <c r="N16" s="1378">
        <f>+'Costos a Sept-25'!E8</f>
        <v>0</v>
      </c>
      <c r="O16" s="1378">
        <f>+'Costos a Sept-25'!F8</f>
        <v>0</v>
      </c>
      <c r="P16" s="1378">
        <f>+'Costos a Sept-25'!G8</f>
        <v>0</v>
      </c>
      <c r="Q16" s="1378">
        <f>+'Costos a Sept-25'!H8</f>
        <v>0</v>
      </c>
      <c r="R16" s="1378">
        <f>+'Costos a Sept-25'!I8</f>
        <v>0</v>
      </c>
      <c r="S16" s="1378">
        <f>+'Costos a Sept-25'!J8</f>
        <v>0</v>
      </c>
      <c r="T16" s="1379">
        <f>+'Costos a Sept-25'!K8</f>
        <v>0</v>
      </c>
      <c r="U16" s="1379">
        <f>+'Costos a Oct-25'!L8</f>
        <v>0</v>
      </c>
      <c r="V16" s="1379">
        <f>+'Costos a Nov-25'!M8</f>
        <v>0</v>
      </c>
      <c r="W16" s="1379">
        <f>+'Costos a Ene-26'!N8</f>
        <v>991237.18</v>
      </c>
      <c r="X16" s="1379">
        <f>+'Costos a Ene-26'!O8</f>
        <v>2132656.4500000002</v>
      </c>
      <c r="Y16" s="1379">
        <f>+'Costos a Feb-26'!P8</f>
        <v>6421897.4300000006</v>
      </c>
      <c r="Z16" s="1379">
        <f>+'Costos a Mar-26'!Q8</f>
        <v>23667579.899999999</v>
      </c>
      <c r="AA16" s="1209">
        <f t="shared" si="4"/>
        <v>3123893.6300000004</v>
      </c>
    </row>
    <row r="17" spans="2:27" s="1183" customFormat="1" ht="12">
      <c r="B17" s="1197" t="s">
        <v>1920</v>
      </c>
      <c r="C17" s="1198">
        <f>+'ADI 09-25'!C21</f>
        <v>234388157.47679996</v>
      </c>
      <c r="D17" s="1198">
        <f t="shared" si="0"/>
        <v>33283099.289999999</v>
      </c>
      <c r="E17" s="1198">
        <f t="shared" si="1"/>
        <v>201105058.18679997</v>
      </c>
      <c r="F17" s="1198">
        <f t="shared" si="2"/>
        <v>33283099.289999999</v>
      </c>
      <c r="G17" s="1198">
        <f t="shared" si="3"/>
        <v>33283099.289999999</v>
      </c>
      <c r="H17" s="1198"/>
      <c r="I17" s="1198"/>
      <c r="J17" s="1198"/>
      <c r="K17" s="1378">
        <f>+'Costos a Sept-25'!B10</f>
        <v>1644662.03</v>
      </c>
      <c r="L17" s="1378">
        <f>+'Costos a Sept-25'!C10</f>
        <v>1770000</v>
      </c>
      <c r="M17" s="1378">
        <f>+'Costos a Sept-25'!D10</f>
        <v>0</v>
      </c>
      <c r="N17" s="1378">
        <f>+'Costos a Sept-25'!E10</f>
        <v>885000</v>
      </c>
      <c r="O17" s="1378">
        <f>+'Costos a Sept-25'!F10</f>
        <v>2455806.54</v>
      </c>
      <c r="P17" s="1378">
        <f>+'Costos a Sept-25'!G10</f>
        <v>2360000</v>
      </c>
      <c r="Q17" s="1378">
        <f>+'Costos a Sept-25'!H10</f>
        <v>2417857.34</v>
      </c>
      <c r="R17" s="1378">
        <f>+'Costos a Sept-25'!I10</f>
        <v>2664755.19</v>
      </c>
      <c r="S17" s="1378">
        <f>+'Costos a Sept-25'!J10</f>
        <v>2360000</v>
      </c>
      <c r="T17" s="1379">
        <f>+'Costos a Sept-25'!K10</f>
        <v>2360000</v>
      </c>
      <c r="U17" s="1379">
        <f>+'Costos a Oct-25'!L10</f>
        <v>2360000</v>
      </c>
      <c r="V17" s="1379">
        <f>+'Costos a Nov-25'!M10</f>
        <v>2783225.26</v>
      </c>
      <c r="W17" s="1379">
        <f>+'Costos a Ene-26'!N10</f>
        <v>1770000</v>
      </c>
      <c r="X17" s="1379">
        <f>+'Costos a Ene-26'!O10</f>
        <v>2360000</v>
      </c>
      <c r="Y17" s="1379">
        <f>+'Costos a Feb-26'!P10</f>
        <v>2862845.21</v>
      </c>
      <c r="Z17" s="1379">
        <f>+'Costos a Mar-26'!Q10</f>
        <v>2228947.7200000002</v>
      </c>
      <c r="AA17" s="1209">
        <f t="shared" si="4"/>
        <v>9273225.2599999998</v>
      </c>
    </row>
    <row r="18" spans="2:27" s="1183" customFormat="1" ht="12">
      <c r="B18" s="1197" t="s">
        <v>1921</v>
      </c>
      <c r="C18" s="1198">
        <f>+'ADI 09-25'!C22</f>
        <v>19264643</v>
      </c>
      <c r="D18" s="1198">
        <f t="shared" si="0"/>
        <v>3548750.0999999996</v>
      </c>
      <c r="E18" s="1198">
        <f t="shared" si="1"/>
        <v>15715892.9</v>
      </c>
      <c r="F18" s="1198">
        <f t="shared" si="2"/>
        <v>3041785.8</v>
      </c>
      <c r="G18" s="1198">
        <f t="shared" si="3"/>
        <v>3548750.0999999996</v>
      </c>
      <c r="H18" s="1198"/>
      <c r="I18" s="1198"/>
      <c r="J18" s="1198">
        <f>-'CXP 03-26 RES'!H10</f>
        <v>-506964.3</v>
      </c>
      <c r="K18" s="1378">
        <f>+'Costos a Sept-25'!B22</f>
        <v>0</v>
      </c>
      <c r="L18" s="1378">
        <f>+'Costos a Sept-25'!C22</f>
        <v>0</v>
      </c>
      <c r="M18" s="1378">
        <f>+'Costos a Sept-25'!D22</f>
        <v>0</v>
      </c>
      <c r="N18" s="1378">
        <f>+'Costos a Sept-25'!E22</f>
        <v>0</v>
      </c>
      <c r="O18" s="1378">
        <f>+'Costos a Sept-25'!F22</f>
        <v>0</v>
      </c>
      <c r="P18" s="1378">
        <f>+'Costos a Sept-25'!G22</f>
        <v>0</v>
      </c>
      <c r="Q18" s="1378">
        <f>+'Costos a Sept-25'!H22</f>
        <v>0</v>
      </c>
      <c r="R18" s="1378">
        <f>+'Costos a Sept-25'!I22</f>
        <v>0</v>
      </c>
      <c r="S18" s="1378">
        <f>+'Costos a Sept-25'!J22</f>
        <v>0</v>
      </c>
      <c r="T18" s="1379">
        <f>+'Costos a Sept-25'!K22</f>
        <v>0</v>
      </c>
      <c r="U18" s="1379">
        <f>+'Costos a Oct-25'!L22</f>
        <v>1013928.6</v>
      </c>
      <c r="V18" s="1379">
        <f>+'Costos a Nov-25'!M22</f>
        <v>506964.3</v>
      </c>
      <c r="W18" s="1379">
        <f>+'Costos a Ene-26'!N22</f>
        <v>506964.3</v>
      </c>
      <c r="X18" s="1379">
        <f>+'Costos a Ene-26'!O22</f>
        <v>506964.3</v>
      </c>
      <c r="Y18" s="1379">
        <f>+'Costos a Feb-26'!P22</f>
        <v>506964.3</v>
      </c>
      <c r="Z18" s="1379">
        <f>+'Costos a Mar-26'!Q22</f>
        <v>506964.3</v>
      </c>
      <c r="AA18" s="1372">
        <f t="shared" si="4"/>
        <v>2534821.5</v>
      </c>
    </row>
    <row r="19" spans="2:27" s="1183" customFormat="1" ht="12">
      <c r="B19" s="1197" t="s">
        <v>40</v>
      </c>
      <c r="C19" s="1198">
        <f>+'ADI 09-25'!C23</f>
        <v>47672167.622400001</v>
      </c>
      <c r="D19" s="1198">
        <f t="shared" si="0"/>
        <v>6107761.2599999998</v>
      </c>
      <c r="E19" s="1198">
        <f t="shared" si="1"/>
        <v>41564406.362400003</v>
      </c>
      <c r="F19" s="1198">
        <f t="shared" si="2"/>
        <v>4719879.29</v>
      </c>
      <c r="G19" s="1198">
        <f t="shared" si="3"/>
        <v>6107761.2599999998</v>
      </c>
      <c r="H19" s="1198"/>
      <c r="I19" s="1198"/>
      <c r="J19" s="1198">
        <f>-'CXP 03-26 RES'!H9</f>
        <v>-1387881.97</v>
      </c>
      <c r="K19" s="1378">
        <f>+'Costos a Sept-25'!B12</f>
        <v>0</v>
      </c>
      <c r="L19" s="1378">
        <f>+'Costos a Sept-25'!C12</f>
        <v>0</v>
      </c>
      <c r="M19" s="1378">
        <f>+'Costos a Sept-25'!D12</f>
        <v>0</v>
      </c>
      <c r="N19" s="1378">
        <f>+'Costos a Sept-25'!E12</f>
        <v>0</v>
      </c>
      <c r="O19" s="1378">
        <f>+'Costos a Sept-25'!F12</f>
        <v>0</v>
      </c>
      <c r="P19" s="1378">
        <f>+'Costos a Sept-25'!G12</f>
        <v>0</v>
      </c>
      <c r="Q19" s="1378">
        <f>+'Costos a Sept-25'!H12</f>
        <v>147108.53999999998</v>
      </c>
      <c r="R19" s="1378">
        <f>+'Costos a Sept-25'!I12</f>
        <v>92700.800000000003</v>
      </c>
      <c r="S19" s="1378">
        <f>+'Costos a Sept-25'!J12</f>
        <v>96854.399999999994</v>
      </c>
      <c r="T19" s="1379">
        <f>+'Costos a Sept-25'!K12</f>
        <v>90246.399999999994</v>
      </c>
      <c r="U19" s="1379">
        <f>+'Costos a Oct-25'!L12</f>
        <v>92700.800000000003</v>
      </c>
      <c r="V19" s="1379">
        <f>+'Costos a Nov-25'!M12</f>
        <v>332688.71000000002</v>
      </c>
      <c r="W19" s="1379">
        <f>+'Costos a Ene-26'!N12</f>
        <v>92700.800000000003</v>
      </c>
      <c r="X19" s="1379">
        <f>+'Costos a Ene-26'!O12</f>
        <v>102858.24000000001</v>
      </c>
      <c r="Y19" s="1379">
        <f>+'Costos a Feb-26'!P12</f>
        <v>3036943.49</v>
      </c>
      <c r="Z19" s="1379">
        <f>+'Costos a Mar-26'!Q12</f>
        <v>2022959.08</v>
      </c>
      <c r="AA19" s="1209">
        <f t="shared" si="4"/>
        <v>620948.55000000005</v>
      </c>
    </row>
    <row r="20" spans="2:27" s="1183" customFormat="1" ht="12">
      <c r="B20" s="1197" t="s">
        <v>764</v>
      </c>
      <c r="C20" s="1198">
        <f>+'ADI 09-25'!C24</f>
        <v>39726806.351999998</v>
      </c>
      <c r="D20" s="1198">
        <f t="shared" si="0"/>
        <v>0</v>
      </c>
      <c r="E20" s="1198">
        <f t="shared" si="1"/>
        <v>39726806.351999998</v>
      </c>
      <c r="F20" s="1198">
        <f t="shared" si="2"/>
        <v>0</v>
      </c>
      <c r="G20" s="1198">
        <f t="shared" si="3"/>
        <v>0</v>
      </c>
      <c r="H20" s="1198"/>
      <c r="I20" s="1198"/>
      <c r="J20" s="1198"/>
      <c r="K20" s="1378">
        <f>+'Costos a Sept-25'!B20</f>
        <v>0</v>
      </c>
      <c r="L20" s="1378">
        <f>+'Costos a Sept-25'!C20</f>
        <v>0</v>
      </c>
      <c r="M20" s="1378">
        <f>+'Costos a Sept-25'!D20</f>
        <v>0</v>
      </c>
      <c r="N20" s="1378">
        <f>+'Costos a Sept-25'!E20</f>
        <v>0</v>
      </c>
      <c r="O20" s="1378">
        <f>+'Costos a Sept-25'!F20</f>
        <v>0</v>
      </c>
      <c r="P20" s="1378">
        <f>+'Costos a Sept-25'!G20</f>
        <v>0</v>
      </c>
      <c r="Q20" s="1378">
        <f>+'Costos a Sept-25'!H20</f>
        <v>0</v>
      </c>
      <c r="R20" s="1378">
        <f>+'Costos a Sept-25'!I20</f>
        <v>0</v>
      </c>
      <c r="S20" s="1378">
        <f>+'Costos a Sept-25'!J20</f>
        <v>0</v>
      </c>
      <c r="T20" s="1379">
        <f>+'Costos a Sept-25'!K20</f>
        <v>0</v>
      </c>
      <c r="U20" s="1379">
        <f>+'Costos a Oct-25'!L20</f>
        <v>0</v>
      </c>
      <c r="V20" s="1379">
        <f>+'Costos a Nov-25'!M20</f>
        <v>0</v>
      </c>
      <c r="W20" s="1379">
        <f>+'Costos a Ene-26'!N20</f>
        <v>0</v>
      </c>
      <c r="X20" s="1379">
        <f>+'Costos a Ene-26'!O20</f>
        <v>0</v>
      </c>
      <c r="Y20" s="1379">
        <f>+'Costos a Feb-26'!P20</f>
        <v>0</v>
      </c>
      <c r="Z20" s="1379">
        <f>+'Costos a Mar-26'!Q20</f>
        <v>0</v>
      </c>
      <c r="AA20" s="1209">
        <f t="shared" si="4"/>
        <v>0</v>
      </c>
    </row>
    <row r="21" spans="2:27" s="1183" customFormat="1" ht="12">
      <c r="B21" s="1199" t="s">
        <v>41</v>
      </c>
      <c r="C21" s="1200">
        <f t="shared" ref="C21:AA21" si="5">SUM(C15:C20)</f>
        <v>2327392092.0511999</v>
      </c>
      <c r="D21" s="1200">
        <f t="shared" si="5"/>
        <v>115487338.58999999</v>
      </c>
      <c r="E21" s="1200">
        <f t="shared" si="5"/>
        <v>2211904753.4611998</v>
      </c>
      <c r="F21" s="1200">
        <f t="shared" si="5"/>
        <v>96071852.909999996</v>
      </c>
      <c r="G21" s="1200">
        <f t="shared" si="5"/>
        <v>114671089.46999998</v>
      </c>
      <c r="H21" s="1200">
        <f t="shared" si="5"/>
        <v>278099.52</v>
      </c>
      <c r="I21" s="1200">
        <f t="shared" si="5"/>
        <v>538149.6</v>
      </c>
      <c r="J21" s="1200">
        <f t="shared" si="5"/>
        <v>-19415485.680000003</v>
      </c>
      <c r="K21" s="1380">
        <f t="shared" si="5"/>
        <v>10863745.619999999</v>
      </c>
      <c r="L21" s="1380">
        <f t="shared" si="5"/>
        <v>1770000</v>
      </c>
      <c r="M21" s="1380">
        <f t="shared" si="5"/>
        <v>0</v>
      </c>
      <c r="N21" s="1380">
        <f t="shared" si="5"/>
        <v>885000</v>
      </c>
      <c r="O21" s="1380">
        <f t="shared" si="5"/>
        <v>2809239.74</v>
      </c>
      <c r="P21" s="1380">
        <f t="shared" si="5"/>
        <v>2453563.38</v>
      </c>
      <c r="Q21" s="1380">
        <f t="shared" si="5"/>
        <v>3371805.44</v>
      </c>
      <c r="R21" s="1380">
        <f t="shared" si="5"/>
        <v>5827198.2000000002</v>
      </c>
      <c r="S21" s="1380">
        <f t="shared" si="5"/>
        <v>5357414.8800000008</v>
      </c>
      <c r="T21" s="1381">
        <f t="shared" si="5"/>
        <v>2792279.58</v>
      </c>
      <c r="U21" s="1381">
        <f t="shared" si="5"/>
        <v>3668500.88</v>
      </c>
      <c r="V21" s="1381">
        <f t="shared" si="5"/>
        <v>5240214.38</v>
      </c>
      <c r="W21" s="1381">
        <f t="shared" si="5"/>
        <v>18768208.780000001</v>
      </c>
      <c r="X21" s="1381">
        <f t="shared" si="5"/>
        <v>5325323.9000000004</v>
      </c>
      <c r="Y21" s="1381">
        <f t="shared" si="5"/>
        <v>15278220.260000004</v>
      </c>
      <c r="Z21" s="1381">
        <f t="shared" ref="Z21" si="6">SUM(Z15:Z20)</f>
        <v>30260374.43</v>
      </c>
      <c r="AA21" s="1210">
        <f t="shared" si="5"/>
        <v>33002247.940000001</v>
      </c>
    </row>
    <row r="22" spans="2:27" s="1183" customFormat="1" ht="12">
      <c r="B22" s="1201" t="s">
        <v>42</v>
      </c>
      <c r="C22" s="1198">
        <f>+'ADI 09-25'!C26</f>
        <v>187510525.98143998</v>
      </c>
      <c r="D22" s="1198">
        <f>SUM(G22:I22)</f>
        <v>21401175.969999999</v>
      </c>
      <c r="E22" s="1198">
        <f>+C22-D22</f>
        <v>166109350.01143998</v>
      </c>
      <c r="F22" s="1198">
        <f>SUM(G22:J22)</f>
        <v>21401175.969999999</v>
      </c>
      <c r="G22" s="1198">
        <f>SUM(K22:Z22)</f>
        <v>21401175.969999999</v>
      </c>
      <c r="H22" s="1198"/>
      <c r="I22" s="1198"/>
      <c r="J22" s="1198"/>
      <c r="K22" s="1378">
        <f>+'Costos a Sept-25'!B24</f>
        <v>161175.97</v>
      </c>
      <c r="L22" s="1378">
        <f>+'Costos a Sept-25'!C24</f>
        <v>0</v>
      </c>
      <c r="M22" s="1378">
        <f>+'Costos a Sept-25'!D24</f>
        <v>0</v>
      </c>
      <c r="N22" s="1378">
        <f>+'Costos a Sept-25'!E24</f>
        <v>0</v>
      </c>
      <c r="O22" s="1378">
        <f>+'Costos a Sept-25'!F24</f>
        <v>1770000</v>
      </c>
      <c r="P22" s="1378">
        <f>+'Costos a Sept-25'!G24</f>
        <v>1770000</v>
      </c>
      <c r="Q22" s="1378">
        <f>+'Costos a Sept-25'!H24</f>
        <v>1770000</v>
      </c>
      <c r="R22" s="1378">
        <f>+'Costos a Sept-25'!I24</f>
        <v>1770000</v>
      </c>
      <c r="S22" s="1378">
        <f>+'Costos a Sept-25'!J24</f>
        <v>1770000</v>
      </c>
      <c r="T22" s="1379">
        <f>+'Costos a Sept-25'!K24</f>
        <v>1770000</v>
      </c>
      <c r="U22" s="1379">
        <f>+'Costos a Oct-25'!L24</f>
        <v>1770000</v>
      </c>
      <c r="V22" s="1379">
        <f>+'Costos a Nov-25'!M24</f>
        <v>1770000</v>
      </c>
      <c r="W22" s="1379">
        <f>+'Costos a Ene-26'!N24</f>
        <v>1770000</v>
      </c>
      <c r="X22" s="1379">
        <f>+'Costos a Ene-26'!O24</f>
        <v>1770000</v>
      </c>
      <c r="Y22" s="1379">
        <f>+'Costos a Feb-26'!P24</f>
        <v>1770000</v>
      </c>
      <c r="Z22" s="1379">
        <f>+'Costos a Mar-26'!Q24</f>
        <v>1770000</v>
      </c>
      <c r="AA22" s="1209">
        <f>SUM(U22:X22)</f>
        <v>7080000</v>
      </c>
    </row>
    <row r="23" spans="2:27" s="1183" customFormat="1" ht="12">
      <c r="B23" s="1197" t="s">
        <v>43</v>
      </c>
      <c r="C23" s="1198">
        <f>+'ADI 09-25'!C27</f>
        <v>327746152.40399998</v>
      </c>
      <c r="D23" s="1198">
        <f>SUM(G23:I23)</f>
        <v>94352517</v>
      </c>
      <c r="E23" s="1198">
        <f>+C23-D23</f>
        <v>233393635.40399998</v>
      </c>
      <c r="F23" s="1198">
        <f>SUM(G23:J23)</f>
        <v>91485421.099999994</v>
      </c>
      <c r="G23" s="1198">
        <f>SUM(K23:Z23)</f>
        <v>94352517</v>
      </c>
      <c r="H23" s="1198"/>
      <c r="I23" s="1198"/>
      <c r="J23" s="1198">
        <f>-'CXP 03-26 RES'!H11-'CXP 03-26 RES'!H12</f>
        <v>-2867095.9</v>
      </c>
      <c r="K23" s="1378">
        <f>+'Costos a Sept-25'!B26</f>
        <v>559355.54</v>
      </c>
      <c r="L23" s="1378">
        <f>+'Costos a Sept-25'!C26</f>
        <v>0</v>
      </c>
      <c r="M23" s="1378">
        <f>+'Costos a Sept-25'!D26</f>
        <v>645765.21</v>
      </c>
      <c r="N23" s="1378">
        <f>+'Costos a Sept-25'!E26</f>
        <v>595001.35</v>
      </c>
      <c r="O23" s="1378">
        <f>+'Costos a Sept-25'!F26</f>
        <v>1549872.47</v>
      </c>
      <c r="P23" s="1378">
        <f>+'Costos a Sept-25'!G26</f>
        <v>1423527.61</v>
      </c>
      <c r="Q23" s="1378">
        <f>+'Costos a Sept-25'!H26</f>
        <v>1733909.84</v>
      </c>
      <c r="R23" s="1378">
        <f>+'Costos a Sept-25'!I26</f>
        <v>7890097.2200000007</v>
      </c>
      <c r="S23" s="1378">
        <f>+'Costos a Sept-25'!J26</f>
        <v>16166710.020000001</v>
      </c>
      <c r="T23" s="1379">
        <f>+'Costos a Sept-25'!K26</f>
        <v>11886550.289999999</v>
      </c>
      <c r="U23" s="1379">
        <f>+'Costos a Oct-25'!L26</f>
        <v>12659941.220000001</v>
      </c>
      <c r="V23" s="1379">
        <f>+'Costos a Nov-25'!M26</f>
        <v>15204797.51</v>
      </c>
      <c r="W23" s="1379">
        <f>+'Costos a Ene-26'!N26</f>
        <v>5620798.7199999997</v>
      </c>
      <c r="X23" s="1379">
        <f>+'Costos a Ene-26'!O26</f>
        <v>5330355.3599999994</v>
      </c>
      <c r="Y23" s="1379">
        <f>+'Costos a Feb-26'!P26</f>
        <v>3557189.4699999997</v>
      </c>
      <c r="Z23" s="1379">
        <f>+'Costos a Mar-26'!Q26</f>
        <v>9528645.1699999999</v>
      </c>
      <c r="AA23" s="1209">
        <f>SUM(U23:X23)</f>
        <v>38815892.810000002</v>
      </c>
    </row>
    <row r="24" spans="2:27" s="1183" customFormat="1" ht="12">
      <c r="B24" s="1197" t="s">
        <v>44</v>
      </c>
      <c r="C24" s="1198">
        <f>+'ADI 09-25'!C28</f>
        <v>81458723.221791998</v>
      </c>
      <c r="D24" s="1198">
        <f>SUM(G24:I24)</f>
        <v>4547748.629999999</v>
      </c>
      <c r="E24" s="1198">
        <f>+C24-D24</f>
        <v>76910974.591792002</v>
      </c>
      <c r="F24" s="1198">
        <f>SUM(G24:J24)</f>
        <v>4547748.629999999</v>
      </c>
      <c r="G24" s="1198">
        <f>SUM(K24:Z24)</f>
        <v>4547748.629999999</v>
      </c>
      <c r="H24" s="1198"/>
      <c r="I24" s="1198"/>
      <c r="J24" s="1198"/>
      <c r="K24" s="1378">
        <f>+'Costos a Sept-25'!B31</f>
        <v>373034.61</v>
      </c>
      <c r="L24" s="1378">
        <f>+'Costos a Sept-25'!C31</f>
        <v>43563.47</v>
      </c>
      <c r="M24" s="1378">
        <f>+'Costos a Sept-25'!D31</f>
        <v>36723.129999999997</v>
      </c>
      <c r="N24" s="1378">
        <f>+'Costos a Sept-25'!E31</f>
        <v>37034.89</v>
      </c>
      <c r="O24" s="1378">
        <f>+'Costos a Sept-25'!F31</f>
        <v>51335.37</v>
      </c>
      <c r="P24" s="1378">
        <f>+'Costos a Sept-25'!G31</f>
        <v>125971.53</v>
      </c>
      <c r="Q24" s="1378">
        <f>+'Costos a Sept-25'!H31</f>
        <v>205035.01</v>
      </c>
      <c r="R24" s="1378">
        <f>+'Costos a Sept-25'!I31</f>
        <v>193826.15000000002</v>
      </c>
      <c r="S24" s="1378">
        <f>+'Costos a Sept-25'!J31</f>
        <v>228402.97999999998</v>
      </c>
      <c r="T24" s="1379">
        <f>+'Costos a Sept-25'!K31</f>
        <v>824240.61999999988</v>
      </c>
      <c r="U24" s="1379">
        <f>+'Costos a Oct-25'!L31</f>
        <v>143558.04999999999</v>
      </c>
      <c r="V24" s="1379">
        <f>+'Costos a Nov-25'!M31</f>
        <v>111569.53</v>
      </c>
      <c r="W24" s="1379">
        <f>+'Costos a Ene-26'!N31</f>
        <v>187644.31</v>
      </c>
      <c r="X24" s="1379">
        <f>+'Costos a Ene-26'!O31</f>
        <v>111272.45999999999</v>
      </c>
      <c r="Y24" s="1379">
        <f>+'Costos a Feb-26'!P31</f>
        <v>1296067.68</v>
      </c>
      <c r="Z24" s="1379">
        <f>+'Costos a Mar-26'!Q31</f>
        <v>578468.84</v>
      </c>
      <c r="AA24" s="1371">
        <f>SUM(U24:X24)</f>
        <v>554044.35</v>
      </c>
    </row>
    <row r="25" spans="2:27" s="1183" customFormat="1" ht="12">
      <c r="B25" s="1197" t="s">
        <v>45</v>
      </c>
      <c r="C25" s="1198">
        <f>+'ADI 09-25'!C29</f>
        <v>69521911.115999997</v>
      </c>
      <c r="D25" s="1198">
        <f>SUM(G25:I25)</f>
        <v>28669748.48</v>
      </c>
      <c r="E25" s="1198">
        <f>+C25-D25</f>
        <v>40852162.635999992</v>
      </c>
      <c r="F25" s="1198">
        <f>SUM(G25:J25)</f>
        <v>27911142.870000001</v>
      </c>
      <c r="G25" s="1198">
        <f>SUM(K25:Z25)</f>
        <v>28653691.039999999</v>
      </c>
      <c r="H25" s="1198"/>
      <c r="I25" s="1198">
        <f>+'Anticipos 03-26'!D15</f>
        <v>16057.44</v>
      </c>
      <c r="J25" s="1198">
        <f>-'CXP 03-26 RES'!H13-'CXP 03-26 RES'!H14-'CXP 03-26 RES'!H15-'CXP 03-26 RES'!H16</f>
        <v>-758605.61</v>
      </c>
      <c r="K25" s="1378">
        <f>+'Costos a Sept-25'!B34</f>
        <v>11066720.34</v>
      </c>
      <c r="L25" s="1378">
        <f>+'Costos a Sept-25'!C34</f>
        <v>915790.08000000007</v>
      </c>
      <c r="M25" s="1378">
        <f>+'Costos a Sept-25'!D34</f>
        <v>1931201.9</v>
      </c>
      <c r="N25" s="1378">
        <f>+'Costos a Sept-25'!E34</f>
        <v>1103623.17</v>
      </c>
      <c r="O25" s="1378">
        <f>+'Costos a Sept-25'!F34</f>
        <v>807731.34</v>
      </c>
      <c r="P25" s="1378">
        <f>+'Costos a Sept-25'!G34</f>
        <v>740040.2</v>
      </c>
      <c r="Q25" s="1378">
        <f>+'Costos a Sept-25'!H34</f>
        <v>1412884.71</v>
      </c>
      <c r="R25" s="1378">
        <f>+'Costos a Sept-25'!I34</f>
        <v>3494146.35</v>
      </c>
      <c r="S25" s="1378">
        <f>+'Costos a Sept-25'!J34</f>
        <v>184710.12999999995</v>
      </c>
      <c r="T25" s="1379">
        <f>+'Costos a Sept-25'!K34</f>
        <v>551935.67999999993</v>
      </c>
      <c r="U25" s="1379">
        <f>+'Costos a Oct-25'!L34</f>
        <v>1245788.3799999999</v>
      </c>
      <c r="V25" s="1379">
        <f>+'Costos a Nov-25'!M34</f>
        <v>943821.03</v>
      </c>
      <c r="W25" s="1379">
        <f>+'Costos a Ene-26'!N34+5979.31</f>
        <v>1002260.52</v>
      </c>
      <c r="X25" s="1379">
        <f>+'Costos a Ene-26'!O34</f>
        <v>927133.48</v>
      </c>
      <c r="Y25" s="1379">
        <f>+'Costos a Feb-26'!P34</f>
        <v>1013980.0700000001</v>
      </c>
      <c r="Z25" s="1379">
        <f>+'Costos a Mar-26'!Q34</f>
        <v>1311923.6599999999</v>
      </c>
      <c r="AA25" s="1209">
        <f>SUM(U25:X25)</f>
        <v>4119003.41</v>
      </c>
    </row>
    <row r="26" spans="2:27" s="1183" customFormat="1" ht="12">
      <c r="B26" s="1197" t="s">
        <v>46</v>
      </c>
      <c r="C26" s="1198">
        <f>+'ADI 09-25'!C30</f>
        <v>19863403.175999999</v>
      </c>
      <c r="D26" s="1198">
        <f>SUM(G26:I26)</f>
        <v>0</v>
      </c>
      <c r="E26" s="1198">
        <f>+C26-D26</f>
        <v>19863403.175999999</v>
      </c>
      <c r="F26" s="1198">
        <f>SUM(G26:J26)</f>
        <v>0</v>
      </c>
      <c r="G26" s="1198">
        <f>SUM(K26:Z26)</f>
        <v>0</v>
      </c>
      <c r="H26" s="1198"/>
      <c r="I26" s="1198"/>
      <c r="J26" s="1198"/>
      <c r="K26" s="1378">
        <f>+'Costos a Sept-25'!B40</f>
        <v>0</v>
      </c>
      <c r="L26" s="1378">
        <f>+'Costos a Sept-25'!C40</f>
        <v>0</v>
      </c>
      <c r="M26" s="1378">
        <f>+'Costos a Sept-25'!D40</f>
        <v>0</v>
      </c>
      <c r="N26" s="1378">
        <f>+'Costos a Sept-25'!E40</f>
        <v>0</v>
      </c>
      <c r="O26" s="1378">
        <f>+'Costos a Sept-25'!F40</f>
        <v>0</v>
      </c>
      <c r="P26" s="1378">
        <f>+'Costos a Sept-25'!G40</f>
        <v>0</v>
      </c>
      <c r="Q26" s="1378">
        <f>+'Costos a Sept-25'!H40</f>
        <v>0</v>
      </c>
      <c r="R26" s="1378">
        <f>+'Costos a Sept-25'!I40</f>
        <v>0</v>
      </c>
      <c r="S26" s="1378">
        <f>+'Costos a Sept-25'!J40</f>
        <v>0</v>
      </c>
      <c r="T26" s="1379">
        <f>+'Costos a Sept-25'!K40</f>
        <v>0</v>
      </c>
      <c r="U26" s="1379">
        <v>0</v>
      </c>
      <c r="V26" s="1379">
        <f>+'Costos a Nov-25'!M43</f>
        <v>0</v>
      </c>
      <c r="W26" s="1379">
        <f>+'Costos a Ene-26'!N43</f>
        <v>0</v>
      </c>
      <c r="X26" s="1379">
        <f>+'Costos a Ene-26'!O43</f>
        <v>0</v>
      </c>
      <c r="Y26" s="1379">
        <f>+'Costos a Feb-26'!P43</f>
        <v>0</v>
      </c>
      <c r="Z26" s="1379">
        <f>+'Costos a Mar-26'!Q43</f>
        <v>0</v>
      </c>
      <c r="AA26" s="1209">
        <f>SUM(U26:X26)</f>
        <v>0</v>
      </c>
    </row>
    <row r="27" spans="2:27" s="1183" customFormat="1" ht="12">
      <c r="B27" s="1199" t="s">
        <v>47</v>
      </c>
      <c r="C27" s="1200">
        <f>SUM(C22:C26)</f>
        <v>686100715.89923203</v>
      </c>
      <c r="D27" s="1200">
        <f t="shared" ref="D27:AA27" si="7">SUM(D22:D26)</f>
        <v>148971190.07999998</v>
      </c>
      <c r="E27" s="1200">
        <f t="shared" si="7"/>
        <v>537129525.81923199</v>
      </c>
      <c r="F27" s="1200">
        <f t="shared" si="7"/>
        <v>145345488.56999999</v>
      </c>
      <c r="G27" s="1200">
        <f t="shared" si="7"/>
        <v>148955132.63999999</v>
      </c>
      <c r="H27" s="1200">
        <f t="shared" si="7"/>
        <v>0</v>
      </c>
      <c r="I27" s="1200">
        <f t="shared" si="7"/>
        <v>16057.44</v>
      </c>
      <c r="J27" s="1200">
        <f t="shared" si="7"/>
        <v>-3625701.51</v>
      </c>
      <c r="K27" s="1380">
        <f t="shared" si="7"/>
        <v>12160286.460000001</v>
      </c>
      <c r="L27" s="1380">
        <f t="shared" si="7"/>
        <v>959353.55</v>
      </c>
      <c r="M27" s="1380">
        <f t="shared" si="7"/>
        <v>2613690.2399999998</v>
      </c>
      <c r="N27" s="1380">
        <f t="shared" si="7"/>
        <v>1735659.41</v>
      </c>
      <c r="O27" s="1380">
        <f t="shared" si="7"/>
        <v>4178939.1799999997</v>
      </c>
      <c r="P27" s="1380">
        <f t="shared" si="7"/>
        <v>4059539.34</v>
      </c>
      <c r="Q27" s="1380">
        <f t="shared" si="7"/>
        <v>5121829.5599999996</v>
      </c>
      <c r="R27" s="1380">
        <f t="shared" si="7"/>
        <v>13348069.720000001</v>
      </c>
      <c r="S27" s="1380">
        <f t="shared" si="7"/>
        <v>18349823.130000003</v>
      </c>
      <c r="T27" s="1381">
        <f t="shared" si="7"/>
        <v>15032726.589999998</v>
      </c>
      <c r="U27" s="1381">
        <f t="shared" si="7"/>
        <v>15819287.650000002</v>
      </c>
      <c r="V27" s="1381">
        <f t="shared" si="7"/>
        <v>18030188.07</v>
      </c>
      <c r="W27" s="1381">
        <f t="shared" si="7"/>
        <v>8580703.5499999989</v>
      </c>
      <c r="X27" s="1381">
        <f t="shared" si="7"/>
        <v>8138761.2999999989</v>
      </c>
      <c r="Y27" s="1381">
        <f t="shared" si="7"/>
        <v>7637237.2199999997</v>
      </c>
      <c r="Z27" s="1381">
        <f t="shared" ref="Z27" si="8">SUM(Z22:Z26)</f>
        <v>13189037.67</v>
      </c>
      <c r="AA27" s="1210">
        <f t="shared" si="7"/>
        <v>50568940.570000008</v>
      </c>
    </row>
    <row r="28" spans="2:27" s="1183" customFormat="1" ht="13.95" customHeight="1">
      <c r="B28" s="1201" t="s">
        <v>48</v>
      </c>
      <c r="C28" s="1198">
        <f>+'ADI 09-25'!C32</f>
        <v>30500000</v>
      </c>
      <c r="D28" s="1198">
        <f>SUM(G28:I28)</f>
        <v>21555896.279999994</v>
      </c>
      <c r="E28" s="1198">
        <f>+C28-D28</f>
        <v>8944103.7200000063</v>
      </c>
      <c r="F28" s="1198">
        <f>SUM(G28:J28)</f>
        <v>21439840.719999995</v>
      </c>
      <c r="G28" s="1198">
        <f>SUM(K28:Z28)</f>
        <v>21470724.399999995</v>
      </c>
      <c r="H28" s="1198"/>
      <c r="I28" s="1198">
        <f>+'Anticipos 03-26'!D13</f>
        <v>85171.88</v>
      </c>
      <c r="J28" s="1198">
        <f>-'CXP 03-26 RES'!H17</f>
        <v>-116055.56</v>
      </c>
      <c r="K28" s="1378">
        <f>+'Costos a Sept-25'!B43</f>
        <v>12715384.379999999</v>
      </c>
      <c r="L28" s="1378">
        <f>+'Costos a Sept-25'!C43</f>
        <v>0</v>
      </c>
      <c r="M28" s="1378">
        <f>+'Costos a Sept-25'!D43</f>
        <v>0</v>
      </c>
      <c r="N28" s="1378">
        <f>+'Costos a Sept-25'!E43</f>
        <v>128745.38</v>
      </c>
      <c r="O28" s="1378">
        <f>+'Costos a Sept-25'!F43</f>
        <v>552632.57999999996</v>
      </c>
      <c r="P28" s="1378">
        <f>+'Costos a Sept-25'!G43</f>
        <v>120006</v>
      </c>
      <c r="Q28" s="1378">
        <f>+'Costos a Sept-25'!H43</f>
        <v>1543136</v>
      </c>
      <c r="R28" s="1378">
        <f>+'Costos a Sept-25'!I43</f>
        <v>300</v>
      </c>
      <c r="S28" s="1378">
        <f>+'Costos a Sept-25'!J43</f>
        <v>223322.53</v>
      </c>
      <c r="T28" s="1379">
        <f>+'Costos a Sept-25'!K43</f>
        <v>1594150.23</v>
      </c>
      <c r="U28" s="1379">
        <f>+'Costos a Oct-25'!L48</f>
        <v>842419.7</v>
      </c>
      <c r="V28" s="1379">
        <f>+'Costos a Nov-25'!M46</f>
        <v>339222.22</v>
      </c>
      <c r="W28" s="1379">
        <f>+'Costos a Ene-26'!N46</f>
        <v>2546180</v>
      </c>
      <c r="X28" s="1379">
        <f>+'Costos a Ene-26'!O46</f>
        <v>517341.31</v>
      </c>
      <c r="Y28" s="1379">
        <f>+'Costos a Feb-26'!P46</f>
        <v>0</v>
      </c>
      <c r="Z28" s="1379">
        <f>+'Costos a Mar-26'!Q46</f>
        <v>347884.07</v>
      </c>
      <c r="AA28" s="1209">
        <f>SUM(U28:X28)</f>
        <v>4245163.2299999995</v>
      </c>
    </row>
    <row r="29" spans="2:27" s="1183" customFormat="1" ht="12">
      <c r="B29" s="1197" t="s">
        <v>49</v>
      </c>
      <c r="C29" s="1198">
        <f>+'ADI 09-25'!C33</f>
        <v>25000000</v>
      </c>
      <c r="D29" s="1198">
        <f>SUM(G29:I29)</f>
        <v>24432807.359999999</v>
      </c>
      <c r="E29" s="1198">
        <f>+C29-D29</f>
        <v>567192.6400000006</v>
      </c>
      <c r="F29" s="1198">
        <f>SUM(G29:J29)</f>
        <v>24432807.359999999</v>
      </c>
      <c r="G29" s="1198">
        <f>SUM(K29:Z29)</f>
        <v>24159807.359999999</v>
      </c>
      <c r="H29" s="1198"/>
      <c r="I29" s="1198">
        <f>+'Anticipos 03-26'!D3</f>
        <v>273000</v>
      </c>
      <c r="J29" s="1198"/>
      <c r="K29" s="1378">
        <f>+'Costos a Sept-25'!B4</f>
        <v>21168315.640000001</v>
      </c>
      <c r="L29" s="1378">
        <f>+'Costos a Sept-25'!C4</f>
        <v>239349.75</v>
      </c>
      <c r="M29" s="1378">
        <f>+'Costos a Sept-25'!D4</f>
        <v>0</v>
      </c>
      <c r="N29" s="1378">
        <f>+'Costos a Sept-25'!E4</f>
        <v>146320</v>
      </c>
      <c r="O29" s="1378">
        <f>+'Costos a Sept-25'!F4</f>
        <v>108350.26</v>
      </c>
      <c r="P29" s="1378">
        <f>+'Costos a Sept-25'!G4</f>
        <v>53100</v>
      </c>
      <c r="Q29" s="1378">
        <f>+'Costos a Sept-25'!H4</f>
        <v>0</v>
      </c>
      <c r="R29" s="1378">
        <f>+'Costos a Sept-25'!I4</f>
        <v>0</v>
      </c>
      <c r="S29" s="1378">
        <f>+'Costos a Sept-25'!J4</f>
        <v>1595686.82</v>
      </c>
      <c r="T29" s="1379">
        <f>+'Costos a Sept-25'!K4</f>
        <v>87792</v>
      </c>
      <c r="U29" s="1379">
        <f>+'Costos a Oct-25'!L4</f>
        <v>310669.15000000002</v>
      </c>
      <c r="V29" s="1379">
        <f>+'Costos a Nov-25'!M4</f>
        <v>0</v>
      </c>
      <c r="W29" s="1379">
        <v>2105.11</v>
      </c>
      <c r="X29" s="1379">
        <f>+'Costos a Ene-26'!O4</f>
        <v>0</v>
      </c>
      <c r="Y29" s="1379">
        <f>+'Costos a Feb-26'!P4</f>
        <v>416685.22</v>
      </c>
      <c r="Z29" s="1379">
        <f>+'Costos a Mar-26'!Q4</f>
        <v>31433.410000000033</v>
      </c>
      <c r="AA29" s="1209">
        <f>SUM(U29:X29)</f>
        <v>312774.26</v>
      </c>
    </row>
    <row r="30" spans="2:27" s="1183" customFormat="1" ht="12">
      <c r="B30" s="1197" t="s">
        <v>50</v>
      </c>
      <c r="C30" s="1198">
        <f>+'ADI 09-25'!C34</f>
        <v>232739209.20512</v>
      </c>
      <c r="D30" s="1198">
        <f>SUM(G30:I30)</f>
        <v>12887977.66</v>
      </c>
      <c r="E30" s="1198">
        <f>+C30-D30</f>
        <v>219851231.54512</v>
      </c>
      <c r="F30" s="1198">
        <f>SUM(G30:J30)</f>
        <v>12887977.66</v>
      </c>
      <c r="G30" s="1198">
        <f>SUM(K30:Z30)</f>
        <v>12887977.66</v>
      </c>
      <c r="H30" s="1198"/>
      <c r="I30" s="1198"/>
      <c r="J30" s="1198"/>
      <c r="K30" s="1378">
        <f>+'Costos a Sept-25'!B47</f>
        <v>0</v>
      </c>
      <c r="L30" s="1378">
        <f>+'Costos a Sept-25'!C47</f>
        <v>0</v>
      </c>
      <c r="M30" s="1378">
        <f>+'Costos a Sept-25'!D47</f>
        <v>0</v>
      </c>
      <c r="N30" s="1378">
        <f>+'Costos a Sept-25'!E47</f>
        <v>0</v>
      </c>
      <c r="O30" s="1378">
        <f>+'Costos a Sept-25'!F47</f>
        <v>0</v>
      </c>
      <c r="P30" s="1378">
        <f>+'Costos a Sept-25'!G47</f>
        <v>0</v>
      </c>
      <c r="Q30" s="1378">
        <f>+'Costos a Sept-25'!H47</f>
        <v>0</v>
      </c>
      <c r="R30" s="1378">
        <f>+'Costos a Sept-25'!I47</f>
        <v>0</v>
      </c>
      <c r="S30" s="1378">
        <f>+'Costos a Sept-25'!J47</f>
        <v>0</v>
      </c>
      <c r="T30" s="1379">
        <f>+'Costos a Sept-25'!K47</f>
        <v>0</v>
      </c>
      <c r="U30" s="1379">
        <f>+'Costos a Oct-25'!L51</f>
        <v>5900</v>
      </c>
      <c r="V30" s="1379">
        <f>+'Costos a Nov-25'!M50</f>
        <v>0</v>
      </c>
      <c r="W30" s="1379">
        <f>+'Costos a Ene-26'!N50</f>
        <v>4408448</v>
      </c>
      <c r="X30" s="1379">
        <f>+'Costos a Ene-26'!O50</f>
        <v>0</v>
      </c>
      <c r="Y30" s="1379">
        <f>+'Costos a Feb-26'!P50</f>
        <v>0</v>
      </c>
      <c r="Z30" s="1379">
        <f>+'Costos a Mar-26'!Q50</f>
        <v>8473629.6600000001</v>
      </c>
      <c r="AA30" s="1371">
        <f>SUM(U30:X30)</f>
        <v>4414348</v>
      </c>
    </row>
    <row r="31" spans="2:27" s="1183" customFormat="1" ht="12">
      <c r="B31" s="1197" t="s">
        <v>51</v>
      </c>
      <c r="C31" s="1198">
        <f>+'ADI 09-25'!C35</f>
        <v>19863403.175999999</v>
      </c>
      <c r="D31" s="1198">
        <f>SUM(G31:I31)</f>
        <v>0</v>
      </c>
      <c r="E31" s="1198">
        <f>+C31-D31</f>
        <v>19863403.175999999</v>
      </c>
      <c r="F31" s="1198">
        <f>SUM(G31:J31)</f>
        <v>0</v>
      </c>
      <c r="G31" s="1198">
        <f>SUM(K31:Z31)</f>
        <v>0</v>
      </c>
      <c r="H31" s="1198"/>
      <c r="I31" s="1198"/>
      <c r="J31" s="1198"/>
      <c r="K31" s="1378">
        <f>+'Costos a Sept-25'!B45</f>
        <v>0</v>
      </c>
      <c r="L31" s="1378">
        <f>+'Costos a Sept-25'!C45</f>
        <v>0</v>
      </c>
      <c r="M31" s="1378">
        <f>+'Costos a Sept-25'!D45</f>
        <v>0</v>
      </c>
      <c r="N31" s="1378">
        <f>+'Costos a Sept-25'!E45</f>
        <v>0</v>
      </c>
      <c r="O31" s="1378">
        <f>+'Costos a Sept-25'!F45</f>
        <v>0</v>
      </c>
      <c r="P31" s="1378">
        <f>+'Costos a Sept-25'!G45</f>
        <v>0</v>
      </c>
      <c r="Q31" s="1378">
        <f>+'Costos a Sept-25'!H45</f>
        <v>0</v>
      </c>
      <c r="R31" s="1378">
        <f>+'Costos a Sept-25'!I45</f>
        <v>0</v>
      </c>
      <c r="S31" s="1378">
        <f>+'Costos a Sept-25'!J45</f>
        <v>0</v>
      </c>
      <c r="T31" s="1379">
        <f>+'Costos a Sept-25'!K45</f>
        <v>0</v>
      </c>
      <c r="U31" s="1379">
        <f>+'Costos a Oct-25'!L45</f>
        <v>0</v>
      </c>
      <c r="V31" s="1379">
        <f>+'Costos a Nov-25'!M48</f>
        <v>0</v>
      </c>
      <c r="W31" s="1379">
        <f>+'Costos a Ene-26'!N48</f>
        <v>0</v>
      </c>
      <c r="X31" s="1379">
        <f>+'Costos a Ene-26'!O48</f>
        <v>0</v>
      </c>
      <c r="Y31" s="1379">
        <f>+'Costos a Feb-26'!P48</f>
        <v>0</v>
      </c>
      <c r="Z31" s="1379">
        <f>+'Costos a Mar-26'!Q48</f>
        <v>0</v>
      </c>
      <c r="AA31" s="1209">
        <f>SUM(U31:X31)</f>
        <v>0</v>
      </c>
    </row>
    <row r="32" spans="2:27" s="1183" customFormat="1" ht="12">
      <c r="B32" s="1199" t="s">
        <v>52</v>
      </c>
      <c r="C32" s="1200">
        <f>SUM(C28:C31)</f>
        <v>308102612.38111997</v>
      </c>
      <c r="D32" s="1200">
        <f t="shared" ref="D32:AA32" si="9">SUM(D28:D31)</f>
        <v>58876681.299999997</v>
      </c>
      <c r="E32" s="1200">
        <f t="shared" si="9"/>
        <v>249225931.08112001</v>
      </c>
      <c r="F32" s="1200">
        <f t="shared" si="9"/>
        <v>58760625.739999995</v>
      </c>
      <c r="G32" s="1200">
        <f t="shared" si="9"/>
        <v>58518509.419999987</v>
      </c>
      <c r="H32" s="1200">
        <f t="shared" si="9"/>
        <v>0</v>
      </c>
      <c r="I32" s="1200">
        <f t="shared" si="9"/>
        <v>358171.88</v>
      </c>
      <c r="J32" s="1200">
        <f t="shared" si="9"/>
        <v>-116055.56</v>
      </c>
      <c r="K32" s="1380">
        <f t="shared" si="9"/>
        <v>33883700.019999996</v>
      </c>
      <c r="L32" s="1380">
        <f t="shared" si="9"/>
        <v>239349.75</v>
      </c>
      <c r="M32" s="1380">
        <f t="shared" si="9"/>
        <v>0</v>
      </c>
      <c r="N32" s="1380">
        <f t="shared" si="9"/>
        <v>275065.38</v>
      </c>
      <c r="O32" s="1380">
        <f t="shared" si="9"/>
        <v>660982.84</v>
      </c>
      <c r="P32" s="1380">
        <f t="shared" si="9"/>
        <v>173106</v>
      </c>
      <c r="Q32" s="1380">
        <f t="shared" si="9"/>
        <v>1543136</v>
      </c>
      <c r="R32" s="1380">
        <f t="shared" si="9"/>
        <v>300</v>
      </c>
      <c r="S32" s="1380">
        <f t="shared" si="9"/>
        <v>1819009.35</v>
      </c>
      <c r="T32" s="1381">
        <f t="shared" si="9"/>
        <v>1681942.23</v>
      </c>
      <c r="U32" s="1381">
        <f t="shared" si="9"/>
        <v>1158988.8500000001</v>
      </c>
      <c r="V32" s="1381">
        <f t="shared" si="9"/>
        <v>339222.22</v>
      </c>
      <c r="W32" s="1381">
        <f t="shared" si="9"/>
        <v>6956733.1099999994</v>
      </c>
      <c r="X32" s="1381">
        <f t="shared" si="9"/>
        <v>517341.31</v>
      </c>
      <c r="Y32" s="1381">
        <f t="shared" si="9"/>
        <v>416685.22</v>
      </c>
      <c r="Z32" s="1381">
        <f t="shared" ref="Z32" si="10">SUM(Z28:Z31)</f>
        <v>8852947.1400000006</v>
      </c>
      <c r="AA32" s="1210">
        <f t="shared" si="9"/>
        <v>8972285.4899999984</v>
      </c>
    </row>
    <row r="33" spans="2:27" s="1183" customFormat="1" ht="12">
      <c r="B33" s="1202" t="s">
        <v>53</v>
      </c>
      <c r="C33" s="1203">
        <f t="shared" ref="C33:AA33" si="11">+C14+C21+C27+C32</f>
        <v>3428528420.3315516</v>
      </c>
      <c r="D33" s="1203">
        <f t="shared" si="11"/>
        <v>587780290.12999988</v>
      </c>
      <c r="E33" s="1203">
        <f t="shared" si="11"/>
        <v>2840748130.2015519</v>
      </c>
      <c r="F33" s="1203">
        <f t="shared" si="11"/>
        <v>564623047.37999988</v>
      </c>
      <c r="G33" s="1203">
        <f t="shared" si="11"/>
        <v>586589811.68999994</v>
      </c>
      <c r="H33" s="1203">
        <f t="shared" si="11"/>
        <v>278099.52</v>
      </c>
      <c r="I33" s="1203">
        <f t="shared" si="11"/>
        <v>912378.91999999993</v>
      </c>
      <c r="J33" s="1203">
        <f t="shared" si="11"/>
        <v>-23157242.750000004</v>
      </c>
      <c r="K33" s="1382">
        <f t="shared" si="11"/>
        <v>151080073.93000001</v>
      </c>
      <c r="L33" s="1382">
        <f t="shared" si="11"/>
        <v>2968703.3</v>
      </c>
      <c r="M33" s="1382">
        <f t="shared" si="11"/>
        <v>2613690.2399999998</v>
      </c>
      <c r="N33" s="1382">
        <f t="shared" si="11"/>
        <v>2895724.79</v>
      </c>
      <c r="O33" s="1382">
        <f t="shared" si="11"/>
        <v>7649161.7599999998</v>
      </c>
      <c r="P33" s="1382">
        <f t="shared" si="11"/>
        <v>6705088.7199999997</v>
      </c>
      <c r="Q33" s="1382">
        <f t="shared" si="11"/>
        <v>10036771</v>
      </c>
      <c r="R33" s="1382">
        <f t="shared" si="11"/>
        <v>19175567.920000002</v>
      </c>
      <c r="S33" s="1382">
        <f t="shared" si="11"/>
        <v>195778925.68999997</v>
      </c>
      <c r="T33" s="1383">
        <f t="shared" si="11"/>
        <v>19508128.399999999</v>
      </c>
      <c r="U33" s="1383">
        <f t="shared" si="11"/>
        <v>20646777.380000003</v>
      </c>
      <c r="V33" s="1383">
        <f t="shared" si="11"/>
        <v>23609624.669999998</v>
      </c>
      <c r="W33" s="1383">
        <f t="shared" si="11"/>
        <v>34305645.439999998</v>
      </c>
      <c r="X33" s="1383">
        <f t="shared" si="11"/>
        <v>13981426.51</v>
      </c>
      <c r="Y33" s="1383">
        <f t="shared" si="11"/>
        <v>23332142.700000003</v>
      </c>
      <c r="Z33" s="1383">
        <f t="shared" ref="Z33" si="12">+Z14+Z21+Z27+Z32</f>
        <v>52302359.240000002</v>
      </c>
      <c r="AA33" s="1211">
        <f t="shared" si="11"/>
        <v>92543474</v>
      </c>
    </row>
    <row r="34" spans="2:27" s="1183" customFormat="1" ht="12">
      <c r="B34" s="1267" t="s">
        <v>1922</v>
      </c>
      <c r="C34" s="1268"/>
      <c r="D34" s="1268"/>
      <c r="E34" s="1268"/>
      <c r="F34" s="1268"/>
      <c r="G34" s="1268"/>
      <c r="H34" s="1268"/>
      <c r="I34" s="1268"/>
      <c r="J34" s="1268"/>
      <c r="K34" s="1205"/>
      <c r="U34" s="1435"/>
      <c r="V34" s="1435"/>
      <c r="W34" s="1627"/>
      <c r="X34" s="1627"/>
      <c r="Y34" s="1627"/>
      <c r="Z34" s="1627"/>
    </row>
    <row r="35" spans="2:27" s="1183" customFormat="1" ht="12">
      <c r="C35" s="1188"/>
      <c r="D35" s="1206">
        <f t="shared" ref="D35" si="13">+D33-D14</f>
        <v>323335209.96999991</v>
      </c>
      <c r="E35" s="1206"/>
      <c r="F35" s="1206">
        <f>+F33-F14</f>
        <v>300177967.21999991</v>
      </c>
      <c r="G35" s="1206">
        <f>+G33-G34</f>
        <v>586589811.68999994</v>
      </c>
      <c r="H35" s="1206">
        <f>+H33-H34</f>
        <v>278099.52</v>
      </c>
      <c r="I35" s="1206">
        <f t="shared" ref="I35" si="14">+I33-I34</f>
        <v>912378.91999999993</v>
      </c>
      <c r="J35" s="1206">
        <v>23142348.350000001</v>
      </c>
      <c r="K35" s="1204"/>
      <c r="L35" s="1204"/>
      <c r="M35" s="1204"/>
      <c r="N35" s="1204"/>
      <c r="O35" s="1204"/>
      <c r="P35" s="1204"/>
      <c r="Q35" s="1204"/>
      <c r="R35" s="1204"/>
      <c r="S35" s="1204"/>
      <c r="T35" s="1204"/>
      <c r="U35" s="1204"/>
      <c r="V35" s="1204"/>
      <c r="W35" s="1204"/>
      <c r="X35" s="1204"/>
      <c r="Y35" s="1204"/>
      <c r="Z35" s="1204"/>
    </row>
    <row r="36" spans="2:27" s="1183" customFormat="1" ht="12">
      <c r="B36" s="1205"/>
      <c r="C36" s="1207"/>
      <c r="D36" s="1204">
        <f>+D33-G33</f>
        <v>1190478.439999938</v>
      </c>
      <c r="E36" s="1204"/>
      <c r="J36" s="1627">
        <f>+J33+J35</f>
        <v>-14894.400000002235</v>
      </c>
    </row>
  </sheetData>
  <mergeCells count="3">
    <mergeCell ref="B3:C3"/>
    <mergeCell ref="D10:J10"/>
    <mergeCell ref="B11:C11"/>
  </mergeCells>
  <hyperlinks>
    <hyperlink ref="F1" r:id="rId1" xr:uid="{232432B4-D051-4E31-A4ED-234161D0F7C0}"/>
  </hyperlinks>
  <pageMargins left="0.5" right="0.69" top="0.92" bottom="1" header="0" footer="0"/>
  <pageSetup scale="38" orientation="landscape" r:id="rId2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6ED7C-408D-425D-BE3F-D55F9EED500F}">
  <dimension ref="A3:AH42"/>
  <sheetViews>
    <sheetView showGridLines="0" topLeftCell="A5" workbookViewId="0">
      <selection activeCell="A6" sqref="A6"/>
    </sheetView>
  </sheetViews>
  <sheetFormatPr baseColWidth="10" defaultColWidth="11.44140625" defaultRowHeight="14.4"/>
  <cols>
    <col min="1" max="1" width="24" customWidth="1"/>
    <col min="2" max="2" width="11.5546875" hidden="1" customWidth="1"/>
    <col min="3" max="3" width="14.6640625" bestFit="1" customWidth="1"/>
    <col min="4" max="4" width="11.5546875" customWidth="1"/>
    <col min="5" max="5" width="14.6640625" bestFit="1" customWidth="1"/>
    <col min="6" max="6" width="7.33203125" style="181" bestFit="1" customWidth="1"/>
    <col min="7" max="8" width="11.5546875" hidden="1" customWidth="1"/>
    <col min="9" max="9" width="10.5546875" customWidth="1"/>
    <col min="10" max="10" width="13.109375" hidden="1" customWidth="1"/>
    <col min="11" max="11" width="4.6640625" hidden="1" customWidth="1"/>
    <col min="12" max="16" width="8.88671875" hidden="1" customWidth="1"/>
    <col min="17" max="17" width="10.44140625" hidden="1" customWidth="1"/>
    <col min="18" max="18" width="10.33203125" hidden="1" customWidth="1"/>
    <col min="19" max="20" width="10.44140625" hidden="1" customWidth="1"/>
    <col min="21" max="24" width="10.6640625" hidden="1" customWidth="1"/>
    <col min="25" max="29" width="10.6640625" customWidth="1"/>
    <col min="30" max="30" width="13.6640625" bestFit="1" customWidth="1"/>
    <col min="31" max="31" width="13" customWidth="1"/>
  </cols>
  <sheetData>
    <row r="3" spans="1:34" ht="15.6">
      <c r="A3" s="1508" t="s">
        <v>2109</v>
      </c>
      <c r="B3" s="1505"/>
      <c r="C3" s="1505"/>
      <c r="D3" s="1505"/>
      <c r="E3" s="1505"/>
      <c r="F3" s="1506"/>
      <c r="G3" s="1505"/>
      <c r="H3" s="1505"/>
      <c r="I3" s="1505"/>
      <c r="J3" s="1505"/>
      <c r="K3" s="1505"/>
      <c r="L3" s="1505"/>
      <c r="AE3" s="1507"/>
    </row>
    <row r="4" spans="1:34">
      <c r="A4" s="1509"/>
      <c r="B4" s="1510"/>
      <c r="C4" s="1510"/>
      <c r="D4" s="1510"/>
      <c r="E4" s="1510"/>
      <c r="F4" s="1511"/>
      <c r="G4" s="1510"/>
      <c r="H4" s="1510"/>
      <c r="I4" s="1510"/>
      <c r="J4" s="1510"/>
      <c r="K4" s="1510"/>
      <c r="L4" s="1510"/>
      <c r="AE4" s="1507"/>
    </row>
    <row r="5" spans="1:34" ht="15" thickBot="1">
      <c r="A5" s="1504"/>
      <c r="B5" s="1510"/>
      <c r="C5" s="1510"/>
      <c r="D5" s="1510"/>
      <c r="E5" s="1510"/>
      <c r="F5" s="1511"/>
      <c r="G5" s="1510"/>
      <c r="H5" s="1510"/>
      <c r="I5" s="1510"/>
      <c r="J5" s="1510"/>
      <c r="K5" s="1510"/>
      <c r="L5" s="1510"/>
      <c r="AE5" s="1512"/>
    </row>
    <row r="6" spans="1:34" s="455" customFormat="1" ht="28.8">
      <c r="A6" s="1545" t="s">
        <v>2110</v>
      </c>
      <c r="B6" s="1546" t="s">
        <v>2111</v>
      </c>
      <c r="C6" s="1579" t="s">
        <v>2126</v>
      </c>
      <c r="D6" s="1579" t="s">
        <v>2127</v>
      </c>
      <c r="E6" s="1579" t="s">
        <v>2112</v>
      </c>
      <c r="F6" s="1546" t="s">
        <v>1298</v>
      </c>
      <c r="G6" s="1546" t="s">
        <v>2113</v>
      </c>
      <c r="H6" s="1546" t="s">
        <v>2114</v>
      </c>
      <c r="I6" s="1619" t="s">
        <v>2115</v>
      </c>
      <c r="J6" s="1546" t="s">
        <v>2116</v>
      </c>
      <c r="K6" s="1546" t="s">
        <v>2117</v>
      </c>
      <c r="L6" s="1547">
        <v>45748</v>
      </c>
      <c r="M6" s="1547">
        <v>45778</v>
      </c>
      <c r="N6" s="1547">
        <v>45809</v>
      </c>
      <c r="O6" s="1547">
        <v>45839</v>
      </c>
      <c r="P6" s="1547">
        <v>45870</v>
      </c>
      <c r="Q6" s="1547">
        <v>45901</v>
      </c>
      <c r="R6" s="1547">
        <v>45931</v>
      </c>
      <c r="S6" s="1547">
        <v>45962</v>
      </c>
      <c r="T6" s="1547">
        <v>45992</v>
      </c>
      <c r="U6" s="1548" t="s">
        <v>2438</v>
      </c>
      <c r="V6" s="1547">
        <v>46023</v>
      </c>
      <c r="W6" s="1547">
        <v>46054</v>
      </c>
      <c r="X6" s="1547">
        <v>46082</v>
      </c>
      <c r="Y6" s="1547">
        <v>46113</v>
      </c>
      <c r="Z6" s="1547">
        <v>46143</v>
      </c>
      <c r="AA6" s="1547">
        <v>46174</v>
      </c>
      <c r="AB6" s="1547">
        <v>46204</v>
      </c>
      <c r="AC6" s="1547">
        <v>46235</v>
      </c>
      <c r="AD6" s="1549" t="s">
        <v>2203</v>
      </c>
      <c r="AE6" s="1534" t="s">
        <v>2120</v>
      </c>
    </row>
    <row r="7" spans="1:34" s="455" customFormat="1" hidden="1">
      <c r="A7" s="1535" t="s">
        <v>1786</v>
      </c>
      <c r="B7" s="1536" t="s">
        <v>2122</v>
      </c>
      <c r="C7" s="1540">
        <v>15000000</v>
      </c>
      <c r="D7" s="1540">
        <v>15000000</v>
      </c>
      <c r="E7" s="1540">
        <v>0</v>
      </c>
      <c r="F7" s="1538">
        <v>0.1595</v>
      </c>
      <c r="G7" s="1537">
        <f t="shared" ref="G7:G12" si="0">+E7*F7/360*30</f>
        <v>0</v>
      </c>
      <c r="H7" s="1539">
        <v>45757</v>
      </c>
      <c r="I7" s="1539">
        <v>45761</v>
      </c>
      <c r="J7" s="1539">
        <v>45777</v>
      </c>
      <c r="K7" s="1540">
        <f t="shared" ref="K7:K12" si="1">+J7-I7</f>
        <v>16</v>
      </c>
      <c r="L7" s="1540">
        <f>+E7*F7/360*K7</f>
        <v>0</v>
      </c>
      <c r="M7" s="630">
        <f>+G7</f>
        <v>0</v>
      </c>
      <c r="N7" s="630">
        <f>+M7</f>
        <v>0</v>
      </c>
      <c r="O7" s="630">
        <f>+N7</f>
        <v>0</v>
      </c>
      <c r="P7" s="630">
        <f>+O7</f>
        <v>0</v>
      </c>
      <c r="Q7" s="630">
        <f>+P7</f>
        <v>0</v>
      </c>
      <c r="R7" s="630">
        <f>+Q7</f>
        <v>0</v>
      </c>
      <c r="S7" s="630">
        <v>199375</v>
      </c>
      <c r="T7" s="768">
        <f t="shared" ref="T7:T12" si="2">((+(E7*F7)/12)/30)*22</f>
        <v>0</v>
      </c>
      <c r="U7" s="630">
        <f>SUM(L7:T7)</f>
        <v>199375</v>
      </c>
      <c r="V7" s="630"/>
      <c r="W7" s="630"/>
      <c r="X7" s="630"/>
      <c r="Y7" s="630"/>
      <c r="Z7" s="630"/>
      <c r="AA7" s="630"/>
      <c r="AB7" s="630"/>
      <c r="AC7" s="630"/>
      <c r="AD7" s="1552">
        <f t="shared" ref="AD7:AD12" si="3">SUM(U7:X7)</f>
        <v>199375</v>
      </c>
      <c r="AE7" s="1513">
        <v>45939</v>
      </c>
    </row>
    <row r="8" spans="1:34" s="455" customFormat="1" hidden="1">
      <c r="A8" s="1535" t="s">
        <v>1786</v>
      </c>
      <c r="B8" s="1536" t="s">
        <v>2122</v>
      </c>
      <c r="C8" s="1540">
        <v>7200000</v>
      </c>
      <c r="D8" s="1540">
        <v>7200000</v>
      </c>
      <c r="E8" s="1540">
        <v>0</v>
      </c>
      <c r="F8" s="1538">
        <v>0.1595</v>
      </c>
      <c r="G8" s="1537">
        <f t="shared" si="0"/>
        <v>0</v>
      </c>
      <c r="H8" s="1539">
        <v>45792</v>
      </c>
      <c r="I8" s="1539">
        <v>45792</v>
      </c>
      <c r="J8" s="1539">
        <v>45808</v>
      </c>
      <c r="K8" s="1540">
        <f t="shared" si="1"/>
        <v>16</v>
      </c>
      <c r="L8" s="1540"/>
      <c r="M8" s="630">
        <f>+E8*F8/360*K8</f>
        <v>0</v>
      </c>
      <c r="N8" s="630">
        <f>+G8</f>
        <v>0</v>
      </c>
      <c r="O8" s="630">
        <f>+G8</f>
        <v>0</v>
      </c>
      <c r="P8" s="630">
        <f>+G8</f>
        <v>0</v>
      </c>
      <c r="Q8" s="630">
        <f>+P8</f>
        <v>0</v>
      </c>
      <c r="R8" s="630">
        <f>+Q8</f>
        <v>0</v>
      </c>
      <c r="S8" s="630">
        <v>95700</v>
      </c>
      <c r="T8" s="768">
        <f t="shared" si="2"/>
        <v>0</v>
      </c>
      <c r="U8" s="630">
        <f t="shared" ref="U8:U12" si="4">SUM(L8:T8)</f>
        <v>95700</v>
      </c>
      <c r="V8" s="630"/>
      <c r="W8" s="630"/>
      <c r="X8" s="630"/>
      <c r="Y8" s="630"/>
      <c r="Z8" s="630"/>
      <c r="AA8" s="630"/>
      <c r="AB8" s="630"/>
      <c r="AC8" s="630"/>
      <c r="AD8" s="1552">
        <f t="shared" si="3"/>
        <v>95700</v>
      </c>
      <c r="AE8" s="1513">
        <v>45939</v>
      </c>
      <c r="AH8" s="455">
        <f>250-85</f>
        <v>165</v>
      </c>
    </row>
    <row r="9" spans="1:34" s="455" customFormat="1" hidden="1">
      <c r="A9" s="1535" t="s">
        <v>1786</v>
      </c>
      <c r="B9" s="1536" t="s">
        <v>2122</v>
      </c>
      <c r="C9" s="1540">
        <v>12000000</v>
      </c>
      <c r="D9" s="1540">
        <v>12000000</v>
      </c>
      <c r="E9" s="1540">
        <v>0</v>
      </c>
      <c r="F9" s="1538">
        <v>0.1595</v>
      </c>
      <c r="G9" s="1537">
        <f t="shared" si="0"/>
        <v>0</v>
      </c>
      <c r="H9" s="1539">
        <v>45820</v>
      </c>
      <c r="I9" s="1539">
        <v>45820</v>
      </c>
      <c r="J9" s="1539">
        <v>45838</v>
      </c>
      <c r="K9" s="1540">
        <f t="shared" si="1"/>
        <v>18</v>
      </c>
      <c r="L9" s="1540"/>
      <c r="M9" s="630"/>
      <c r="N9" s="630">
        <f>+E9*F9/360*K9</f>
        <v>0</v>
      </c>
      <c r="O9" s="630">
        <f>+E9*F9/360*31</f>
        <v>0</v>
      </c>
      <c r="P9" s="630">
        <f>+O9</f>
        <v>0</v>
      </c>
      <c r="Q9" s="630">
        <f>+P9</f>
        <v>0</v>
      </c>
      <c r="R9" s="630">
        <f>+Q9</f>
        <v>0</v>
      </c>
      <c r="S9" s="630">
        <v>164816.66666666669</v>
      </c>
      <c r="T9" s="768">
        <f t="shared" si="2"/>
        <v>0</v>
      </c>
      <c r="U9" s="630">
        <f t="shared" si="4"/>
        <v>164816.66666666669</v>
      </c>
      <c r="V9" s="630"/>
      <c r="W9" s="630"/>
      <c r="X9" s="630"/>
      <c r="Y9" s="630"/>
      <c r="Z9" s="630"/>
      <c r="AA9" s="630"/>
      <c r="AB9" s="630"/>
      <c r="AC9" s="630"/>
      <c r="AD9" s="1552">
        <f t="shared" si="3"/>
        <v>164816.66666666669</v>
      </c>
      <c r="AE9" s="1513">
        <v>45939</v>
      </c>
      <c r="AH9" s="455">
        <f>320-160</f>
        <v>160</v>
      </c>
    </row>
    <row r="10" spans="1:34" s="455" customFormat="1" hidden="1">
      <c r="A10" s="1535" t="s">
        <v>1786</v>
      </c>
      <c r="B10" s="1536" t="s">
        <v>2121</v>
      </c>
      <c r="C10" s="1540">
        <f>11000000</f>
        <v>11000000</v>
      </c>
      <c r="D10" s="1540">
        <v>11000000</v>
      </c>
      <c r="E10" s="1540">
        <v>0</v>
      </c>
      <c r="F10" s="1538">
        <v>0.19</v>
      </c>
      <c r="G10" s="1537">
        <f t="shared" si="0"/>
        <v>0</v>
      </c>
      <c r="H10" s="1539">
        <v>45847</v>
      </c>
      <c r="I10" s="1539">
        <v>45854</v>
      </c>
      <c r="J10" s="1539">
        <v>45869</v>
      </c>
      <c r="K10" s="1540">
        <f t="shared" si="1"/>
        <v>15</v>
      </c>
      <c r="L10" s="1540"/>
      <c r="M10" s="630"/>
      <c r="N10" s="630"/>
      <c r="O10" s="630">
        <v>87083.33</v>
      </c>
      <c r="P10" s="630">
        <v>174166.67</v>
      </c>
      <c r="Q10" s="630">
        <v>174166.67</v>
      </c>
      <c r="R10" s="630">
        <f>((11000000*19%)/360)*7+((6000000*19%)/360)*23</f>
        <v>113472.22222222222</v>
      </c>
      <c r="S10" s="630">
        <f>+E10*F10/12</f>
        <v>0</v>
      </c>
      <c r="T10" s="768">
        <f t="shared" si="2"/>
        <v>0</v>
      </c>
      <c r="U10" s="630">
        <f t="shared" si="4"/>
        <v>548888.89222222229</v>
      </c>
      <c r="V10" s="630"/>
      <c r="W10" s="630"/>
      <c r="X10" s="630"/>
      <c r="Y10" s="630"/>
      <c r="Z10" s="630"/>
      <c r="AA10" s="630"/>
      <c r="AB10" s="630"/>
      <c r="AC10" s="630"/>
      <c r="AD10" s="1552">
        <f t="shared" si="3"/>
        <v>548888.89222222229</v>
      </c>
      <c r="AE10" s="1513">
        <v>45923</v>
      </c>
      <c r="AH10" s="455">
        <f>250-85</f>
        <v>165</v>
      </c>
    </row>
    <row r="11" spans="1:34" s="455" customFormat="1" hidden="1">
      <c r="A11" s="1535" t="s">
        <v>1786</v>
      </c>
      <c r="B11" s="1536" t="s">
        <v>2121</v>
      </c>
      <c r="C11" s="1540">
        <v>2815000</v>
      </c>
      <c r="D11" s="1540">
        <v>2815000</v>
      </c>
      <c r="E11" s="1540">
        <v>0</v>
      </c>
      <c r="F11" s="1538">
        <v>0.19</v>
      </c>
      <c r="G11" s="1537">
        <f t="shared" si="0"/>
        <v>0</v>
      </c>
      <c r="H11" s="1539">
        <v>45847</v>
      </c>
      <c r="I11" s="1539">
        <v>45862</v>
      </c>
      <c r="J11" s="1539">
        <v>45869</v>
      </c>
      <c r="K11" s="1540">
        <f t="shared" si="1"/>
        <v>7</v>
      </c>
      <c r="L11" s="1540"/>
      <c r="M11" s="630"/>
      <c r="N11" s="630"/>
      <c r="O11" s="630">
        <f>+E11*F11/360*K11</f>
        <v>0</v>
      </c>
      <c r="P11" s="630">
        <f>+G11</f>
        <v>0</v>
      </c>
      <c r="Q11" s="630">
        <f>+P11</f>
        <v>0</v>
      </c>
      <c r="R11" s="630">
        <f>+Q11</f>
        <v>0</v>
      </c>
      <c r="S11" s="630">
        <v>44570.833333333328</v>
      </c>
      <c r="T11" s="768">
        <f t="shared" si="2"/>
        <v>0</v>
      </c>
      <c r="U11" s="630">
        <f t="shared" si="4"/>
        <v>44570.833333333328</v>
      </c>
      <c r="V11" s="630"/>
      <c r="W11" s="630"/>
      <c r="X11" s="630"/>
      <c r="Y11" s="630"/>
      <c r="Z11" s="630"/>
      <c r="AA11" s="630"/>
      <c r="AB11" s="630"/>
      <c r="AC11" s="630"/>
      <c r="AD11" s="1552">
        <f t="shared" si="3"/>
        <v>44570.833333333328</v>
      </c>
      <c r="AE11" s="1513">
        <v>45923</v>
      </c>
    </row>
    <row r="12" spans="1:34" s="455" customFormat="1" hidden="1">
      <c r="A12" s="1535" t="s">
        <v>1786</v>
      </c>
      <c r="B12" s="1536" t="s">
        <v>2121</v>
      </c>
      <c r="C12" s="1540">
        <v>1185000</v>
      </c>
      <c r="D12" s="1540">
        <v>1185000</v>
      </c>
      <c r="E12" s="1540">
        <v>0</v>
      </c>
      <c r="F12" s="1538">
        <v>0.19</v>
      </c>
      <c r="G12" s="1537">
        <f t="shared" si="0"/>
        <v>0</v>
      </c>
      <c r="H12" s="1539">
        <v>45847</v>
      </c>
      <c r="I12" s="1539">
        <v>45862</v>
      </c>
      <c r="J12" s="1539">
        <v>45869</v>
      </c>
      <c r="K12" s="1540">
        <f t="shared" si="1"/>
        <v>7</v>
      </c>
      <c r="L12" s="1540"/>
      <c r="M12" s="630"/>
      <c r="N12" s="630"/>
      <c r="O12" s="630">
        <f>+E12*F12/360*K12</f>
        <v>0</v>
      </c>
      <c r="P12" s="630">
        <f>+G12</f>
        <v>0</v>
      </c>
      <c r="Q12" s="630">
        <f>+P12</f>
        <v>0</v>
      </c>
      <c r="R12" s="630">
        <f>+Q12</f>
        <v>0</v>
      </c>
      <c r="S12" s="630">
        <v>18762.5</v>
      </c>
      <c r="T12" s="768">
        <f t="shared" si="2"/>
        <v>0</v>
      </c>
      <c r="U12" s="630">
        <f t="shared" si="4"/>
        <v>18762.5</v>
      </c>
      <c r="V12" s="630"/>
      <c r="W12" s="630"/>
      <c r="X12" s="630"/>
      <c r="Y12" s="630"/>
      <c r="Z12" s="630"/>
      <c r="AA12" s="630"/>
      <c r="AB12" s="630"/>
      <c r="AC12" s="630"/>
      <c r="AD12" s="1552">
        <f t="shared" si="3"/>
        <v>18762.5</v>
      </c>
      <c r="AE12" s="1513"/>
    </row>
    <row r="13" spans="1:34" s="1472" customFormat="1" ht="18" hidden="1" customHeight="1" thickBot="1">
      <c r="A13" s="1580" t="s">
        <v>1790</v>
      </c>
      <c r="B13" s="1581"/>
      <c r="C13" s="1582">
        <f>SUM(C7:C12)</f>
        <v>49200000</v>
      </c>
      <c r="D13" s="1582">
        <f>SUM(D7:D12)</f>
        <v>49200000</v>
      </c>
      <c r="E13" s="1582">
        <f>SUM(E7:E12)</f>
        <v>0</v>
      </c>
      <c r="F13" s="1583"/>
      <c r="G13" s="1584">
        <f>SUM(G7:G12)</f>
        <v>0</v>
      </c>
      <c r="H13" s="1581"/>
      <c r="I13" s="1581"/>
      <c r="J13" s="1581"/>
      <c r="K13" s="1581"/>
      <c r="L13" s="1582">
        <f t="shared" ref="L13:T13" si="5">SUM(L7:L12)</f>
        <v>0</v>
      </c>
      <c r="M13" s="1582">
        <f t="shared" si="5"/>
        <v>0</v>
      </c>
      <c r="N13" s="1582">
        <f t="shared" si="5"/>
        <v>0</v>
      </c>
      <c r="O13" s="1582">
        <f t="shared" si="5"/>
        <v>87083.33</v>
      </c>
      <c r="P13" s="1582">
        <f t="shared" si="5"/>
        <v>174166.67</v>
      </c>
      <c r="Q13" s="1582">
        <f t="shared" si="5"/>
        <v>174166.67</v>
      </c>
      <c r="R13" s="1582">
        <f t="shared" si="5"/>
        <v>113472.22222222222</v>
      </c>
      <c r="S13" s="1582">
        <f t="shared" si="5"/>
        <v>523225</v>
      </c>
      <c r="T13" s="1582">
        <f t="shared" si="5"/>
        <v>0</v>
      </c>
      <c r="U13" s="1582"/>
      <c r="V13" s="1582">
        <f>SUM(V7:V12)</f>
        <v>0</v>
      </c>
      <c r="W13" s="1582">
        <f>SUM(W7:W12)</f>
        <v>0</v>
      </c>
      <c r="X13" s="1582">
        <f>SUM(X7:X12)</f>
        <v>0</v>
      </c>
      <c r="Y13" s="1582">
        <f t="shared" ref="Y13:AB13" si="6">SUM(Y7:Y12)</f>
        <v>0</v>
      </c>
      <c r="Z13" s="1582">
        <f t="shared" si="6"/>
        <v>0</v>
      </c>
      <c r="AA13" s="1582">
        <f t="shared" si="6"/>
        <v>0</v>
      </c>
      <c r="AB13" s="1582">
        <f t="shared" si="6"/>
        <v>0</v>
      </c>
      <c r="AC13" s="1582">
        <f t="shared" ref="AC13" si="7">SUM(AC7:AC12)</f>
        <v>0</v>
      </c>
      <c r="AD13" s="1551"/>
    </row>
    <row r="14" spans="1:34" s="455" customFormat="1" hidden="1">
      <c r="A14" s="1535" t="s">
        <v>2123</v>
      </c>
      <c r="B14" s="1536"/>
      <c r="C14" s="1620">
        <v>25000000</v>
      </c>
      <c r="D14" s="1620"/>
      <c r="E14" s="1620">
        <f>+C14-D14</f>
        <v>25000000</v>
      </c>
      <c r="F14" s="1538">
        <v>0.18</v>
      </c>
      <c r="G14" s="1537"/>
      <c r="H14" s="1539"/>
      <c r="I14" s="1539">
        <v>45905</v>
      </c>
      <c r="J14" s="1539"/>
      <c r="K14" s="1540"/>
      <c r="L14" s="1540"/>
      <c r="M14" s="630"/>
      <c r="N14" s="630"/>
      <c r="O14" s="630"/>
      <c r="P14" s="630"/>
      <c r="Q14" s="630">
        <f>(($C14*$F14)/360)*25</f>
        <v>312500</v>
      </c>
      <c r="R14" s="630">
        <f>(($C14*$F14)/360)*30</f>
        <v>375000</v>
      </c>
      <c r="S14" s="630">
        <f t="shared" ref="S14:AC26" si="8">(($C14*$F14)/360)*30</f>
        <v>375000</v>
      </c>
      <c r="T14" s="630">
        <f t="shared" si="8"/>
        <v>375000</v>
      </c>
      <c r="U14" s="630">
        <f>SUM(Q14:T14)</f>
        <v>1437500</v>
      </c>
      <c r="V14" s="630">
        <f>(($C14*$F14)/360)*31</f>
        <v>387500</v>
      </c>
      <c r="W14" s="630">
        <f>(($C14*$F14)/360)*30</f>
        <v>375000</v>
      </c>
      <c r="X14" s="630">
        <f>(($C14*$F14)/360)*5</f>
        <v>62500</v>
      </c>
      <c r="Y14" s="630"/>
      <c r="Z14" s="630"/>
      <c r="AA14" s="630"/>
      <c r="AB14" s="630"/>
      <c r="AC14" s="630"/>
      <c r="AD14" s="1552">
        <f>SUM(U14:AB14)</f>
        <v>2262500</v>
      </c>
      <c r="AE14" s="1513"/>
    </row>
    <row r="15" spans="1:34" s="455" customFormat="1" hidden="1">
      <c r="A15" s="1535" t="s">
        <v>2123</v>
      </c>
      <c r="B15" s="1536"/>
      <c r="C15" s="1620">
        <v>30184227.399999999</v>
      </c>
      <c r="D15" s="1620"/>
      <c r="E15" s="1620">
        <f t="shared" ref="E15:E22" si="9">+C15-D15</f>
        <v>30184227.399999999</v>
      </c>
      <c r="F15" s="1538">
        <v>0.18</v>
      </c>
      <c r="G15" s="1537"/>
      <c r="H15" s="1539"/>
      <c r="I15" s="1539">
        <v>45926</v>
      </c>
      <c r="J15" s="1539"/>
      <c r="K15" s="1540"/>
      <c r="L15" s="1540"/>
      <c r="M15" s="630"/>
      <c r="N15" s="630"/>
      <c r="O15" s="630"/>
      <c r="P15" s="630"/>
      <c r="Q15" s="630">
        <f>(($C15*$F15)/360)*4</f>
        <v>60368.454799999992</v>
      </c>
      <c r="R15" s="630">
        <f>(($C15*$F15)/360)*30</f>
        <v>452763.41099999996</v>
      </c>
      <c r="S15" s="630">
        <f t="shared" si="8"/>
        <v>452763.41099999996</v>
      </c>
      <c r="T15" s="630">
        <f t="shared" si="8"/>
        <v>452763.41099999996</v>
      </c>
      <c r="U15" s="630">
        <f t="shared" ref="U15:U19" si="10">SUM(Q15:T15)</f>
        <v>1418658.6878</v>
      </c>
      <c r="V15" s="630">
        <f>(($C15*$F15)/360)*31</f>
        <v>467855.52469999995</v>
      </c>
      <c r="W15" s="630">
        <f>(($C15*$F15)/360)*30</f>
        <v>452763.41099999996</v>
      </c>
      <c r="X15" s="630">
        <f>(($C15*$F15)/360)*21</f>
        <v>316934.38769999996</v>
      </c>
      <c r="Y15" s="630"/>
      <c r="Z15" s="630"/>
      <c r="AA15" s="630"/>
      <c r="AB15" s="630"/>
      <c r="AC15" s="630"/>
      <c r="AD15" s="1552">
        <f t="shared" ref="AD15:AD22" si="11">SUM(U15:AB15)</f>
        <v>2656212.0111999996</v>
      </c>
      <c r="AE15" s="1513"/>
    </row>
    <row r="16" spans="1:34" s="455" customFormat="1" hidden="1">
      <c r="A16" s="1535"/>
      <c r="B16" s="1536"/>
      <c r="C16" s="1620"/>
      <c r="D16" s="1620"/>
      <c r="E16" s="1620"/>
      <c r="F16" s="1538"/>
      <c r="G16" s="1537"/>
      <c r="H16" s="1539"/>
      <c r="I16" s="1539"/>
      <c r="J16" s="1539"/>
      <c r="K16" s="1540"/>
      <c r="L16" s="1540"/>
      <c r="M16" s="630"/>
      <c r="N16" s="630"/>
      <c r="O16" s="630"/>
      <c r="P16" s="630"/>
      <c r="Q16" s="630"/>
      <c r="R16" s="630"/>
      <c r="S16" s="630"/>
      <c r="T16" s="630"/>
      <c r="U16" s="630"/>
      <c r="V16" s="630"/>
      <c r="W16" s="630"/>
      <c r="X16" s="630"/>
      <c r="Y16" s="630"/>
      <c r="Z16" s="630"/>
      <c r="AA16" s="630"/>
      <c r="AB16" s="630"/>
      <c r="AC16" s="630"/>
      <c r="AD16" s="1552">
        <f t="shared" si="11"/>
        <v>0</v>
      </c>
      <c r="AE16" s="1513"/>
      <c r="AF16" s="455" t="s">
        <v>2340</v>
      </c>
    </row>
    <row r="17" spans="1:32" hidden="1">
      <c r="A17" s="753"/>
      <c r="C17" s="1016"/>
      <c r="D17" s="1016"/>
      <c r="E17" s="1016"/>
      <c r="AD17" s="1552">
        <f t="shared" si="11"/>
        <v>0</v>
      </c>
    </row>
    <row r="18" spans="1:32" s="455" customFormat="1" hidden="1">
      <c r="A18" s="1535" t="s">
        <v>2123</v>
      </c>
      <c r="B18" s="1541"/>
      <c r="C18" s="1620">
        <v>22000000</v>
      </c>
      <c r="D18" s="1620"/>
      <c r="E18" s="1620">
        <f t="shared" si="9"/>
        <v>22000000</v>
      </c>
      <c r="F18" s="1538">
        <v>0.18</v>
      </c>
      <c r="G18" s="1537"/>
      <c r="H18" s="1539"/>
      <c r="I18" s="1539">
        <v>45966</v>
      </c>
      <c r="J18" s="1539"/>
      <c r="K18" s="1540"/>
      <c r="L18" s="1540"/>
      <c r="M18" s="630"/>
      <c r="N18" s="630"/>
      <c r="O18" s="630"/>
      <c r="P18" s="630"/>
      <c r="Q18" s="630"/>
      <c r="R18" s="630"/>
      <c r="S18" s="630">
        <f>(($C18*$F18)/360)*25</f>
        <v>275000</v>
      </c>
      <c r="T18" s="630">
        <f t="shared" si="8"/>
        <v>330000</v>
      </c>
      <c r="U18" s="630">
        <f t="shared" si="10"/>
        <v>605000</v>
      </c>
      <c r="V18" s="630">
        <f>(($C18*$F18)/360)*31</f>
        <v>341000</v>
      </c>
      <c r="W18" s="630">
        <f>(($C18*$F18)/360)*30</f>
        <v>330000</v>
      </c>
      <c r="X18" s="630">
        <f>(($C18*$F18)/360)*21</f>
        <v>231000</v>
      </c>
      <c r="Y18" s="630"/>
      <c r="Z18" s="630"/>
      <c r="AA18" s="630"/>
      <c r="AB18" s="630"/>
      <c r="AC18" s="630"/>
      <c r="AD18" s="1552">
        <f t="shared" si="11"/>
        <v>1507000</v>
      </c>
      <c r="AE18" s="1513"/>
    </row>
    <row r="19" spans="1:32" s="455" customFormat="1" hidden="1">
      <c r="A19" s="1535" t="s">
        <v>2123</v>
      </c>
      <c r="B19" s="1541"/>
      <c r="C19" s="1620">
        <v>22815773</v>
      </c>
      <c r="D19" s="1620"/>
      <c r="E19" s="1620">
        <f t="shared" si="9"/>
        <v>22815773</v>
      </c>
      <c r="F19" s="1538">
        <v>0.18</v>
      </c>
      <c r="G19" s="1537"/>
      <c r="H19" s="1539"/>
      <c r="I19" s="1539">
        <v>45989</v>
      </c>
      <c r="J19" s="1539"/>
      <c r="K19" s="1540"/>
      <c r="L19" s="1540"/>
      <c r="M19" s="630"/>
      <c r="N19" s="630"/>
      <c r="O19" s="630"/>
      <c r="P19" s="630"/>
      <c r="Q19" s="630"/>
      <c r="R19" s="630"/>
      <c r="S19" s="630">
        <f>(($C19*$F19)/360)*2</f>
        <v>22815.772999999997</v>
      </c>
      <c r="T19" s="630">
        <f t="shared" si="8"/>
        <v>342236.59499999997</v>
      </c>
      <c r="U19" s="630">
        <f t="shared" si="10"/>
        <v>365052.36799999996</v>
      </c>
      <c r="V19" s="630">
        <f>(($C19*$F19)/360)*31</f>
        <v>353644.48149999994</v>
      </c>
      <c r="W19" s="630">
        <f>(($C19*$F19)/360)*30</f>
        <v>342236.59499999997</v>
      </c>
      <c r="X19" s="630">
        <f>(($C19*$F19)/360)*20.712867</f>
        <v>236290.03582559546</v>
      </c>
      <c r="Y19" s="630"/>
      <c r="Z19" s="630"/>
      <c r="AA19" s="630"/>
      <c r="AB19" s="630"/>
      <c r="AC19" s="630"/>
      <c r="AD19" s="1552">
        <f t="shared" si="11"/>
        <v>1297223.4803255952</v>
      </c>
      <c r="AE19" s="1839"/>
    </row>
    <row r="20" spans="1:32" s="455" customFormat="1" hidden="1">
      <c r="A20" s="1535" t="s">
        <v>2123</v>
      </c>
      <c r="B20" s="1541"/>
      <c r="C20" s="1620"/>
      <c r="D20" s="1620"/>
      <c r="E20" s="1620">
        <f t="shared" si="9"/>
        <v>0</v>
      </c>
      <c r="F20" s="1538"/>
      <c r="G20" s="1537"/>
      <c r="H20" s="1539"/>
      <c r="I20" s="1539"/>
      <c r="J20" s="1539"/>
      <c r="K20" s="1540"/>
      <c r="L20" s="1540"/>
      <c r="M20" s="630"/>
      <c r="N20" s="630"/>
      <c r="O20" s="630"/>
      <c r="P20" s="630"/>
      <c r="Q20" s="630"/>
      <c r="R20" s="630"/>
      <c r="S20" s="630"/>
      <c r="T20" s="630"/>
      <c r="U20" s="630"/>
      <c r="V20" s="630"/>
      <c r="W20" s="630"/>
      <c r="X20" s="630"/>
      <c r="Y20" s="630"/>
      <c r="Z20" s="630"/>
      <c r="AA20" s="630"/>
      <c r="AB20" s="630"/>
      <c r="AC20" s="630"/>
      <c r="AD20" s="1552">
        <f t="shared" si="11"/>
        <v>0</v>
      </c>
      <c r="AE20" s="1513"/>
      <c r="AF20" s="455" t="s">
        <v>2340</v>
      </c>
    </row>
    <row r="21" spans="1:32" s="455" customFormat="1" hidden="1">
      <c r="A21" s="1818" t="s">
        <v>2123</v>
      </c>
      <c r="B21" s="1819"/>
      <c r="C21" s="1820"/>
      <c r="D21" s="1820"/>
      <c r="E21" s="1820">
        <f t="shared" si="9"/>
        <v>0</v>
      </c>
      <c r="F21" s="1538">
        <v>0.18</v>
      </c>
      <c r="G21" s="1537"/>
      <c r="H21" s="1539"/>
      <c r="I21" s="1539"/>
      <c r="J21" s="1539"/>
      <c r="K21" s="1540"/>
      <c r="L21" s="1540"/>
      <c r="M21" s="630"/>
      <c r="N21" s="630"/>
      <c r="O21" s="630"/>
      <c r="P21" s="630"/>
      <c r="Q21" s="630"/>
      <c r="R21" s="630"/>
      <c r="S21" s="630"/>
      <c r="T21" s="630"/>
      <c r="U21" s="630"/>
      <c r="V21" s="630"/>
      <c r="W21" s="630"/>
      <c r="X21" s="630"/>
      <c r="Y21" s="630"/>
      <c r="Z21" s="630"/>
      <c r="AA21" s="630">
        <f>(($C21*$F21)/360)*30</f>
        <v>0</v>
      </c>
      <c r="AB21" s="630">
        <f>(($C21*$F21)/360)*30</f>
        <v>0</v>
      </c>
      <c r="AC21" s="630">
        <f>(($C21*$F21)/360)*30</f>
        <v>0</v>
      </c>
      <c r="AD21" s="1552">
        <f t="shared" si="11"/>
        <v>0</v>
      </c>
      <c r="AE21" s="1470"/>
    </row>
    <row r="22" spans="1:32" s="455" customFormat="1" hidden="1">
      <c r="A22" s="1818" t="s">
        <v>2123</v>
      </c>
      <c r="B22" s="1819"/>
      <c r="C22" s="1820"/>
      <c r="D22" s="1820"/>
      <c r="E22" s="1820">
        <f t="shared" si="9"/>
        <v>0</v>
      </c>
      <c r="F22" s="1538">
        <v>0.18</v>
      </c>
      <c r="G22" s="1537"/>
      <c r="H22" s="1539"/>
      <c r="I22" s="1539"/>
      <c r="J22" s="1539"/>
      <c r="K22" s="1540"/>
      <c r="L22" s="1540"/>
      <c r="M22" s="630"/>
      <c r="N22" s="630"/>
      <c r="O22" s="630"/>
      <c r="P22" s="630"/>
      <c r="Q22" s="630"/>
      <c r="R22" s="630"/>
      <c r="S22" s="630"/>
      <c r="T22" s="630"/>
      <c r="U22" s="630"/>
      <c r="V22" s="630"/>
      <c r="W22" s="630"/>
      <c r="X22" s="630"/>
      <c r="Y22" s="630"/>
      <c r="Z22" s="630"/>
      <c r="AA22" s="630"/>
      <c r="AB22" s="630">
        <f>(($C22*$F22)/360)*30</f>
        <v>0</v>
      </c>
      <c r="AC22" s="630">
        <f>(($C22*$F22)/360)*30</f>
        <v>0</v>
      </c>
      <c r="AD22" s="1552">
        <f t="shared" si="11"/>
        <v>0</v>
      </c>
      <c r="AE22" s="1470"/>
    </row>
    <row r="23" spans="1:32" s="1472" customFormat="1" ht="18.600000000000001" hidden="1" customHeight="1">
      <c r="A23" s="1556" t="s">
        <v>2124</v>
      </c>
      <c r="B23" s="1557"/>
      <c r="C23" s="1816">
        <f>SUM(C14:C22)</f>
        <v>100000000.40000001</v>
      </c>
      <c r="D23" s="1816">
        <f t="shared" ref="D23:T23" si="12">SUM(D14:D21)</f>
        <v>0</v>
      </c>
      <c r="E23" s="1816">
        <f>SUM(E14:E22)</f>
        <v>100000000.40000001</v>
      </c>
      <c r="F23" s="1815"/>
      <c r="G23" s="1550">
        <f t="shared" si="12"/>
        <v>0</v>
      </c>
      <c r="H23" s="1550">
        <f t="shared" si="12"/>
        <v>0</v>
      </c>
      <c r="I23" s="1550"/>
      <c r="J23" s="1550">
        <f t="shared" si="12"/>
        <v>0</v>
      </c>
      <c r="K23" s="1550">
        <f t="shared" si="12"/>
        <v>0</v>
      </c>
      <c r="L23" s="1550">
        <f t="shared" si="12"/>
        <v>0</v>
      </c>
      <c r="M23" s="1550">
        <f t="shared" si="12"/>
        <v>0</v>
      </c>
      <c r="N23" s="1550">
        <f t="shared" si="12"/>
        <v>0</v>
      </c>
      <c r="O23" s="1550">
        <f t="shared" si="12"/>
        <v>0</v>
      </c>
      <c r="P23" s="1550">
        <f t="shared" si="12"/>
        <v>0</v>
      </c>
      <c r="Q23" s="1550">
        <f t="shared" si="12"/>
        <v>372868.45480000001</v>
      </c>
      <c r="R23" s="1550">
        <f t="shared" si="12"/>
        <v>827763.41099999996</v>
      </c>
      <c r="S23" s="1550">
        <f t="shared" si="12"/>
        <v>1125579.1839999999</v>
      </c>
      <c r="T23" s="1550">
        <f t="shared" si="12"/>
        <v>1500000.0059999998</v>
      </c>
      <c r="U23" s="1550">
        <f>SUM(U14:U22)</f>
        <v>3826211.0557999997</v>
      </c>
      <c r="V23" s="1550">
        <f t="shared" ref="V23:AB23" si="13">SUM(V14:V22)</f>
        <v>1550000.0061999999</v>
      </c>
      <c r="W23" s="1550">
        <f t="shared" si="13"/>
        <v>1500000.0059999998</v>
      </c>
      <c r="X23" s="1550">
        <f t="shared" si="13"/>
        <v>846724.42352559546</v>
      </c>
      <c r="Y23" s="1550">
        <f t="shared" si="13"/>
        <v>0</v>
      </c>
      <c r="Z23" s="1550">
        <f t="shared" si="13"/>
        <v>0</v>
      </c>
      <c r="AA23" s="1550">
        <f t="shared" si="13"/>
        <v>0</v>
      </c>
      <c r="AB23" s="1550">
        <f t="shared" si="13"/>
        <v>0</v>
      </c>
      <c r="AC23" s="1550">
        <f t="shared" ref="AC23" si="14">SUM(AC14:AC22)</f>
        <v>0</v>
      </c>
      <c r="AD23" s="1551">
        <f>SUM(AD14:AD22)</f>
        <v>7722935.4915255951</v>
      </c>
    </row>
    <row r="24" spans="1:32" s="455" customFormat="1">
      <c r="A24" s="1535"/>
      <c r="B24" s="1541"/>
      <c r="C24" s="1620"/>
      <c r="D24" s="1620"/>
      <c r="E24" s="1620"/>
      <c r="F24" s="1538"/>
      <c r="G24" s="1537"/>
      <c r="H24" s="1539"/>
      <c r="I24" s="1539"/>
      <c r="J24" s="1539"/>
      <c r="K24" s="1540"/>
      <c r="L24" s="1540"/>
      <c r="M24" s="630"/>
      <c r="N24" s="630"/>
      <c r="O24" s="630"/>
      <c r="P24" s="630"/>
      <c r="Q24" s="630"/>
      <c r="R24" s="630"/>
      <c r="S24" s="630"/>
      <c r="T24" s="630"/>
      <c r="U24" s="630"/>
      <c r="V24" s="630"/>
      <c r="W24" s="630"/>
      <c r="X24" s="630"/>
      <c r="Y24" s="630"/>
      <c r="Z24" s="630"/>
      <c r="AA24" s="630"/>
      <c r="AB24" s="630"/>
      <c r="AC24" s="630"/>
      <c r="AD24" s="632"/>
      <c r="AE24" s="1470"/>
    </row>
    <row r="25" spans="1:32" s="455" customFormat="1">
      <c r="A25" s="1535" t="s">
        <v>2341</v>
      </c>
      <c r="B25" s="1541"/>
      <c r="C25" s="1893">
        <v>100000000</v>
      </c>
      <c r="D25" s="1893"/>
      <c r="E25" s="1893">
        <f t="shared" ref="E25:E28" si="15">+C25-D25</f>
        <v>100000000</v>
      </c>
      <c r="F25" s="1538">
        <v>0.13750000000000001</v>
      </c>
      <c r="G25" s="1537"/>
      <c r="H25" s="1539"/>
      <c r="I25" s="1539">
        <v>46087</v>
      </c>
      <c r="J25" s="1539"/>
      <c r="K25" s="1540"/>
      <c r="L25" s="154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>
        <f>(($C25*$F25)/360)*19</f>
        <v>725694.44444444461</v>
      </c>
      <c r="Y25" s="1889">
        <f>(($E25*$F25)/360)*31</f>
        <v>1184027.777777778</v>
      </c>
      <c r="Z25" s="1889">
        <f t="shared" si="8"/>
        <v>1145833.3333333335</v>
      </c>
      <c r="AA25" s="1889">
        <f>(($C25*$F25)/360)*31</f>
        <v>1184027.777777778</v>
      </c>
      <c r="AB25" s="1889">
        <f t="shared" si="8"/>
        <v>1145833.3333333335</v>
      </c>
      <c r="AC25" s="1889">
        <f t="shared" si="8"/>
        <v>1145833.3333333335</v>
      </c>
      <c r="AD25" s="1904">
        <f>SUM(Y25:AC25)</f>
        <v>5805555.555555556</v>
      </c>
      <c r="AE25" s="1470"/>
    </row>
    <row r="26" spans="1:32" s="455" customFormat="1">
      <c r="A26" s="1818" t="s">
        <v>2341</v>
      </c>
      <c r="B26" s="1819"/>
      <c r="C26" s="1894">
        <f>+'FLUJO 03-26'!D26</f>
        <v>40000000</v>
      </c>
      <c r="D26" s="1894"/>
      <c r="E26" s="1894">
        <f t="shared" si="15"/>
        <v>40000000</v>
      </c>
      <c r="F26" s="1898">
        <v>0.13750000000000001</v>
      </c>
      <c r="G26" s="1899"/>
      <c r="H26" s="1900"/>
      <c r="I26" s="1900">
        <v>46113</v>
      </c>
      <c r="J26" s="1900"/>
      <c r="K26" s="1901"/>
      <c r="L26" s="1901"/>
      <c r="M26" s="1902"/>
      <c r="N26" s="1902"/>
      <c r="O26" s="1902"/>
      <c r="P26" s="1902"/>
      <c r="Q26" s="1902"/>
      <c r="R26" s="1902"/>
      <c r="S26" s="1902"/>
      <c r="T26" s="1902"/>
      <c r="U26" s="1902"/>
      <c r="V26" s="1902"/>
      <c r="W26" s="1902"/>
      <c r="X26" s="1902"/>
      <c r="Y26" s="1903">
        <f>(($E26*$F26)/360)*30</f>
        <v>458333.33333333331</v>
      </c>
      <c r="Z26" s="1903">
        <f t="shared" si="8"/>
        <v>458333.33333333331</v>
      </c>
      <c r="AA26" s="1903">
        <f t="shared" si="8"/>
        <v>458333.33333333331</v>
      </c>
      <c r="AB26" s="1903">
        <f t="shared" si="8"/>
        <v>458333.33333333331</v>
      </c>
      <c r="AC26" s="1903">
        <f t="shared" si="8"/>
        <v>458333.33333333331</v>
      </c>
      <c r="AD26" s="1890">
        <f>SUM(Y26:AC26)</f>
        <v>2291666.6666666665</v>
      </c>
      <c r="AE26" s="1470"/>
    </row>
    <row r="27" spans="1:32" s="455" customFormat="1">
      <c r="A27" s="1818" t="s">
        <v>2341</v>
      </c>
      <c r="B27" s="1819"/>
      <c r="C27" s="1894">
        <f>+'FLUJO 03-26'!E26</f>
        <v>60000000</v>
      </c>
      <c r="D27" s="1894"/>
      <c r="E27" s="1894">
        <f t="shared" si="15"/>
        <v>60000000</v>
      </c>
      <c r="F27" s="1898">
        <v>0.13750000000000001</v>
      </c>
      <c r="G27" s="1899"/>
      <c r="H27" s="1900"/>
      <c r="I27" s="1900">
        <v>46143</v>
      </c>
      <c r="J27" s="1900"/>
      <c r="K27" s="1901"/>
      <c r="L27" s="1901"/>
      <c r="M27" s="1902"/>
      <c r="N27" s="1902"/>
      <c r="O27" s="1902"/>
      <c r="P27" s="1902"/>
      <c r="Q27" s="1902"/>
      <c r="R27" s="1902"/>
      <c r="S27" s="1902"/>
      <c r="T27" s="1902"/>
      <c r="U27" s="1902"/>
      <c r="V27" s="1902"/>
      <c r="W27" s="1902"/>
      <c r="X27" s="1902"/>
      <c r="Y27" s="1903"/>
      <c r="Z27" s="1903">
        <f>(($E27*$F27)/360)*30</f>
        <v>687500</v>
      </c>
      <c r="AA27" s="1903">
        <f t="shared" ref="AA27:AC27" si="16">(($E27*$F27)/360)*30</f>
        <v>687500</v>
      </c>
      <c r="AB27" s="1903">
        <f t="shared" si="16"/>
        <v>687500</v>
      </c>
      <c r="AC27" s="1903">
        <f t="shared" si="16"/>
        <v>687500</v>
      </c>
      <c r="AD27" s="1890">
        <f>SUM(Y27:AC27)</f>
        <v>2750000</v>
      </c>
      <c r="AE27" s="1513"/>
    </row>
    <row r="28" spans="1:32" s="455" customFormat="1">
      <c r="A28" s="1818" t="s">
        <v>2341</v>
      </c>
      <c r="B28" s="1819"/>
      <c r="C28" s="1894"/>
      <c r="D28" s="1894">
        <f>-'FLUJO 03-26'!F26</f>
        <v>75000000</v>
      </c>
      <c r="E28" s="1895">
        <f t="shared" si="15"/>
        <v>-75000000</v>
      </c>
      <c r="F28" s="1898">
        <v>0.13750000000000001</v>
      </c>
      <c r="G28" s="1899"/>
      <c r="H28" s="1900"/>
      <c r="I28" s="1900">
        <v>45809</v>
      </c>
      <c r="J28" s="1900"/>
      <c r="K28" s="1901"/>
      <c r="L28" s="1901"/>
      <c r="M28" s="1902"/>
      <c r="N28" s="1902"/>
      <c r="O28" s="1902"/>
      <c r="P28" s="1902"/>
      <c r="Q28" s="1902"/>
      <c r="R28" s="1902"/>
      <c r="S28" s="1902"/>
      <c r="T28" s="1902"/>
      <c r="U28" s="1902"/>
      <c r="V28" s="1902"/>
      <c r="W28" s="1902"/>
      <c r="X28" s="1902"/>
      <c r="Y28" s="1903"/>
      <c r="Z28" s="1903"/>
      <c r="AA28" s="1903">
        <f>(($E28*$F28)/360)*30</f>
        <v>-859375</v>
      </c>
      <c r="AB28" s="1903">
        <f t="shared" ref="AB28:AC29" si="17">(($E28*$F28)/360)*30</f>
        <v>-859375</v>
      </c>
      <c r="AC28" s="1903">
        <f t="shared" si="17"/>
        <v>-859375</v>
      </c>
      <c r="AD28" s="1890">
        <f>SUM(Y28:AC28)</f>
        <v>-2578125</v>
      </c>
      <c r="AE28" s="1513"/>
    </row>
    <row r="29" spans="1:32" s="455" customFormat="1">
      <c r="A29" s="1818" t="s">
        <v>2341</v>
      </c>
      <c r="B29" s="1819"/>
      <c r="C29" s="1894"/>
      <c r="D29" s="1894">
        <f>-'FLUJO 03-26'!H26</f>
        <v>70000000</v>
      </c>
      <c r="E29" s="1895">
        <f t="shared" ref="E29" si="18">+C29-D29</f>
        <v>-70000000</v>
      </c>
      <c r="F29" s="1898">
        <v>0.13750000000000001</v>
      </c>
      <c r="G29" s="1899"/>
      <c r="H29" s="1900"/>
      <c r="I29" s="1900">
        <v>45870</v>
      </c>
      <c r="J29" s="1900"/>
      <c r="K29" s="1901"/>
      <c r="L29" s="1901"/>
      <c r="M29" s="1902"/>
      <c r="N29" s="1902"/>
      <c r="O29" s="1902"/>
      <c r="P29" s="1902"/>
      <c r="Q29" s="1902"/>
      <c r="R29" s="1902"/>
      <c r="S29" s="1902"/>
      <c r="T29" s="1902"/>
      <c r="U29" s="1902"/>
      <c r="V29" s="1902"/>
      <c r="W29" s="1902"/>
      <c r="X29" s="1902"/>
      <c r="Y29" s="1903"/>
      <c r="Z29" s="1903"/>
      <c r="AA29" s="1903"/>
      <c r="AB29" s="1903"/>
      <c r="AC29" s="1903">
        <f t="shared" si="17"/>
        <v>-802083.33333333326</v>
      </c>
      <c r="AD29" s="1890">
        <f>SUM(Y29:AC29)</f>
        <v>-802083.33333333326</v>
      </c>
      <c r="AE29" s="1513"/>
    </row>
    <row r="30" spans="1:32" s="455" customFormat="1">
      <c r="A30" s="1556" t="s">
        <v>2342</v>
      </c>
      <c r="B30" s="1557"/>
      <c r="C30" s="1886">
        <f>SUM(C25:C29)</f>
        <v>200000000</v>
      </c>
      <c r="D30" s="1886">
        <f t="shared" ref="D30:E30" si="19">SUM(D25:D29)</f>
        <v>145000000</v>
      </c>
      <c r="E30" s="1886">
        <f t="shared" si="19"/>
        <v>55000000</v>
      </c>
      <c r="F30" s="1558"/>
      <c r="G30" s="1558"/>
      <c r="H30" s="1558"/>
      <c r="I30" s="1616"/>
      <c r="J30" s="1558"/>
      <c r="K30" s="1558"/>
      <c r="L30" s="1550"/>
      <c r="M30" s="1550"/>
      <c r="N30" s="1550"/>
      <c r="O30" s="1550"/>
      <c r="P30" s="1550"/>
      <c r="Q30" s="1550"/>
      <c r="R30" s="1550"/>
      <c r="S30" s="1550"/>
      <c r="T30" s="1550"/>
      <c r="U30" s="1550">
        <f>SUM(U25:U27)</f>
        <v>0</v>
      </c>
      <c r="V30" s="1550">
        <f>SUM(V25:V27)</f>
        <v>0</v>
      </c>
      <c r="W30" s="1550">
        <f>SUM(W25:W27)</f>
        <v>0</v>
      </c>
      <c r="X30" s="1550">
        <f>SUM(X25:X27)</f>
        <v>725694.44444444461</v>
      </c>
      <c r="Y30" s="1887">
        <f>SUM(Y25:Y29)</f>
        <v>1642361.1111111112</v>
      </c>
      <c r="Z30" s="1887">
        <f t="shared" ref="Z30:AC30" si="20">SUM(Z25:Z29)</f>
        <v>2291666.666666667</v>
      </c>
      <c r="AA30" s="1887">
        <f t="shared" si="20"/>
        <v>1470486.111111111</v>
      </c>
      <c r="AB30" s="1887">
        <f t="shared" si="20"/>
        <v>1432291.666666667</v>
      </c>
      <c r="AC30" s="1887">
        <f t="shared" si="20"/>
        <v>630208.33333333372</v>
      </c>
      <c r="AD30" s="1896">
        <f>SUM(AD25:AD29)</f>
        <v>7467013.888888889</v>
      </c>
      <c r="AE30" s="1513"/>
    </row>
    <row r="31" spans="1:32" s="455" customFormat="1">
      <c r="A31" s="1535"/>
      <c r="B31" s="1541"/>
      <c r="C31" s="1893"/>
      <c r="D31" s="1893"/>
      <c r="E31" s="1893"/>
      <c r="F31" s="1538"/>
      <c r="G31" s="1537"/>
      <c r="H31" s="1539"/>
      <c r="I31" s="1539"/>
      <c r="J31" s="1539"/>
      <c r="K31" s="1540"/>
      <c r="L31" s="1540"/>
      <c r="M31" s="630"/>
      <c r="N31" s="630"/>
      <c r="O31" s="630"/>
      <c r="P31" s="630"/>
      <c r="Q31" s="630"/>
      <c r="R31" s="630"/>
      <c r="S31" s="630"/>
      <c r="T31" s="630"/>
      <c r="U31" s="630"/>
      <c r="V31" s="630"/>
      <c r="W31" s="630"/>
      <c r="X31" s="630"/>
      <c r="Y31" s="1889"/>
      <c r="Z31" s="1889"/>
      <c r="AA31" s="1889"/>
      <c r="AB31" s="1889"/>
      <c r="AC31" s="1889"/>
      <c r="AD31" s="1891"/>
      <c r="AE31" s="1513"/>
    </row>
    <row r="32" spans="1:32" s="455" customFormat="1">
      <c r="A32" s="1818" t="s">
        <v>2580</v>
      </c>
      <c r="B32" s="1819"/>
      <c r="C32" s="1894">
        <f>+'FLUJO 03-26'!F25</f>
        <v>240000000</v>
      </c>
      <c r="D32" s="1894"/>
      <c r="E32" s="1894">
        <f t="shared" ref="E32:E33" si="21">+C32-D32</f>
        <v>240000000</v>
      </c>
      <c r="F32" s="1898">
        <v>0.1</v>
      </c>
      <c r="G32" s="1899"/>
      <c r="H32" s="1900"/>
      <c r="I32" s="1900">
        <v>46174</v>
      </c>
      <c r="J32" s="1900"/>
      <c r="K32" s="1901"/>
      <c r="L32" s="1901"/>
      <c r="M32" s="1902"/>
      <c r="N32" s="1902"/>
      <c r="O32" s="1902"/>
      <c r="P32" s="1902"/>
      <c r="Q32" s="1902"/>
      <c r="R32" s="1902"/>
      <c r="S32" s="1902"/>
      <c r="T32" s="1902"/>
      <c r="U32" s="1902"/>
      <c r="V32" s="1902"/>
      <c r="W32" s="1902"/>
      <c r="X32" s="1902"/>
      <c r="Y32" s="1903"/>
      <c r="Z32" s="1903"/>
      <c r="AA32" s="1903">
        <f t="shared" ref="AA32:AC33" si="22">(($C32*$F32)/360)*30</f>
        <v>2000000.0000000002</v>
      </c>
      <c r="AB32" s="1903">
        <f t="shared" si="22"/>
        <v>2000000.0000000002</v>
      </c>
      <c r="AC32" s="1903">
        <f t="shared" si="22"/>
        <v>2000000.0000000002</v>
      </c>
      <c r="AD32" s="1890">
        <f>SUM(Y32:AC32)</f>
        <v>6000000.0000000009</v>
      </c>
      <c r="AE32" s="1513"/>
    </row>
    <row r="33" spans="1:31" s="455" customFormat="1">
      <c r="A33" s="1818" t="s">
        <v>2580</v>
      </c>
      <c r="B33" s="1819"/>
      <c r="C33" s="1894">
        <f>+'FLUJO 03-26'!H25</f>
        <v>180000000</v>
      </c>
      <c r="D33" s="1894"/>
      <c r="E33" s="1894">
        <f t="shared" si="21"/>
        <v>180000000</v>
      </c>
      <c r="F33" s="1898">
        <v>0.1</v>
      </c>
      <c r="G33" s="1899"/>
      <c r="H33" s="1900"/>
      <c r="I33" s="1900">
        <v>46235</v>
      </c>
      <c r="J33" s="1900"/>
      <c r="K33" s="1901"/>
      <c r="L33" s="1901"/>
      <c r="M33" s="1902"/>
      <c r="N33" s="1902"/>
      <c r="O33" s="1902"/>
      <c r="P33" s="1902"/>
      <c r="Q33" s="1902"/>
      <c r="R33" s="1902"/>
      <c r="S33" s="1902"/>
      <c r="T33" s="1902"/>
      <c r="U33" s="1902"/>
      <c r="V33" s="1902"/>
      <c r="W33" s="1902"/>
      <c r="X33" s="1902"/>
      <c r="Y33" s="1903"/>
      <c r="Z33" s="1903"/>
      <c r="AA33" s="1903"/>
      <c r="AB33" s="1903"/>
      <c r="AC33" s="1903">
        <f t="shared" si="22"/>
        <v>1500000</v>
      </c>
      <c r="AD33" s="1890">
        <f>SUM(Y33:AC33)</f>
        <v>1500000</v>
      </c>
      <c r="AE33" s="1513"/>
    </row>
    <row r="34" spans="1:31" s="455" customFormat="1">
      <c r="A34" s="1556" t="s">
        <v>2581</v>
      </c>
      <c r="B34" s="1557"/>
      <c r="C34" s="1886">
        <f>SUM(C32:C33)</f>
        <v>420000000</v>
      </c>
      <c r="D34" s="1887">
        <f t="shared" ref="D34:E34" si="23">SUM(D32:D33)</f>
        <v>0</v>
      </c>
      <c r="E34" s="1886">
        <f t="shared" si="23"/>
        <v>420000000</v>
      </c>
      <c r="F34" s="1558"/>
      <c r="G34" s="1558"/>
      <c r="H34" s="1558"/>
      <c r="I34" s="1616"/>
      <c r="J34" s="1558"/>
      <c r="K34" s="1558"/>
      <c r="L34" s="1550"/>
      <c r="M34" s="1550"/>
      <c r="N34" s="1550"/>
      <c r="O34" s="1550"/>
      <c r="P34" s="1550"/>
      <c r="Q34" s="1550"/>
      <c r="R34" s="1550"/>
      <c r="S34" s="1550"/>
      <c r="T34" s="1550"/>
      <c r="U34" s="1550">
        <f>SUM(U32:U32)</f>
        <v>0</v>
      </c>
      <c r="V34" s="1550">
        <f>SUM(V32:V32)</f>
        <v>0</v>
      </c>
      <c r="W34" s="1550">
        <f>SUM(W32:W32)</f>
        <v>0</v>
      </c>
      <c r="X34" s="1550">
        <f>SUM(X32:X33)</f>
        <v>0</v>
      </c>
      <c r="Y34" s="1887">
        <f>SUM(Y32:Y33)</f>
        <v>0</v>
      </c>
      <c r="Z34" s="1887">
        <f t="shared" ref="Z34:AC34" si="24">SUM(Z32:Z33)</f>
        <v>0</v>
      </c>
      <c r="AA34" s="1887">
        <f t="shared" si="24"/>
        <v>2000000.0000000002</v>
      </c>
      <c r="AB34" s="1887">
        <f t="shared" si="24"/>
        <v>2000000.0000000002</v>
      </c>
      <c r="AC34" s="1887">
        <f t="shared" si="24"/>
        <v>3500000</v>
      </c>
      <c r="AD34" s="1896">
        <f>SUM(Y32:AD33)</f>
        <v>15000000.000000002</v>
      </c>
      <c r="AE34" s="1513"/>
    </row>
    <row r="35" spans="1:31" s="455" customFormat="1">
      <c r="A35" s="1535"/>
      <c r="B35" s="1541"/>
      <c r="C35" s="1893"/>
      <c r="D35" s="1893"/>
      <c r="E35" s="1893"/>
      <c r="F35" s="1538"/>
      <c r="G35" s="1537"/>
      <c r="H35" s="1539"/>
      <c r="I35" s="1539"/>
      <c r="J35" s="1539"/>
      <c r="K35" s="1540"/>
      <c r="L35" s="1540"/>
      <c r="M35" s="630"/>
      <c r="N35" s="630"/>
      <c r="O35" s="630"/>
      <c r="P35" s="630"/>
      <c r="Q35" s="630"/>
      <c r="R35" s="630"/>
      <c r="S35" s="630"/>
      <c r="T35" s="630"/>
      <c r="U35" s="630"/>
      <c r="V35" s="630"/>
      <c r="W35" s="630"/>
      <c r="X35" s="630"/>
      <c r="Y35" s="1889"/>
      <c r="Z35" s="1889"/>
      <c r="AA35" s="1889"/>
      <c r="AB35" s="1889"/>
      <c r="AC35" s="1889"/>
      <c r="AD35" s="1891"/>
      <c r="AE35" s="1513"/>
    </row>
    <row r="36" spans="1:31" s="1472" customFormat="1" ht="29.4" thickBot="1">
      <c r="A36" s="1617" t="s">
        <v>2439</v>
      </c>
      <c r="B36" s="1561"/>
      <c r="C36" s="1888">
        <f>+C30+C34</f>
        <v>620000000</v>
      </c>
      <c r="D36" s="1888">
        <f t="shared" ref="D36:E36" si="25">+D30+D34</f>
        <v>145000000</v>
      </c>
      <c r="E36" s="1888">
        <f t="shared" si="25"/>
        <v>475000000</v>
      </c>
      <c r="F36" s="1562"/>
      <c r="G36" s="1562">
        <f>+G13+G23</f>
        <v>0</v>
      </c>
      <c r="H36" s="1562">
        <f>+H13+H23</f>
        <v>0</v>
      </c>
      <c r="I36" s="1562"/>
      <c r="J36" s="1562">
        <f t="shared" ref="J36:T36" si="26">+J13+J23</f>
        <v>0</v>
      </c>
      <c r="K36" s="1562">
        <f t="shared" si="26"/>
        <v>0</v>
      </c>
      <c r="L36" s="1563">
        <f t="shared" si="26"/>
        <v>0</v>
      </c>
      <c r="M36" s="1563">
        <f t="shared" si="26"/>
        <v>0</v>
      </c>
      <c r="N36" s="1563">
        <f t="shared" si="26"/>
        <v>0</v>
      </c>
      <c r="O36" s="1563">
        <f t="shared" si="26"/>
        <v>87083.33</v>
      </c>
      <c r="P36" s="1563">
        <f t="shared" si="26"/>
        <v>174166.67</v>
      </c>
      <c r="Q36" s="1563">
        <f t="shared" si="26"/>
        <v>547035.12479999999</v>
      </c>
      <c r="R36" s="1563">
        <f t="shared" si="26"/>
        <v>941235.63322222221</v>
      </c>
      <c r="S36" s="1563">
        <f t="shared" si="26"/>
        <v>1648804.1839999999</v>
      </c>
      <c r="T36" s="1563">
        <f t="shared" si="26"/>
        <v>1500000.0059999998</v>
      </c>
      <c r="U36" s="1563">
        <f>+U13+U23+U30</f>
        <v>3826211.0557999997</v>
      </c>
      <c r="V36" s="1563">
        <f>+V13+V23+V30</f>
        <v>1550000.0061999999</v>
      </c>
      <c r="W36" s="1563">
        <f>+W13+W23+W30</f>
        <v>1500000.0059999998</v>
      </c>
      <c r="X36" s="1563">
        <f>+X13+X23+X30</f>
        <v>1572418.8679700401</v>
      </c>
      <c r="Y36" s="1892">
        <f>+Y13+Y23+Y30+Y34</f>
        <v>1642361.1111111112</v>
      </c>
      <c r="Z36" s="1892">
        <f t="shared" ref="Z36:AD36" si="27">+Z13+Z23+Z30+Z34</f>
        <v>2291666.666666667</v>
      </c>
      <c r="AA36" s="1892">
        <f t="shared" si="27"/>
        <v>3470486.111111111</v>
      </c>
      <c r="AB36" s="1892">
        <f t="shared" si="27"/>
        <v>3432291.666666667</v>
      </c>
      <c r="AC36" s="1892">
        <f t="shared" si="27"/>
        <v>4130208.333333334</v>
      </c>
      <c r="AD36" s="1897">
        <f t="shared" si="27"/>
        <v>30189949.380414486</v>
      </c>
    </row>
    <row r="39" spans="1:31">
      <c r="X39" s="368"/>
    </row>
    <row r="40" spans="1:31">
      <c r="X40" s="368"/>
    </row>
    <row r="41" spans="1:31">
      <c r="X41" s="368"/>
    </row>
    <row r="42" spans="1:31">
      <c r="X42" s="509"/>
    </row>
  </sheetData>
  <pageMargins left="0.7" right="0.7" top="0.75" bottom="0.75" header="0.3" footer="0.3"/>
  <pageSetup orientation="portrait" r:id="rId1"/>
  <ignoredErrors>
    <ignoredError sqref="Z25:AA25" formula="1"/>
  </ignoredErrors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A5850-0895-48FB-8728-7F9D4AB27048}">
  <dimension ref="A1:G56"/>
  <sheetViews>
    <sheetView showGridLines="0" zoomScaleNormal="100" workbookViewId="0">
      <selection activeCell="A175" sqref="A175:XFD175"/>
    </sheetView>
  </sheetViews>
  <sheetFormatPr baseColWidth="10" defaultColWidth="8" defaultRowHeight="11.4"/>
  <cols>
    <col min="1" max="1" width="1.33203125" style="1440" customWidth="1"/>
    <col min="2" max="2" width="42.6640625" style="1440" customWidth="1"/>
    <col min="3" max="3" width="13.33203125" style="1440" customWidth="1"/>
    <col min="4" max="4" width="4.88671875" style="1440" customWidth="1"/>
    <col min="5" max="5" width="8" style="1440"/>
    <col min="6" max="6" width="19.44140625" style="1440" bestFit="1" customWidth="1"/>
    <col min="7" max="7" width="13.5546875" style="1440" bestFit="1" customWidth="1"/>
    <col min="8" max="16384" width="8" style="1440"/>
  </cols>
  <sheetData>
    <row r="1" spans="1:7" s="1437" customFormat="1" ht="16.649999999999999" customHeight="1">
      <c r="A1" s="1436" t="s">
        <v>235</v>
      </c>
      <c r="B1" s="1436"/>
      <c r="C1" s="1436"/>
      <c r="D1" s="1436"/>
    </row>
    <row r="2" spans="1:7" s="1439" customFormat="1" ht="14.4" customHeight="1">
      <c r="A2" s="1438" t="s">
        <v>236</v>
      </c>
      <c r="B2" s="1438"/>
      <c r="C2" s="1438"/>
      <c r="D2" s="1438"/>
    </row>
    <row r="3" spans="1:7" s="1439" customFormat="1" ht="14.4" customHeight="1">
      <c r="A3" s="1438" t="s">
        <v>2481</v>
      </c>
      <c r="B3" s="1438"/>
      <c r="C3" s="1438"/>
      <c r="D3" s="1438"/>
    </row>
    <row r="4" spans="1:7" ht="13.35" customHeight="1"/>
    <row r="5" spans="1:7" s="1444" customFormat="1" ht="12.15" customHeight="1">
      <c r="A5" s="1445"/>
      <c r="B5" s="1441" t="s">
        <v>238</v>
      </c>
      <c r="C5" s="1442" t="s">
        <v>2582</v>
      </c>
      <c r="D5" s="1442"/>
    </row>
    <row r="6" spans="1:7" ht="13.35" customHeight="1"/>
    <row r="7" spans="1:7" s="1444" customFormat="1" ht="12.15" customHeight="1">
      <c r="A7" s="1445" t="s">
        <v>239</v>
      </c>
      <c r="B7" s="1445"/>
      <c r="C7" s="1445"/>
      <c r="D7" s="1445"/>
    </row>
    <row r="8" spans="1:7" ht="10.95" customHeight="1">
      <c r="A8" s="1458"/>
      <c r="B8" s="1458" t="s">
        <v>638</v>
      </c>
      <c r="C8" s="1458"/>
      <c r="D8" s="1458"/>
    </row>
    <row r="9" spans="1:7" ht="10.95" customHeight="1">
      <c r="B9" s="1450" t="s">
        <v>2583</v>
      </c>
      <c r="C9" s="1452">
        <v>28492.38</v>
      </c>
      <c r="D9" s="1450"/>
    </row>
    <row r="10" spans="1:7" ht="10.95" customHeight="1">
      <c r="B10" s="1450" t="s">
        <v>639</v>
      </c>
      <c r="C10" s="1452">
        <v>2491422.7400000002</v>
      </c>
      <c r="D10" s="1450"/>
      <c r="F10" s="1440" t="s">
        <v>2246</v>
      </c>
      <c r="G10" s="1874">
        <f>-'FLUJO 03-26'!C27</f>
        <v>-32829548.769999996</v>
      </c>
    </row>
    <row r="11" spans="1:7" ht="10.95" customHeight="1">
      <c r="B11" s="1450" t="s">
        <v>1608</v>
      </c>
      <c r="C11" s="1452">
        <v>12612886.630000001</v>
      </c>
      <c r="D11" s="1450" t="s">
        <v>641</v>
      </c>
      <c r="F11" s="1440" t="s">
        <v>2247</v>
      </c>
      <c r="G11" s="1566">
        <f>+C17</f>
        <v>33337588.829999998</v>
      </c>
    </row>
    <row r="12" spans="1:7" ht="10.95" customHeight="1">
      <c r="B12" s="1450" t="s">
        <v>640</v>
      </c>
      <c r="C12" s="1452">
        <v>4266809.12</v>
      </c>
      <c r="D12" s="1450" t="s">
        <v>641</v>
      </c>
      <c r="F12" s="1872" t="s">
        <v>191</v>
      </c>
      <c r="G12" s="1873">
        <f>+G10+G11</f>
        <v>508040.06000000238</v>
      </c>
    </row>
    <row r="13" spans="1:7" ht="10.95" customHeight="1">
      <c r="B13" s="1450" t="s">
        <v>1392</v>
      </c>
      <c r="C13" s="1452">
        <v>11671097.65</v>
      </c>
      <c r="D13" s="1450" t="s">
        <v>641</v>
      </c>
    </row>
    <row r="14" spans="1:7" ht="10.95" customHeight="1">
      <c r="B14" s="1450" t="s">
        <v>1394</v>
      </c>
      <c r="C14" s="1452">
        <v>22787.33</v>
      </c>
      <c r="D14" s="1450"/>
    </row>
    <row r="15" spans="1:7" ht="10.95" customHeight="1">
      <c r="B15" s="1450" t="s">
        <v>844</v>
      </c>
      <c r="C15" s="1452">
        <v>2168138.65</v>
      </c>
      <c r="D15" s="1450" t="s">
        <v>641</v>
      </c>
    </row>
    <row r="16" spans="1:7" ht="10.95" customHeight="1">
      <c r="B16" s="1450" t="s">
        <v>845</v>
      </c>
      <c r="C16" s="1452">
        <v>75954.33</v>
      </c>
      <c r="D16" s="1450"/>
    </row>
    <row r="17" spans="1:4" ht="10.95" customHeight="1">
      <c r="B17" s="1454" t="s">
        <v>642</v>
      </c>
      <c r="C17" s="1455">
        <f>SUM(C9:C16)</f>
        <v>33337588.829999998</v>
      </c>
      <c r="D17" s="1454"/>
    </row>
    <row r="18" spans="1:4" ht="10.95" customHeight="1">
      <c r="A18" s="1458"/>
      <c r="B18" s="1458" t="s">
        <v>240</v>
      </c>
      <c r="C18" s="1458"/>
      <c r="D18" s="1458"/>
    </row>
    <row r="19" spans="1:4" ht="10.95" customHeight="1">
      <c r="B19" s="1450" t="s">
        <v>241</v>
      </c>
      <c r="C19" s="1452">
        <v>912379</v>
      </c>
      <c r="D19" s="1450"/>
    </row>
    <row r="20" spans="1:4" ht="10.95" customHeight="1">
      <c r="B20" s="1450" t="s">
        <v>1826</v>
      </c>
      <c r="C20" s="1452">
        <v>1981527.92</v>
      </c>
      <c r="D20" s="1450"/>
    </row>
    <row r="21" spans="1:4" ht="10.95" customHeight="1">
      <c r="B21" s="1454" t="s">
        <v>242</v>
      </c>
      <c r="C21" s="1455">
        <f>SUM(C19)</f>
        <v>912379</v>
      </c>
      <c r="D21" s="1454"/>
    </row>
    <row r="22" spans="1:4" ht="10.95" customHeight="1">
      <c r="A22" s="1458"/>
      <c r="B22" s="1458" t="s">
        <v>243</v>
      </c>
      <c r="C22" s="1458"/>
      <c r="D22" s="1458"/>
    </row>
    <row r="23" spans="1:4" ht="10.95" customHeight="1">
      <c r="B23" s="1450" t="s">
        <v>1278</v>
      </c>
      <c r="C23" s="1452">
        <v>212.53</v>
      </c>
      <c r="D23" s="1450"/>
    </row>
    <row r="24" spans="1:4" ht="10.95" customHeight="1">
      <c r="B24" s="1450" t="s">
        <v>800</v>
      </c>
      <c r="C24" s="1452">
        <v>403275976.99000001</v>
      </c>
      <c r="D24" s="1450"/>
    </row>
    <row r="25" spans="1:4" ht="10.95" customHeight="1">
      <c r="B25" s="1450" t="s">
        <v>245</v>
      </c>
      <c r="C25" s="1452">
        <v>148955132.63999999</v>
      </c>
      <c r="D25" s="1450"/>
    </row>
    <row r="26" spans="1:4" ht="10.95" customHeight="1">
      <c r="B26" s="1450" t="s">
        <v>801</v>
      </c>
      <c r="C26" s="1452">
        <v>34358702.060000002</v>
      </c>
      <c r="D26" s="1450"/>
    </row>
    <row r="27" spans="1:4" ht="10.95" customHeight="1">
      <c r="B27" s="1454" t="s">
        <v>247</v>
      </c>
      <c r="C27" s="1455">
        <f>SUM(C23:C26)</f>
        <v>586590024.22000003</v>
      </c>
      <c r="D27" s="1454"/>
    </row>
    <row r="28" spans="1:4" ht="10.95" customHeight="1">
      <c r="A28" s="1454" t="s">
        <v>248</v>
      </c>
      <c r="C28" s="1455">
        <f>(0 + ((C17 + C21) + C27))</f>
        <v>620839992.05000007</v>
      </c>
      <c r="D28" s="1454"/>
    </row>
    <row r="29" spans="1:4" ht="13.35" customHeight="1"/>
    <row r="30" spans="1:4" s="1444" customFormat="1" ht="12.15" customHeight="1">
      <c r="A30" s="1445" t="s">
        <v>249</v>
      </c>
      <c r="B30" s="1445"/>
      <c r="C30" s="1445"/>
      <c r="D30" s="1445"/>
    </row>
    <row r="31" spans="1:4" ht="10.95" customHeight="1">
      <c r="A31" s="1458"/>
      <c r="B31" s="1458" t="s">
        <v>250</v>
      </c>
      <c r="C31" s="1458"/>
      <c r="D31" s="1458"/>
    </row>
    <row r="32" spans="1:4" ht="10.95" customHeight="1">
      <c r="B32" s="1450" t="s">
        <v>1825</v>
      </c>
      <c r="C32" s="1452">
        <v>100000000</v>
      </c>
      <c r="D32" s="1450"/>
    </row>
    <row r="33" spans="1:4" ht="10.95" customHeight="1">
      <c r="B33" s="1450" t="s">
        <v>799</v>
      </c>
      <c r="C33" s="1452">
        <v>149362.28</v>
      </c>
      <c r="D33" s="1450" t="s">
        <v>641</v>
      </c>
    </row>
    <row r="34" spans="1:4" ht="10.95" customHeight="1">
      <c r="B34" s="1450" t="s">
        <v>251</v>
      </c>
      <c r="C34" s="1452">
        <v>23142348.350000001</v>
      </c>
      <c r="D34" s="1450" t="s">
        <v>641</v>
      </c>
    </row>
    <row r="35" spans="1:4" ht="10.95" customHeight="1">
      <c r="B35" s="1450" t="s">
        <v>802</v>
      </c>
      <c r="C35" s="1452">
        <v>167224436.78</v>
      </c>
      <c r="D35" s="1450"/>
    </row>
    <row r="36" spans="1:4" ht="10.95" customHeight="1">
      <c r="B36" s="1450" t="s">
        <v>2584</v>
      </c>
      <c r="C36" s="1452">
        <v>56826</v>
      </c>
      <c r="D36" s="1450"/>
    </row>
    <row r="37" spans="1:4" ht="10.95" customHeight="1">
      <c r="B37" s="1450" t="s">
        <v>2585</v>
      </c>
      <c r="C37" s="1452">
        <v>324569.94</v>
      </c>
      <c r="D37" s="1450" t="s">
        <v>641</v>
      </c>
    </row>
    <row r="38" spans="1:4" ht="10.95" customHeight="1">
      <c r="B38" s="1450" t="s">
        <v>1284</v>
      </c>
      <c r="C38" s="1452">
        <v>47865.599999999999</v>
      </c>
      <c r="D38" s="1450"/>
    </row>
    <row r="39" spans="1:4" ht="10.95" customHeight="1">
      <c r="B39" s="1450" t="s">
        <v>804</v>
      </c>
      <c r="C39" s="1452">
        <v>353852.7</v>
      </c>
      <c r="D39" s="1450"/>
    </row>
    <row r="40" spans="1:4" ht="10.95" customHeight="1">
      <c r="B40" s="1450" t="s">
        <v>2441</v>
      </c>
      <c r="C40" s="1452">
        <v>80029.41</v>
      </c>
      <c r="D40" s="1450"/>
    </row>
    <row r="41" spans="1:4" ht="10.95" customHeight="1">
      <c r="B41" s="1450" t="s">
        <v>2442</v>
      </c>
      <c r="C41" s="1452">
        <v>84509.7</v>
      </c>
      <c r="D41" s="1450"/>
    </row>
    <row r="42" spans="1:4" ht="10.95" customHeight="1">
      <c r="B42" s="1450" t="s">
        <v>813</v>
      </c>
      <c r="C42" s="1452">
        <v>992633.83</v>
      </c>
      <c r="D42" s="1450"/>
    </row>
    <row r="43" spans="1:4" ht="10.95" customHeight="1">
      <c r="B43" s="1450" t="s">
        <v>2248</v>
      </c>
      <c r="C43" s="1452">
        <v>54230.59</v>
      </c>
      <c r="D43" s="1450"/>
    </row>
    <row r="44" spans="1:4" ht="10.95" customHeight="1">
      <c r="B44" s="1450" t="s">
        <v>2443</v>
      </c>
      <c r="C44" s="1452">
        <v>3.54</v>
      </c>
      <c r="D44" s="1450"/>
    </row>
    <row r="45" spans="1:4" ht="10.95" customHeight="1">
      <c r="B45" s="1454" t="s">
        <v>253</v>
      </c>
      <c r="C45" s="1455">
        <f>SUM(C32:C44)</f>
        <v>292510668.71999997</v>
      </c>
      <c r="D45" s="1454"/>
    </row>
    <row r="46" spans="1:4" ht="10.95" customHeight="1">
      <c r="A46" s="1454" t="s">
        <v>254</v>
      </c>
      <c r="C46" s="1455">
        <f>(0 + C45)</f>
        <v>292510668.71999997</v>
      </c>
      <c r="D46" s="1454"/>
    </row>
    <row r="47" spans="1:4" ht="13.35" customHeight="1"/>
    <row r="48" spans="1:4" ht="10.95" customHeight="1">
      <c r="B48" s="1461" t="s">
        <v>255</v>
      </c>
      <c r="C48" s="1462">
        <f>(C28 - C46)</f>
        <v>328329323.3300001</v>
      </c>
      <c r="D48" s="1461"/>
    </row>
    <row r="49" spans="1:4" ht="13.35" customHeight="1"/>
    <row r="50" spans="1:4" s="1444" customFormat="1" ht="12.15" customHeight="1">
      <c r="A50" s="1445" t="s">
        <v>256</v>
      </c>
      <c r="B50" s="1445"/>
      <c r="C50" s="1445"/>
      <c r="D50" s="1445"/>
    </row>
    <row r="51" spans="1:4" ht="10.95" customHeight="1">
      <c r="B51" s="1446" t="s">
        <v>257</v>
      </c>
      <c r="C51" s="1448">
        <v>329948451.97000003</v>
      </c>
      <c r="D51" s="1446"/>
    </row>
    <row r="52" spans="1:4" ht="10.95" customHeight="1">
      <c r="B52" s="1450" t="s">
        <v>647</v>
      </c>
      <c r="C52" s="1452">
        <v>-2530825.52</v>
      </c>
      <c r="D52" s="1450"/>
    </row>
    <row r="53" spans="1:4" ht="10.95" customHeight="1">
      <c r="B53" s="1450" t="s">
        <v>846</v>
      </c>
      <c r="C53" s="1452">
        <v>2893224.8</v>
      </c>
      <c r="D53" s="1450"/>
    </row>
    <row r="54" spans="1:4" ht="10.95" customHeight="1">
      <c r="A54" s="1454" t="s">
        <v>258</v>
      </c>
      <c r="C54" s="1455">
        <f>SUM(C51:C53)</f>
        <v>330310851.25000006</v>
      </c>
      <c r="D54" s="1454"/>
    </row>
    <row r="55" spans="1:4" ht="13.35" customHeight="1"/>
    <row r="56" spans="1:4" ht="13.35" customHeight="1"/>
  </sheetData>
  <pageMargins left="0.7" right="0.7" top="0.75" bottom="0.75" header="0.3" footer="0.3"/>
  <pageSetup paperSize="9" fitToWidth="0" fitToHeight="0" orientation="portrait" horizontalDpi="0" verticalDpi="0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56D08-B92E-40EF-BAD3-DBC1CDBA1AFA}">
  <dimension ref="A1:F38"/>
  <sheetViews>
    <sheetView showGridLines="0" zoomScale="110" zoomScaleNormal="110" workbookViewId="0">
      <selection activeCell="A175" sqref="A175:XFD175"/>
    </sheetView>
  </sheetViews>
  <sheetFormatPr baseColWidth="10" defaultColWidth="8" defaultRowHeight="11.4"/>
  <cols>
    <col min="1" max="1" width="7" style="1440" customWidth="1"/>
    <col min="2" max="2" width="35.44140625" style="1440" customWidth="1"/>
    <col min="3" max="3" width="20.5546875" style="1440" customWidth="1"/>
    <col min="4" max="4" width="14.5546875" style="1440" bestFit="1" customWidth="1"/>
    <col min="5" max="5" width="58.44140625" style="1440" customWidth="1"/>
    <col min="6" max="6" width="17.33203125" style="1440" bestFit="1" customWidth="1"/>
    <col min="7" max="16384" width="8" style="1440"/>
  </cols>
  <sheetData>
    <row r="1" spans="1:6" s="1437" customFormat="1" ht="16.649999999999999" customHeight="1">
      <c r="A1" s="2168"/>
      <c r="B1" s="2168"/>
      <c r="C1" s="2168"/>
    </row>
    <row r="2" spans="1:6" s="1439" customFormat="1" ht="21.6" customHeight="1">
      <c r="A2" s="2171" t="s">
        <v>236</v>
      </c>
      <c r="B2" s="2171"/>
      <c r="C2" s="2171"/>
    </row>
    <row r="3" spans="1:6" s="1439" customFormat="1" ht="14.4" customHeight="1">
      <c r="A3" s="2172" t="s">
        <v>2586</v>
      </c>
      <c r="B3" s="2172"/>
      <c r="C3" s="2172"/>
    </row>
    <row r="4" spans="1:6" ht="4.95" customHeight="1" thickBot="1"/>
    <row r="5" spans="1:6" s="1444" customFormat="1" ht="13.2">
      <c r="A5" s="1502"/>
      <c r="B5" s="1501" t="s">
        <v>2084</v>
      </c>
      <c r="C5" s="1598" t="s">
        <v>2009</v>
      </c>
    </row>
    <row r="6" spans="1:6" ht="9" customHeight="1">
      <c r="A6" s="1491"/>
      <c r="C6" s="1495"/>
    </row>
    <row r="7" spans="1:6" s="1444" customFormat="1" ht="13.2">
      <c r="A7" s="1494" t="s">
        <v>2085</v>
      </c>
      <c r="B7" s="1445"/>
      <c r="C7" s="1493"/>
    </row>
    <row r="8" spans="1:6">
      <c r="A8" s="1491"/>
      <c r="B8" s="1450" t="s">
        <v>2086</v>
      </c>
      <c r="C8" s="1601">
        <f>+'BCE 03-26'!C17</f>
        <v>33337588.829999998</v>
      </c>
    </row>
    <row r="9" spans="1:6">
      <c r="A9" s="1491"/>
      <c r="B9" s="1450" t="s">
        <v>241</v>
      </c>
      <c r="C9" s="1601">
        <f>+'BCE 03-26'!C21</f>
        <v>912379</v>
      </c>
      <c r="D9" s="1568">
        <f>+C10*0.7</f>
        <v>410613016.954</v>
      </c>
    </row>
    <row r="10" spans="1:6">
      <c r="A10" s="1491"/>
      <c r="B10" s="1450" t="s">
        <v>2087</v>
      </c>
      <c r="C10" s="1601">
        <f>+'BCE 03-26'!C27</f>
        <v>586590024.22000003</v>
      </c>
      <c r="D10" s="1440" t="s">
        <v>2251</v>
      </c>
    </row>
    <row r="11" spans="1:6" ht="12">
      <c r="A11" s="1498" t="s">
        <v>2088</v>
      </c>
      <c r="C11" s="1602">
        <f>(0 + ((C8 + C9) + C10))</f>
        <v>620839992.05000007</v>
      </c>
      <c r="D11" s="1568">
        <v>300000000</v>
      </c>
    </row>
    <row r="12" spans="1:6">
      <c r="A12" s="1491"/>
      <c r="C12" s="1495"/>
      <c r="D12" s="1578">
        <f>+D9-D11</f>
        <v>110613016.954</v>
      </c>
    </row>
    <row r="13" spans="1:6" s="1444" customFormat="1" ht="13.2">
      <c r="A13" s="1494" t="s">
        <v>2089</v>
      </c>
      <c r="B13" s="1445"/>
      <c r="C13" s="1493"/>
      <c r="D13" s="1780">
        <f>+D12/60</f>
        <v>1843550.2825666666</v>
      </c>
    </row>
    <row r="14" spans="1:6" ht="17.399999999999999">
      <c r="A14" s="1491"/>
      <c r="B14" s="1450" t="s">
        <v>1825</v>
      </c>
      <c r="C14" s="1601">
        <f>+'BCE 03-26'!C32</f>
        <v>100000000</v>
      </c>
      <c r="E14" s="447" t="s">
        <v>2444</v>
      </c>
      <c r="F14" s="447"/>
    </row>
    <row r="15" spans="1:6" ht="15">
      <c r="A15" s="1491"/>
      <c r="B15" s="1450" t="s">
        <v>251</v>
      </c>
      <c r="C15" s="1601">
        <f>+'BCE 03-26'!C34+'BCE 03-26'!C36+'BCE 03-26'!C37</f>
        <v>23523744.290000003</v>
      </c>
      <c r="D15" s="1876">
        <f>SUM('FLUJO 03-26'!D35:G36)</f>
        <v>247897990.15000001</v>
      </c>
      <c r="E15" s="449" t="s">
        <v>236</v>
      </c>
      <c r="F15" s="449"/>
    </row>
    <row r="16" spans="1:6" ht="15">
      <c r="A16" s="1491"/>
      <c r="B16" s="1450" t="s">
        <v>802</v>
      </c>
      <c r="C16" s="1601">
        <f>+'BCE 03-26'!C35+'BCE 03-26'!C33</f>
        <v>167373799.06</v>
      </c>
      <c r="D16" s="1876">
        <f>+C10+D15</f>
        <v>834488014.37</v>
      </c>
      <c r="E16" s="449" t="s">
        <v>2587</v>
      </c>
      <c r="F16" s="449"/>
    </row>
    <row r="17" spans="1:6" ht="14.4">
      <c r="A17" s="1491"/>
      <c r="B17" s="1450" t="s">
        <v>2090</v>
      </c>
      <c r="C17" s="1601">
        <f>SUM('BCE 03-26'!C38:C44)</f>
        <v>1613125.3699999999</v>
      </c>
      <c r="D17" s="1876">
        <f>+D16*0.7</f>
        <v>584141610.05900002</v>
      </c>
      <c r="E17"/>
      <c r="F17"/>
    </row>
    <row r="18" spans="1:6" ht="13.2">
      <c r="A18" s="1498" t="s">
        <v>2091</v>
      </c>
      <c r="C18" s="1602">
        <f>SUM(C14:C17)</f>
        <v>292510668.72000003</v>
      </c>
      <c r="D18" s="1876">
        <v>240000000</v>
      </c>
      <c r="E18" s="451" t="s">
        <v>238</v>
      </c>
      <c r="F18" s="452" t="s">
        <v>2588</v>
      </c>
    </row>
    <row r="19" spans="1:6" ht="14.4">
      <c r="A19" s="1491"/>
      <c r="C19" s="1603"/>
      <c r="D19" s="1876">
        <f>+D17-D18</f>
        <v>344141610.05900002</v>
      </c>
      <c r="E19"/>
      <c r="F19"/>
    </row>
    <row r="20" spans="1:6" ht="18" customHeight="1">
      <c r="A20" s="1607"/>
      <c r="B20" s="1461" t="s">
        <v>2092</v>
      </c>
      <c r="C20" s="1604">
        <f>(C11 - C18)</f>
        <v>328329323.33000004</v>
      </c>
      <c r="E20" s="454" t="s">
        <v>2589</v>
      </c>
      <c r="F20" s="454"/>
    </row>
    <row r="21" spans="1:6" ht="14.4">
      <c r="A21" s="1491"/>
      <c r="C21" s="1495"/>
      <c r="E21" s="459" t="s">
        <v>2590</v>
      </c>
      <c r="F21" s="460">
        <v>7223.65</v>
      </c>
    </row>
    <row r="22" spans="1:6" s="1444" customFormat="1" ht="13.2">
      <c r="A22" s="1494" t="s">
        <v>2093</v>
      </c>
      <c r="B22" s="1445"/>
      <c r="C22" s="1493"/>
      <c r="E22" s="457" t="s">
        <v>2591</v>
      </c>
      <c r="F22" s="458">
        <f>SUM(F21:F21)</f>
        <v>7223.65</v>
      </c>
    </row>
    <row r="23" spans="1:6" ht="14.4">
      <c r="A23" s="1491"/>
      <c r="B23" s="1446" t="s">
        <v>2094</v>
      </c>
      <c r="C23" s="1605">
        <f>+'BCE 03-26'!C51</f>
        <v>329948451.97000003</v>
      </c>
      <c r="E23"/>
      <c r="F23"/>
    </row>
    <row r="24" spans="1:6" ht="12">
      <c r="A24" s="1491"/>
      <c r="B24" s="1450" t="s">
        <v>647</v>
      </c>
      <c r="C24" s="1601">
        <f>+'BCE 03-26'!C52</f>
        <v>-2530825.52</v>
      </c>
      <c r="E24" s="461" t="s">
        <v>2592</v>
      </c>
      <c r="F24" s="462">
        <f>(F22 - 0)</f>
        <v>7223.65</v>
      </c>
    </row>
    <row r="25" spans="1:6" ht="14.4">
      <c r="A25" s="1491"/>
      <c r="B25" s="1450" t="s">
        <v>846</v>
      </c>
      <c r="C25" s="1601">
        <f>+'BCE 03-26'!C53</f>
        <v>2893224.8</v>
      </c>
      <c r="E25"/>
      <c r="F25"/>
    </row>
    <row r="26" spans="1:6" ht="13.2">
      <c r="A26" s="1498" t="s">
        <v>2095</v>
      </c>
      <c r="C26" s="1602">
        <f>SUM(C23:C25)</f>
        <v>330310851.25000006</v>
      </c>
      <c r="E26" s="454" t="s">
        <v>2447</v>
      </c>
      <c r="F26" s="454"/>
    </row>
    <row r="27" spans="1:6" ht="14.4">
      <c r="A27" s="1491"/>
      <c r="B27" s="1446"/>
      <c r="C27" s="1605"/>
      <c r="E27" s="459" t="s">
        <v>2448</v>
      </c>
      <c r="F27" s="460">
        <v>2355527.34</v>
      </c>
    </row>
    <row r="28" spans="1:6" ht="19.2" customHeight="1" thickBot="1">
      <c r="A28" s="1608"/>
      <c r="B28" s="1489" t="s">
        <v>2095</v>
      </c>
      <c r="C28" s="1606">
        <f>+C26</f>
        <v>330310851.25000006</v>
      </c>
      <c r="E28" s="459" t="s">
        <v>2593</v>
      </c>
      <c r="F28" s="460">
        <v>3009.85</v>
      </c>
    </row>
    <row r="29" spans="1:6" ht="12">
      <c r="E29" s="457" t="s">
        <v>2449</v>
      </c>
      <c r="F29" s="458">
        <f>SUM(F27:F28)</f>
        <v>2358537.19</v>
      </c>
    </row>
    <row r="30" spans="1:6" ht="14.4">
      <c r="E30"/>
      <c r="F30"/>
    </row>
    <row r="31" spans="1:6" ht="13.2">
      <c r="E31" s="454" t="s">
        <v>2450</v>
      </c>
      <c r="F31" s="454"/>
    </row>
    <row r="32" spans="1:6" ht="14.4">
      <c r="E32" s="455" t="s">
        <v>2594</v>
      </c>
      <c r="F32" s="456">
        <v>-40388.980000000003</v>
      </c>
    </row>
    <row r="33" spans="5:6" ht="14.4">
      <c r="E33" s="459" t="s">
        <v>2452</v>
      </c>
      <c r="F33" s="460">
        <v>202623.56</v>
      </c>
    </row>
    <row r="34" spans="5:6" ht="14.4">
      <c r="E34" s="459" t="s">
        <v>2453</v>
      </c>
      <c r="F34" s="460">
        <v>477660.13</v>
      </c>
    </row>
    <row r="35" spans="5:6" ht="14.4">
      <c r="E35" s="459" t="s">
        <v>2454</v>
      </c>
      <c r="F35" s="460">
        <v>2128.6799999999998</v>
      </c>
    </row>
    <row r="36" spans="5:6" ht="12">
      <c r="E36" s="457" t="s">
        <v>2455</v>
      </c>
      <c r="F36" s="458">
        <f>SUM(F32:F35)</f>
        <v>642023.39</v>
      </c>
    </row>
    <row r="37" spans="5:6" ht="14.4">
      <c r="E37"/>
      <c r="F37"/>
    </row>
    <row r="38" spans="5:6" ht="12">
      <c r="E38" s="461" t="s">
        <v>2456</v>
      </c>
      <c r="F38" s="462">
        <f>((F24 + F29) - F36)</f>
        <v>1723737.4499999997</v>
      </c>
    </row>
  </sheetData>
  <mergeCells count="3">
    <mergeCell ref="A1:C1"/>
    <mergeCell ref="A2:C2"/>
    <mergeCell ref="A3:C3"/>
  </mergeCells>
  <pageMargins left="0.7" right="0.7" top="0.75" bottom="0.75" header="0.3" footer="0.3"/>
  <pageSetup paperSize="9" fitToWidth="0" fitToHeight="0" orientation="portrait" horizontalDpi="0" verticalDpi="0"/>
  <ignoredErrors>
    <ignoredError sqref="C17" formulaRange="1"/>
  </ignoredErrors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2A810-8395-4B53-B7BD-DE22F97496B2}">
  <dimension ref="B1:J22"/>
  <sheetViews>
    <sheetView topLeftCell="B1" zoomScale="110" zoomScaleNormal="110" workbookViewId="0">
      <selection activeCell="F20" sqref="F20"/>
    </sheetView>
  </sheetViews>
  <sheetFormatPr baseColWidth="10" defaultColWidth="11.44140625" defaultRowHeight="14.4"/>
  <cols>
    <col min="2" max="2" width="24.33203125" bestFit="1" customWidth="1"/>
    <col min="3" max="3" width="14.109375" bestFit="1" customWidth="1"/>
    <col min="4" max="4" width="12.6640625" customWidth="1"/>
    <col min="5" max="5" width="37.109375" bestFit="1" customWidth="1"/>
    <col min="6" max="6" width="15.6640625" bestFit="1" customWidth="1"/>
    <col min="7" max="7" width="16.88671875" bestFit="1" customWidth="1"/>
    <col min="8" max="10" width="15.6640625" bestFit="1" customWidth="1"/>
  </cols>
  <sheetData>
    <row r="1" spans="2:10">
      <c r="F1" t="s">
        <v>2595</v>
      </c>
      <c r="G1" t="s">
        <v>2596</v>
      </c>
      <c r="H1" t="s">
        <v>2597</v>
      </c>
      <c r="I1" t="s">
        <v>2598</v>
      </c>
      <c r="J1" t="s">
        <v>2599</v>
      </c>
    </row>
    <row r="2" spans="2:10">
      <c r="E2" t="s">
        <v>2098</v>
      </c>
      <c r="F2" s="110">
        <v>12</v>
      </c>
      <c r="G2" s="110">
        <v>12</v>
      </c>
      <c r="H2" s="110">
        <v>12</v>
      </c>
      <c r="I2" s="110">
        <v>12</v>
      </c>
      <c r="J2" s="110">
        <v>12</v>
      </c>
    </row>
    <row r="3" spans="2:10" ht="15" thickBot="1">
      <c r="E3" t="s">
        <v>2099</v>
      </c>
      <c r="F3">
        <f>+F2</f>
        <v>12</v>
      </c>
      <c r="G3">
        <f>+F3+G2</f>
        <v>24</v>
      </c>
      <c r="H3">
        <f t="shared" ref="H3:J3" si="0">+G3+H2</f>
        <v>36</v>
      </c>
      <c r="I3">
        <f t="shared" si="0"/>
        <v>48</v>
      </c>
      <c r="J3">
        <f t="shared" si="0"/>
        <v>60</v>
      </c>
    </row>
    <row r="4" spans="2:10" ht="16.2" thickBot="1">
      <c r="F4" s="735">
        <v>46113</v>
      </c>
      <c r="G4" s="735">
        <v>46143</v>
      </c>
      <c r="H4" s="735">
        <v>46174</v>
      </c>
      <c r="I4" s="735">
        <v>46204</v>
      </c>
      <c r="J4" s="735">
        <v>46235</v>
      </c>
    </row>
    <row r="5" spans="2:10">
      <c r="B5" s="1476" t="s">
        <v>2100</v>
      </c>
      <c r="C5" s="1481">
        <v>150500</v>
      </c>
      <c r="E5" t="s">
        <v>2101</v>
      </c>
      <c r="F5" s="370">
        <f>+(+F2*$C$6)*62</f>
        <v>11197200</v>
      </c>
      <c r="G5" s="370">
        <f t="shared" ref="G5:J5" si="1">+(+G2*$C$6)*62</f>
        <v>11197200</v>
      </c>
      <c r="H5" s="370">
        <f t="shared" si="1"/>
        <v>11197200</v>
      </c>
      <c r="I5" s="370">
        <f t="shared" si="1"/>
        <v>11197200</v>
      </c>
      <c r="J5" s="370">
        <f t="shared" si="1"/>
        <v>11197200</v>
      </c>
    </row>
    <row r="6" spans="2:10" ht="15" thickBot="1">
      <c r="B6" s="1477" t="s">
        <v>2102</v>
      </c>
      <c r="C6" s="1478">
        <f>+C5*0.1</f>
        <v>15050</v>
      </c>
      <c r="E6" t="s">
        <v>2103</v>
      </c>
      <c r="F6" s="370">
        <v>0</v>
      </c>
      <c r="G6" s="370">
        <f>+(+F3*$C$8)*62</f>
        <v>744000</v>
      </c>
      <c r="H6" s="370">
        <f t="shared" ref="H6:J6" si="2">+(+G3*$C$8)*62</f>
        <v>1488000</v>
      </c>
      <c r="I6" s="370">
        <f t="shared" si="2"/>
        <v>2232000</v>
      </c>
      <c r="J6" s="370">
        <f t="shared" si="2"/>
        <v>2976000</v>
      </c>
    </row>
    <row r="7" spans="2:10">
      <c r="C7" s="1479"/>
      <c r="E7" t="s">
        <v>2104</v>
      </c>
      <c r="F7" s="370">
        <f>+F18</f>
        <v>8570222.1800000016</v>
      </c>
      <c r="G7" s="370">
        <f t="shared" ref="G7:J7" si="3">+G18</f>
        <v>8518304</v>
      </c>
      <c r="H7" s="370">
        <f t="shared" si="3"/>
        <v>8309818.459999999</v>
      </c>
      <c r="I7" s="370">
        <f t="shared" si="3"/>
        <v>8529507.4000000004</v>
      </c>
      <c r="J7" s="370">
        <f t="shared" si="3"/>
        <v>7408011.1000000006</v>
      </c>
    </row>
    <row r="8" spans="2:10">
      <c r="B8" t="s">
        <v>2105</v>
      </c>
      <c r="C8" s="1480">
        <v>1000</v>
      </c>
      <c r="E8" s="433" t="s">
        <v>2106</v>
      </c>
      <c r="F8" s="1174">
        <f>SUM(F5:F7)</f>
        <v>19767422.18</v>
      </c>
      <c r="G8" s="1174">
        <f>SUM(G5:G7)</f>
        <v>20459504</v>
      </c>
      <c r="H8" s="1174">
        <f>SUM(H5:H7)</f>
        <v>20995018.460000001</v>
      </c>
      <c r="I8" s="1174">
        <f>SUM(I5:I7)</f>
        <v>21958707.399999999</v>
      </c>
      <c r="J8" s="1174">
        <f>SUM(J5:J7)</f>
        <v>21581211.100000001</v>
      </c>
    </row>
    <row r="9" spans="2:10">
      <c r="F9" s="549">
        <v>19000000</v>
      </c>
      <c r="G9" s="370">
        <v>20000000</v>
      </c>
      <c r="H9" s="370">
        <v>20000000</v>
      </c>
      <c r="I9" s="370">
        <v>21000000</v>
      </c>
      <c r="J9" s="370">
        <v>21000000</v>
      </c>
    </row>
    <row r="11" spans="2:10" hidden="1"/>
    <row r="12" spans="2:10" hidden="1">
      <c r="E12" t="s">
        <v>2107</v>
      </c>
      <c r="G12" s="1482">
        <f>((51773+18669)*1.18)*65</f>
        <v>5402901.3999999994</v>
      </c>
    </row>
    <row r="13" spans="2:10" hidden="1">
      <c r="E13" t="s">
        <v>2108</v>
      </c>
      <c r="F13" s="1482">
        <f>((+F2*$C$5)*8.14%)*65</f>
        <v>9555546</v>
      </c>
      <c r="G13" s="1482">
        <f t="shared" ref="G13:J13" si="4">((+G2*$C$5)*8.14%)*65</f>
        <v>9555546</v>
      </c>
      <c r="H13" s="1482">
        <f t="shared" si="4"/>
        <v>9555546</v>
      </c>
      <c r="I13" s="1482">
        <f t="shared" si="4"/>
        <v>9555546</v>
      </c>
      <c r="J13" s="1482">
        <f t="shared" si="4"/>
        <v>9555546</v>
      </c>
    </row>
    <row r="14" spans="2:10" hidden="1">
      <c r="F14" s="1483">
        <f>SUM(F12:F13)</f>
        <v>9555546</v>
      </c>
      <c r="G14" s="1483">
        <f t="shared" ref="G14:J14" si="5">SUM(G12:G13)</f>
        <v>14958447.399999999</v>
      </c>
      <c r="H14" s="1483">
        <f t="shared" si="5"/>
        <v>9555546</v>
      </c>
      <c r="I14" s="1483">
        <f t="shared" si="5"/>
        <v>9555546</v>
      </c>
      <c r="J14" s="1483">
        <f t="shared" si="5"/>
        <v>9555546</v>
      </c>
    </row>
    <row r="15" spans="2:10" ht="15" thickBot="1"/>
    <row r="16" spans="2:10">
      <c r="D16" s="2182" t="s">
        <v>2104</v>
      </c>
      <c r="E16" t="s">
        <v>2344</v>
      </c>
      <c r="F16" s="1707">
        <v>138229.39000000001</v>
      </c>
      <c r="G16" s="1707">
        <v>137392</v>
      </c>
      <c r="H16" s="1707">
        <v>134029.32999999999</v>
      </c>
      <c r="I16" s="1707">
        <v>137572.70000000001</v>
      </c>
      <c r="J16" s="1708">
        <v>119484.05</v>
      </c>
    </row>
    <row r="17" spans="4:10">
      <c r="D17" s="2182"/>
      <c r="E17" s="753"/>
      <c r="F17" s="1709">
        <v>62</v>
      </c>
      <c r="G17" s="1709">
        <v>62</v>
      </c>
      <c r="H17" s="1709">
        <v>62</v>
      </c>
      <c r="I17" s="1709">
        <v>62</v>
      </c>
      <c r="J17" s="1710">
        <v>62</v>
      </c>
    </row>
    <row r="18" spans="4:10" ht="15" thickBot="1">
      <c r="D18" s="2182"/>
      <c r="E18" s="1477"/>
      <c r="F18" s="1711">
        <f>+F16*F17</f>
        <v>8570222.1800000016</v>
      </c>
      <c r="G18" s="1711">
        <f t="shared" ref="G18:J18" si="6">+G16*G17</f>
        <v>8518304</v>
      </c>
      <c r="H18" s="1711">
        <f t="shared" si="6"/>
        <v>8309818.459999999</v>
      </c>
      <c r="I18" s="1711">
        <f t="shared" si="6"/>
        <v>8529507.4000000004</v>
      </c>
      <c r="J18" s="1712">
        <f t="shared" si="6"/>
        <v>7408011.1000000006</v>
      </c>
    </row>
    <row r="19" spans="4:10" ht="15" thickBot="1"/>
    <row r="20" spans="4:10">
      <c r="E20" s="2175" t="s">
        <v>1721</v>
      </c>
      <c r="F20" s="1840">
        <f>54993.74+29581.41</f>
        <v>84575.15</v>
      </c>
      <c r="G20" s="1701">
        <f>+(+$C$5*0.0826)*F2+(77912.34)</f>
        <v>227087.94</v>
      </c>
      <c r="H20" s="1701">
        <f t="shared" ref="H20:J20" si="7">+(+$C$5*0.0826)*G2</f>
        <v>149175.6</v>
      </c>
      <c r="I20" s="1701">
        <f t="shared" si="7"/>
        <v>149175.6</v>
      </c>
      <c r="J20" s="1701">
        <f t="shared" si="7"/>
        <v>149175.6</v>
      </c>
    </row>
    <row r="21" spans="4:10">
      <c r="E21" s="2176"/>
      <c r="F21" s="455">
        <v>62</v>
      </c>
      <c r="G21" s="455">
        <v>62</v>
      </c>
      <c r="H21" s="455">
        <v>62</v>
      </c>
      <c r="I21" s="455">
        <v>62</v>
      </c>
      <c r="J21" s="1702">
        <v>62</v>
      </c>
    </row>
    <row r="22" spans="4:10" ht="15" thickBot="1">
      <c r="E22" s="2177"/>
      <c r="F22" s="1703">
        <f t="shared" ref="F22:J22" si="8">+F20*F21</f>
        <v>5243659.3</v>
      </c>
      <c r="G22" s="1703">
        <f t="shared" si="8"/>
        <v>14079452.279999999</v>
      </c>
      <c r="H22" s="1703">
        <f t="shared" si="8"/>
        <v>9248887.2000000011</v>
      </c>
      <c r="I22" s="1703">
        <f t="shared" si="8"/>
        <v>9248887.2000000011</v>
      </c>
      <c r="J22" s="1704">
        <f t="shared" si="8"/>
        <v>9248887.2000000011</v>
      </c>
    </row>
  </sheetData>
  <mergeCells count="2">
    <mergeCell ref="D16:D18"/>
    <mergeCell ref="E20:E22"/>
  </mergeCells>
  <phoneticPr fontId="3" type="noConversion"/>
  <pageMargins left="0.7" right="0.7" top="0.75" bottom="0.75" header="0.3" footer="0.3"/>
  <pageSetup orientation="portrait" r:id="rId1"/>
  <drawing r:id="rId2"/>
  <legacyDrawing r:id="rId3"/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B596-FF0A-4270-9FE4-E2A348E9BC2B}">
  <dimension ref="A1:O200"/>
  <sheetViews>
    <sheetView showGridLines="0" topLeftCell="A202" zoomScaleNormal="100" workbookViewId="0">
      <selection activeCell="A175" sqref="A175:XFD175"/>
    </sheetView>
  </sheetViews>
  <sheetFormatPr baseColWidth="10" defaultColWidth="8" defaultRowHeight="14.4"/>
  <cols>
    <col min="1" max="1" width="36.109375" style="1440" customWidth="1"/>
    <col min="2" max="2" width="12.6640625" style="1440" customWidth="1"/>
    <col min="3" max="3" width="16.6640625" style="1440" customWidth="1"/>
    <col min="4" max="4" width="13" style="713" bestFit="1" customWidth="1"/>
    <col min="5" max="5" width="19.44140625" style="713" bestFit="1" customWidth="1"/>
    <col min="6" max="6" width="13.5546875" style="713" bestFit="1" customWidth="1"/>
    <col min="7" max="7" width="10" style="713" bestFit="1" customWidth="1"/>
    <col min="8" max="8" width="10.6640625" style="713" bestFit="1" customWidth="1"/>
    <col min="9" max="9" width="9.88671875" style="713" bestFit="1" customWidth="1"/>
    <col min="10" max="10" width="9.88671875" style="1236" bestFit="1" customWidth="1"/>
    <col min="11" max="11" width="10.6640625" style="1440" bestFit="1" customWidth="1"/>
    <col min="12" max="12" width="25.6640625" style="1440" bestFit="1" customWidth="1"/>
    <col min="13" max="13" width="12.6640625" style="1440" bestFit="1" customWidth="1"/>
    <col min="14" max="14" width="8" style="1440"/>
    <col min="15" max="15" width="9.88671875" style="1440" bestFit="1" customWidth="1"/>
    <col min="16" max="16384" width="8" style="1440"/>
  </cols>
  <sheetData>
    <row r="1" spans="1:10" s="1437" customFormat="1" ht="16.649999999999999" customHeight="1">
      <c r="A1" s="1436" t="s">
        <v>771</v>
      </c>
      <c r="B1" s="1436"/>
      <c r="C1" s="1436"/>
      <c r="D1" s="1833"/>
      <c r="E1" s="1833"/>
      <c r="F1" s="1833"/>
      <c r="G1" s="1833"/>
      <c r="H1" s="1833"/>
      <c r="I1" s="1833"/>
      <c r="J1" s="1853"/>
    </row>
    <row r="2" spans="1:10" s="1439" customFormat="1" ht="14.4" customHeight="1">
      <c r="A2" s="1438" t="s">
        <v>236</v>
      </c>
      <c r="B2" s="1438"/>
      <c r="C2" s="1438"/>
      <c r="D2" s="1832"/>
      <c r="E2" s="1832"/>
      <c r="F2" s="1832"/>
      <c r="G2" s="1832"/>
      <c r="H2" s="1832"/>
      <c r="I2" s="1832"/>
      <c r="J2" s="1852"/>
    </row>
    <row r="3" spans="1:10" s="1439" customFormat="1" ht="14.4" customHeight="1">
      <c r="A3" s="1438" t="s">
        <v>2481</v>
      </c>
      <c r="B3" s="1438"/>
      <c r="C3" s="1438"/>
      <c r="D3" s="1832"/>
      <c r="E3" s="1832"/>
      <c r="F3" s="1832"/>
      <c r="G3" s="1832"/>
      <c r="H3" s="1832"/>
      <c r="I3" s="1832"/>
      <c r="J3" s="1852"/>
    </row>
    <row r="4" spans="1:10" s="1439" customFormat="1" ht="14.4" customHeight="1">
      <c r="A4" s="1438" t="s">
        <v>724</v>
      </c>
      <c r="B4" s="1438"/>
      <c r="C4" s="1438"/>
      <c r="D4" s="1832"/>
      <c r="E4" s="1832"/>
      <c r="F4" s="1832"/>
      <c r="G4" s="1832"/>
      <c r="H4" s="1832"/>
      <c r="I4" s="1832"/>
      <c r="J4" s="1852"/>
    </row>
    <row r="5" spans="1:10" ht="13.35" customHeight="1"/>
    <row r="6" spans="1:10" s="1444" customFormat="1" ht="12.15" customHeight="1">
      <c r="A6" s="1441" t="s">
        <v>690</v>
      </c>
      <c r="B6" s="1441" t="s">
        <v>689</v>
      </c>
      <c r="C6" s="1441" t="s">
        <v>773</v>
      </c>
      <c r="D6" s="1774" t="s">
        <v>2600</v>
      </c>
      <c r="E6" s="1683" t="s">
        <v>2053</v>
      </c>
      <c r="F6" s="1773">
        <v>46113</v>
      </c>
      <c r="G6" s="1773">
        <v>46143</v>
      </c>
      <c r="H6" s="1773">
        <v>46174</v>
      </c>
      <c r="I6" s="1773">
        <v>46204</v>
      </c>
      <c r="J6" s="1851">
        <v>46235</v>
      </c>
    </row>
    <row r="7" spans="1:10" ht="13.35" customHeight="1">
      <c r="D7" s="1858"/>
      <c r="E7" s="1863"/>
    </row>
    <row r="8" spans="1:10" s="1444" customFormat="1" ht="12.15" customHeight="1">
      <c r="A8" s="1445" t="s">
        <v>1030</v>
      </c>
      <c r="B8" s="1445"/>
      <c r="C8" s="1445"/>
      <c r="D8" s="1859"/>
      <c r="E8" s="1864"/>
      <c r="F8" s="1830"/>
      <c r="G8" s="1830"/>
      <c r="H8" s="1830"/>
      <c r="I8" s="1830"/>
      <c r="J8" s="1850"/>
    </row>
    <row r="9" spans="1:10" ht="10.95" customHeight="1">
      <c r="A9" s="1446" t="s">
        <v>2482</v>
      </c>
      <c r="B9" s="1447">
        <v>46104</v>
      </c>
      <c r="C9" s="1446" t="s">
        <v>2483</v>
      </c>
      <c r="D9" s="1860">
        <v>172416.08</v>
      </c>
      <c r="E9" s="1757">
        <f t="shared" ref="E9:E19" si="0">SUM(F9:J9)</f>
        <v>172416.08</v>
      </c>
      <c r="F9" s="1849">
        <f t="shared" ref="F9:F19" si="1">+D9</f>
        <v>172416.08</v>
      </c>
      <c r="G9" s="1849"/>
      <c r="H9" s="1849"/>
      <c r="I9" s="1849"/>
      <c r="J9" s="1848"/>
    </row>
    <row r="10" spans="1:10" ht="10.95" customHeight="1">
      <c r="A10" s="1450" t="s">
        <v>2484</v>
      </c>
      <c r="B10" s="1451">
        <v>46106</v>
      </c>
      <c r="C10" s="1450" t="s">
        <v>2485</v>
      </c>
      <c r="D10" s="1861">
        <v>10985</v>
      </c>
      <c r="E10" s="1757">
        <f t="shared" si="0"/>
        <v>10985</v>
      </c>
      <c r="F10" s="1847">
        <f t="shared" si="1"/>
        <v>10985</v>
      </c>
      <c r="G10" s="1847"/>
      <c r="H10" s="1847"/>
      <c r="I10" s="1847"/>
      <c r="J10" s="1846"/>
    </row>
    <row r="11" spans="1:10" ht="10.95" customHeight="1">
      <c r="A11" s="1446" t="s">
        <v>2210</v>
      </c>
      <c r="B11" s="1447">
        <v>46069</v>
      </c>
      <c r="C11" s="1446" t="s">
        <v>2376</v>
      </c>
      <c r="D11" s="1860">
        <v>54204.98</v>
      </c>
      <c r="E11" s="1757">
        <f t="shared" si="0"/>
        <v>54204.98</v>
      </c>
      <c r="F11" s="1849">
        <f t="shared" si="1"/>
        <v>54204.98</v>
      </c>
      <c r="G11" s="1849"/>
      <c r="H11" s="1849"/>
      <c r="I11" s="1849"/>
      <c r="J11" s="1848"/>
    </row>
    <row r="12" spans="1:10" ht="10.95" customHeight="1">
      <c r="A12" s="1450" t="s">
        <v>2210</v>
      </c>
      <c r="B12" s="1451">
        <v>46071</v>
      </c>
      <c r="C12" s="1450" t="s">
        <v>2378</v>
      </c>
      <c r="D12" s="1861">
        <v>21999.919999999998</v>
      </c>
      <c r="E12" s="1757">
        <f t="shared" si="0"/>
        <v>21999.919999999998</v>
      </c>
      <c r="F12" s="1847">
        <f t="shared" si="1"/>
        <v>21999.919999999998</v>
      </c>
      <c r="G12" s="1847"/>
      <c r="H12" s="1847"/>
      <c r="I12" s="1847"/>
      <c r="J12" s="1846"/>
    </row>
    <row r="13" spans="1:10" ht="10.95" customHeight="1">
      <c r="A13" s="1450" t="s">
        <v>2210</v>
      </c>
      <c r="B13" s="1451">
        <v>46072</v>
      </c>
      <c r="C13" s="1450" t="s">
        <v>2379</v>
      </c>
      <c r="D13" s="1861">
        <v>12690.84</v>
      </c>
      <c r="E13" s="1757">
        <f t="shared" si="0"/>
        <v>12690.84</v>
      </c>
      <c r="F13" s="1847">
        <f t="shared" si="1"/>
        <v>12690.84</v>
      </c>
      <c r="G13" s="1847"/>
      <c r="H13" s="1847"/>
      <c r="I13" s="1847"/>
      <c r="J13" s="1846"/>
    </row>
    <row r="14" spans="1:10" ht="10.95" customHeight="1">
      <c r="A14" s="1450" t="s">
        <v>2210</v>
      </c>
      <c r="B14" s="1451">
        <v>46083</v>
      </c>
      <c r="C14" s="1450" t="s">
        <v>2486</v>
      </c>
      <c r="D14" s="1861">
        <v>6914.99</v>
      </c>
      <c r="E14" s="1757">
        <f t="shared" si="0"/>
        <v>6914.99</v>
      </c>
      <c r="F14" s="1847">
        <f t="shared" si="1"/>
        <v>6914.99</v>
      </c>
      <c r="G14" s="1847"/>
      <c r="H14" s="1847"/>
      <c r="I14" s="1847"/>
      <c r="J14" s="1846"/>
    </row>
    <row r="15" spans="1:10" ht="10.95" customHeight="1">
      <c r="A15" s="1450" t="s">
        <v>2265</v>
      </c>
      <c r="B15" s="1451">
        <v>46091</v>
      </c>
      <c r="C15" s="1450" t="s">
        <v>2487</v>
      </c>
      <c r="D15" s="1861">
        <v>326983.84999999998</v>
      </c>
      <c r="E15" s="1757">
        <f t="shared" si="0"/>
        <v>326983.84999999998</v>
      </c>
      <c r="F15" s="1847">
        <f t="shared" si="1"/>
        <v>326983.84999999998</v>
      </c>
      <c r="G15" s="1847"/>
      <c r="H15" s="1847"/>
      <c r="I15" s="1847"/>
      <c r="J15" s="1846"/>
    </row>
    <row r="16" spans="1:10" ht="10.95" customHeight="1">
      <c r="A16" s="1450" t="s">
        <v>1116</v>
      </c>
      <c r="B16" s="1451">
        <v>46101</v>
      </c>
      <c r="C16" s="1450" t="s">
        <v>2488</v>
      </c>
      <c r="D16" s="1861">
        <v>46787</v>
      </c>
      <c r="E16" s="1757">
        <f t="shared" si="0"/>
        <v>46787</v>
      </c>
      <c r="F16" s="1847">
        <f t="shared" si="1"/>
        <v>46787</v>
      </c>
      <c r="G16" s="1847"/>
      <c r="H16" s="1847"/>
      <c r="I16" s="1847"/>
      <c r="J16" s="1846"/>
    </row>
    <row r="17" spans="1:13" ht="10.95" customHeight="1">
      <c r="A17" s="1450" t="s">
        <v>2265</v>
      </c>
      <c r="B17" s="1451">
        <v>46101</v>
      </c>
      <c r="C17" s="1450" t="s">
        <v>2489</v>
      </c>
      <c r="D17" s="1861">
        <v>14155.33</v>
      </c>
      <c r="E17" s="1757">
        <f t="shared" si="0"/>
        <v>14155.33</v>
      </c>
      <c r="F17" s="1847">
        <f t="shared" si="1"/>
        <v>14155.33</v>
      </c>
      <c r="G17" s="1847"/>
      <c r="H17" s="1847"/>
      <c r="I17" s="1847"/>
      <c r="J17" s="1846"/>
    </row>
    <row r="18" spans="1:13" ht="10.95" customHeight="1">
      <c r="A18" s="1450" t="s">
        <v>1116</v>
      </c>
      <c r="B18" s="1451">
        <v>46105</v>
      </c>
      <c r="C18" s="1450" t="s">
        <v>2490</v>
      </c>
      <c r="D18" s="1861">
        <v>23229</v>
      </c>
      <c r="E18" s="1757">
        <f t="shared" si="0"/>
        <v>23229</v>
      </c>
      <c r="F18" s="1847">
        <f t="shared" si="1"/>
        <v>23229</v>
      </c>
      <c r="G18" s="1847"/>
      <c r="H18" s="1847"/>
      <c r="I18" s="1847"/>
      <c r="J18" s="1846"/>
    </row>
    <row r="19" spans="1:13" ht="10.95" customHeight="1">
      <c r="A19" s="1450" t="s">
        <v>1116</v>
      </c>
      <c r="B19" s="1451">
        <v>46109</v>
      </c>
      <c r="C19" s="1450" t="s">
        <v>2491</v>
      </c>
      <c r="D19" s="1861">
        <v>22890</v>
      </c>
      <c r="E19" s="1757">
        <f t="shared" si="0"/>
        <v>22890</v>
      </c>
      <c r="F19" s="1847">
        <f t="shared" si="1"/>
        <v>22890</v>
      </c>
      <c r="G19" s="1847"/>
      <c r="H19" s="1847"/>
      <c r="I19" s="1847"/>
      <c r="J19" s="1846"/>
    </row>
    <row r="20" spans="1:13" ht="10.95" customHeight="1">
      <c r="A20" s="1672" t="s">
        <v>2346</v>
      </c>
      <c r="B20" s="1673"/>
      <c r="C20" s="1672"/>
      <c r="D20" s="1843"/>
      <c r="E20" s="1757">
        <f>SUM(F20:J20)</f>
        <v>49166692.719999999</v>
      </c>
      <c r="F20" s="1771">
        <f>1900000-M29</f>
        <v>5216692.7200000007</v>
      </c>
      <c r="G20" s="1771">
        <v>4600000</v>
      </c>
      <c r="H20" s="1771">
        <v>11200000</v>
      </c>
      <c r="I20" s="1771">
        <v>2250000</v>
      </c>
      <c r="J20" s="1771">
        <v>25900000</v>
      </c>
    </row>
    <row r="21" spans="1:13" ht="10.95" customHeight="1">
      <c r="A21" s="1672" t="s">
        <v>2054</v>
      </c>
      <c r="B21" s="1673"/>
      <c r="C21" s="1672"/>
      <c r="D21" s="1843"/>
      <c r="E21" s="1757">
        <f>SUM(F21:J21)</f>
        <v>772375.31200000003</v>
      </c>
      <c r="F21" s="1772">
        <f>461876.56*0.2</f>
        <v>92375.312000000005</v>
      </c>
      <c r="G21" s="1771">
        <f>850000*0.2</f>
        <v>170000</v>
      </c>
      <c r="H21" s="1771">
        <f>850000*0.2</f>
        <v>170000</v>
      </c>
      <c r="I21" s="1771">
        <f>850000*0.2</f>
        <v>170000</v>
      </c>
      <c r="J21" s="1771">
        <f>850000*0.2</f>
        <v>170000</v>
      </c>
      <c r="K21" s="1578"/>
    </row>
    <row r="22" spans="1:13" ht="10.95" customHeight="1">
      <c r="A22" s="1454" t="s">
        <v>1831</v>
      </c>
      <c r="B22" s="1454"/>
      <c r="C22" s="1454"/>
      <c r="D22" s="1763">
        <f t="shared" ref="D22:J22" si="2">SUM(D9:D21)</f>
        <v>713256.98999999987</v>
      </c>
      <c r="E22" s="1754">
        <f t="shared" si="2"/>
        <v>50652325.022</v>
      </c>
      <c r="F22" s="1572">
        <f t="shared" si="2"/>
        <v>6022325.0220000008</v>
      </c>
      <c r="G22" s="1572">
        <f t="shared" si="2"/>
        <v>4770000</v>
      </c>
      <c r="H22" s="1572">
        <f t="shared" si="2"/>
        <v>11370000</v>
      </c>
      <c r="I22" s="1572">
        <f t="shared" si="2"/>
        <v>2420000</v>
      </c>
      <c r="J22" s="1572">
        <f t="shared" si="2"/>
        <v>26070000</v>
      </c>
      <c r="K22" s="1578"/>
      <c r="M22" s="1568" t="s">
        <v>1764</v>
      </c>
    </row>
    <row r="23" spans="1:13" ht="13.35" customHeight="1">
      <c r="D23" s="826"/>
      <c r="E23" s="1865"/>
      <c r="F23" s="730"/>
      <c r="G23" s="730"/>
      <c r="H23" s="730"/>
      <c r="I23" s="730"/>
      <c r="J23" s="1845"/>
      <c r="K23" s="1855"/>
      <c r="L23" s="1440" t="s">
        <v>2601</v>
      </c>
      <c r="M23" s="1568">
        <f>+'Costos a Mar-26'!W6</f>
        <v>5013644.67</v>
      </c>
    </row>
    <row r="24" spans="1:13" s="1444" customFormat="1" ht="12.15" customHeight="1">
      <c r="A24" s="1445" t="s">
        <v>2056</v>
      </c>
      <c r="B24" s="1445"/>
      <c r="C24" s="1445"/>
      <c r="D24" s="1766"/>
      <c r="E24" s="1760"/>
      <c r="F24" s="1569"/>
      <c r="G24" s="1569"/>
      <c r="H24" s="1569"/>
      <c r="I24" s="1569"/>
      <c r="J24" s="1844"/>
      <c r="L24" s="1444" t="s">
        <v>2052</v>
      </c>
      <c r="M24" s="1780">
        <f>+'CXP 03-26 RES'!H7</f>
        <v>713256.98999999987</v>
      </c>
    </row>
    <row r="25" spans="1:13" ht="10.95" customHeight="1">
      <c r="A25" s="1446" t="s">
        <v>2210</v>
      </c>
      <c r="B25" s="1447">
        <v>46069</v>
      </c>
      <c r="C25" s="1446" t="s">
        <v>2376</v>
      </c>
      <c r="D25" s="1860">
        <v>36699.980000000003</v>
      </c>
      <c r="E25" s="1757">
        <f t="shared" ref="E25:E88" si="3">SUM(F25:J25)</f>
        <v>36699.980000000003</v>
      </c>
      <c r="F25" s="1849">
        <f t="shared" ref="F25:F56" si="4">+D25</f>
        <v>36699.980000000003</v>
      </c>
      <c r="G25" s="1849"/>
      <c r="H25" s="1849"/>
      <c r="I25" s="1849"/>
      <c r="J25" s="1848"/>
      <c r="L25" s="1440" t="s">
        <v>1868</v>
      </c>
      <c r="M25" s="1568">
        <f>+M23-M24</f>
        <v>4300387.68</v>
      </c>
    </row>
    <row r="26" spans="1:13" ht="10.95" customHeight="1">
      <c r="A26" s="1446" t="s">
        <v>2210</v>
      </c>
      <c r="B26" s="1447">
        <v>46071</v>
      </c>
      <c r="C26" s="1446" t="s">
        <v>2378</v>
      </c>
      <c r="D26" s="1860">
        <v>61653.2</v>
      </c>
      <c r="E26" s="1757">
        <f t="shared" si="3"/>
        <v>61653.2</v>
      </c>
      <c r="F26" s="1849">
        <f t="shared" si="4"/>
        <v>61653.2</v>
      </c>
      <c r="G26" s="1849"/>
      <c r="H26" s="1849"/>
      <c r="I26" s="1849"/>
      <c r="J26" s="1848"/>
      <c r="L26" s="1440" t="s">
        <v>2462</v>
      </c>
      <c r="M26" s="1568">
        <f>+'Anticipos 03-26'!D5</f>
        <v>422919.6</v>
      </c>
    </row>
    <row r="27" spans="1:13" ht="10.95" customHeight="1">
      <c r="A27" s="1446" t="s">
        <v>2210</v>
      </c>
      <c r="B27" s="1447">
        <v>46072</v>
      </c>
      <c r="C27" s="1446" t="s">
        <v>2379</v>
      </c>
      <c r="D27" s="1860">
        <v>19012</v>
      </c>
      <c r="E27" s="1757">
        <f t="shared" si="3"/>
        <v>19012</v>
      </c>
      <c r="F27" s="1849">
        <f t="shared" si="4"/>
        <v>19012</v>
      </c>
      <c r="G27" s="1849"/>
      <c r="H27" s="1849"/>
      <c r="I27" s="1849"/>
      <c r="J27" s="1848"/>
      <c r="L27" s="1868" t="s">
        <v>1868</v>
      </c>
      <c r="M27" s="1856">
        <f>+M25+M26</f>
        <v>4723307.2799999993</v>
      </c>
    </row>
    <row r="28" spans="1:13" ht="10.95" customHeight="1">
      <c r="A28" s="1446" t="s">
        <v>2210</v>
      </c>
      <c r="B28" s="1447">
        <v>46083</v>
      </c>
      <c r="C28" s="1446" t="s">
        <v>2492</v>
      </c>
      <c r="D28" s="1860">
        <v>40727.040000000001</v>
      </c>
      <c r="E28" s="1757">
        <f t="shared" si="3"/>
        <v>40727.040000000001</v>
      </c>
      <c r="F28" s="1849">
        <f t="shared" si="4"/>
        <v>40727.040000000001</v>
      </c>
      <c r="G28" s="1849"/>
      <c r="H28" s="1849"/>
      <c r="I28" s="1849"/>
      <c r="J28" s="1848"/>
      <c r="L28" s="1440" t="s">
        <v>2602</v>
      </c>
      <c r="M28" s="400">
        <v>8040000</v>
      </c>
    </row>
    <row r="29" spans="1:13" ht="10.95" customHeight="1">
      <c r="A29" s="1446" t="s">
        <v>2210</v>
      </c>
      <c r="B29" s="1447">
        <v>46083</v>
      </c>
      <c r="C29" s="1446" t="s">
        <v>2486</v>
      </c>
      <c r="D29" s="1860">
        <v>55469.22</v>
      </c>
      <c r="E29" s="1757">
        <f t="shared" si="3"/>
        <v>55469.22</v>
      </c>
      <c r="F29" s="1849">
        <f t="shared" si="4"/>
        <v>55469.22</v>
      </c>
      <c r="G29" s="1849"/>
      <c r="H29" s="1849"/>
      <c r="I29" s="1849"/>
      <c r="J29" s="1848"/>
      <c r="L29" s="1466" t="s">
        <v>2603</v>
      </c>
      <c r="M29" s="1869">
        <f>+M27-M28</f>
        <v>-3316692.7200000007</v>
      </c>
    </row>
    <row r="30" spans="1:13" ht="10.95" customHeight="1">
      <c r="A30" s="1446" t="s">
        <v>2265</v>
      </c>
      <c r="B30" s="1447">
        <v>46091</v>
      </c>
      <c r="C30" s="1446" t="s">
        <v>2487</v>
      </c>
      <c r="D30" s="1860">
        <v>599242.18000000005</v>
      </c>
      <c r="E30" s="1757">
        <f t="shared" si="3"/>
        <v>599242.18000000005</v>
      </c>
      <c r="F30" s="1849">
        <f t="shared" si="4"/>
        <v>599242.18000000005</v>
      </c>
      <c r="G30" s="1849"/>
      <c r="H30" s="1849"/>
      <c r="I30" s="1849"/>
      <c r="J30" s="1848"/>
    </row>
    <row r="31" spans="1:13" ht="10.95" customHeight="1">
      <c r="A31" s="1446" t="s">
        <v>1116</v>
      </c>
      <c r="B31" s="1447">
        <v>46101</v>
      </c>
      <c r="C31" s="1446" t="s">
        <v>2488</v>
      </c>
      <c r="D31" s="1860">
        <v>13280</v>
      </c>
      <c r="E31" s="1757">
        <f t="shared" si="3"/>
        <v>13280</v>
      </c>
      <c r="F31" s="1849">
        <f t="shared" si="4"/>
        <v>13280</v>
      </c>
      <c r="G31" s="1849"/>
      <c r="H31" s="1849"/>
      <c r="I31" s="1849"/>
      <c r="J31" s="1848"/>
    </row>
    <row r="32" spans="1:13" ht="10.95" hidden="1" customHeight="1">
      <c r="A32" s="1446" t="s">
        <v>2265</v>
      </c>
      <c r="B32" s="1447">
        <v>46101</v>
      </c>
      <c r="C32" s="1446" t="s">
        <v>2489</v>
      </c>
      <c r="D32" s="1860">
        <v>1251384</v>
      </c>
      <c r="E32" s="1757">
        <f t="shared" si="3"/>
        <v>1251384</v>
      </c>
      <c r="F32" s="1849">
        <f t="shared" si="4"/>
        <v>1251384</v>
      </c>
      <c r="G32" s="1849"/>
      <c r="H32" s="1849"/>
      <c r="I32" s="1849"/>
      <c r="J32" s="1848"/>
    </row>
    <row r="33" spans="1:10" ht="10.95" hidden="1" customHeight="1">
      <c r="A33" s="1446" t="s">
        <v>1337</v>
      </c>
      <c r="B33" s="1447">
        <v>46104</v>
      </c>
      <c r="C33" s="1446" t="s">
        <v>2493</v>
      </c>
      <c r="D33" s="1860">
        <v>2790</v>
      </c>
      <c r="E33" s="1757">
        <f t="shared" si="3"/>
        <v>2790</v>
      </c>
      <c r="F33" s="1849">
        <f t="shared" si="4"/>
        <v>2790</v>
      </c>
      <c r="G33" s="1849"/>
      <c r="H33" s="1849"/>
      <c r="I33" s="1849"/>
      <c r="J33" s="1848"/>
    </row>
    <row r="34" spans="1:10" ht="10.95" hidden="1" customHeight="1">
      <c r="A34" s="1446" t="s">
        <v>1116</v>
      </c>
      <c r="B34" s="1447">
        <v>46105</v>
      </c>
      <c r="C34" s="1446" t="s">
        <v>2490</v>
      </c>
      <c r="D34" s="1860">
        <v>41744</v>
      </c>
      <c r="E34" s="1757">
        <f t="shared" si="3"/>
        <v>41744</v>
      </c>
      <c r="F34" s="1849">
        <f t="shared" si="4"/>
        <v>41744</v>
      </c>
      <c r="G34" s="1849"/>
      <c r="H34" s="1849"/>
      <c r="I34" s="1849"/>
      <c r="J34" s="1848"/>
    </row>
    <row r="35" spans="1:10" ht="10.95" hidden="1" customHeight="1">
      <c r="A35" s="1446" t="s">
        <v>1116</v>
      </c>
      <c r="B35" s="1447">
        <v>46109</v>
      </c>
      <c r="C35" s="1446" t="s">
        <v>2491</v>
      </c>
      <c r="D35" s="1860">
        <v>7630</v>
      </c>
      <c r="E35" s="1757">
        <f t="shared" si="3"/>
        <v>7630</v>
      </c>
      <c r="F35" s="1849">
        <f t="shared" si="4"/>
        <v>7630</v>
      </c>
      <c r="G35" s="1849"/>
      <c r="H35" s="1849"/>
      <c r="I35" s="1849"/>
      <c r="J35" s="1848"/>
    </row>
    <row r="36" spans="1:10" ht="10.95" hidden="1" customHeight="1">
      <c r="A36" s="1446" t="s">
        <v>2400</v>
      </c>
      <c r="B36" s="1447">
        <v>46069</v>
      </c>
      <c r="C36" s="1446" t="s">
        <v>2401</v>
      </c>
      <c r="D36" s="1860">
        <v>243582.06</v>
      </c>
      <c r="E36" s="1757">
        <f t="shared" si="3"/>
        <v>243582.06</v>
      </c>
      <c r="F36" s="1849">
        <f t="shared" si="4"/>
        <v>243582.06</v>
      </c>
      <c r="G36" s="1849"/>
      <c r="H36" s="1849"/>
      <c r="I36" s="1849"/>
      <c r="J36" s="1848"/>
    </row>
    <row r="37" spans="1:10" ht="10.95" hidden="1" customHeight="1">
      <c r="A37" s="1450" t="s">
        <v>2220</v>
      </c>
      <c r="B37" s="1451">
        <v>46069</v>
      </c>
      <c r="C37" s="1450" t="s">
        <v>2402</v>
      </c>
      <c r="D37" s="1861">
        <v>30238.04</v>
      </c>
      <c r="E37" s="1757">
        <f t="shared" si="3"/>
        <v>30238.04</v>
      </c>
      <c r="F37" s="1847">
        <f t="shared" si="4"/>
        <v>30238.04</v>
      </c>
      <c r="G37" s="1847"/>
      <c r="H37" s="1847"/>
      <c r="I37" s="1847"/>
      <c r="J37" s="1846"/>
    </row>
    <row r="38" spans="1:10" ht="10.95" hidden="1" customHeight="1">
      <c r="A38" s="1450" t="s">
        <v>2220</v>
      </c>
      <c r="B38" s="1451">
        <v>46069</v>
      </c>
      <c r="C38" s="1450" t="s">
        <v>2403</v>
      </c>
      <c r="D38" s="1861">
        <v>3508.4</v>
      </c>
      <c r="E38" s="1757">
        <f t="shared" si="3"/>
        <v>3508.4</v>
      </c>
      <c r="F38" s="1847">
        <f t="shared" si="4"/>
        <v>3508.4</v>
      </c>
      <c r="G38" s="1847"/>
      <c r="H38" s="1847"/>
      <c r="I38" s="1847"/>
      <c r="J38" s="1846"/>
    </row>
    <row r="39" spans="1:10" ht="10.95" hidden="1" customHeight="1">
      <c r="A39" s="1450" t="s">
        <v>2400</v>
      </c>
      <c r="B39" s="1451">
        <v>46070</v>
      </c>
      <c r="C39" s="1450" t="s">
        <v>2405</v>
      </c>
      <c r="D39" s="1861">
        <v>240141.36</v>
      </c>
      <c r="E39" s="1757">
        <f t="shared" si="3"/>
        <v>240141.36</v>
      </c>
      <c r="F39" s="1847">
        <f t="shared" si="4"/>
        <v>240141.36</v>
      </c>
      <c r="G39" s="1847"/>
      <c r="H39" s="1847"/>
      <c r="I39" s="1847"/>
      <c r="J39" s="1846"/>
    </row>
    <row r="40" spans="1:10" ht="10.95" hidden="1" customHeight="1">
      <c r="A40" s="1450" t="s">
        <v>2400</v>
      </c>
      <c r="B40" s="1451">
        <v>46072</v>
      </c>
      <c r="C40" s="1450" t="s">
        <v>2411</v>
      </c>
      <c r="D40" s="1861">
        <v>240141.37</v>
      </c>
      <c r="E40" s="1757">
        <f t="shared" si="3"/>
        <v>240141.37</v>
      </c>
      <c r="F40" s="1847">
        <f t="shared" si="4"/>
        <v>240141.37</v>
      </c>
      <c r="G40" s="1847"/>
      <c r="H40" s="1847"/>
      <c r="I40" s="1847"/>
      <c r="J40" s="1846"/>
    </row>
    <row r="41" spans="1:10" ht="10.95" hidden="1" customHeight="1">
      <c r="A41" s="1450" t="s">
        <v>2400</v>
      </c>
      <c r="B41" s="1451">
        <v>46072</v>
      </c>
      <c r="C41" s="1450" t="s">
        <v>2412</v>
      </c>
      <c r="D41" s="1861">
        <v>240141.36</v>
      </c>
      <c r="E41" s="1757">
        <f t="shared" si="3"/>
        <v>240141.36</v>
      </c>
      <c r="F41" s="1847">
        <f t="shared" si="4"/>
        <v>240141.36</v>
      </c>
      <c r="G41" s="1847"/>
      <c r="H41" s="1847"/>
      <c r="I41" s="1847"/>
      <c r="J41" s="1846"/>
    </row>
    <row r="42" spans="1:10" ht="10.95" hidden="1" customHeight="1">
      <c r="A42" s="1450" t="s">
        <v>2210</v>
      </c>
      <c r="B42" s="1451">
        <v>46073</v>
      </c>
      <c r="C42" s="1450" t="s">
        <v>2415</v>
      </c>
      <c r="D42" s="1861">
        <v>60171.69</v>
      </c>
      <c r="E42" s="1757">
        <f t="shared" si="3"/>
        <v>60171.69</v>
      </c>
      <c r="F42" s="1847">
        <f t="shared" si="4"/>
        <v>60171.69</v>
      </c>
      <c r="G42" s="1847"/>
      <c r="H42" s="1847"/>
      <c r="I42" s="1847"/>
      <c r="J42" s="1846"/>
    </row>
    <row r="43" spans="1:10" ht="10.95" hidden="1" customHeight="1">
      <c r="A43" s="1450" t="s">
        <v>2220</v>
      </c>
      <c r="B43" s="1451">
        <v>46078</v>
      </c>
      <c r="C43" s="1450" t="s">
        <v>2418</v>
      </c>
      <c r="D43" s="1861">
        <v>110830.86</v>
      </c>
      <c r="E43" s="1757">
        <f t="shared" si="3"/>
        <v>110830.86</v>
      </c>
      <c r="F43" s="1847">
        <f t="shared" si="4"/>
        <v>110830.86</v>
      </c>
      <c r="G43" s="1847"/>
      <c r="H43" s="1847"/>
      <c r="I43" s="1847"/>
      <c r="J43" s="1846"/>
    </row>
    <row r="44" spans="1:10" ht="10.95" hidden="1" customHeight="1">
      <c r="A44" s="1450" t="s">
        <v>2275</v>
      </c>
      <c r="B44" s="1451">
        <v>46082</v>
      </c>
      <c r="C44" s="1450" t="s">
        <v>2494</v>
      </c>
      <c r="D44" s="1861">
        <v>1891802.55</v>
      </c>
      <c r="E44" s="1757">
        <f t="shared" si="3"/>
        <v>1891802.55</v>
      </c>
      <c r="F44" s="1847">
        <f t="shared" si="4"/>
        <v>1891802.55</v>
      </c>
      <c r="G44" s="1847"/>
      <c r="H44" s="1847"/>
      <c r="I44" s="1847"/>
      <c r="J44" s="1846"/>
    </row>
    <row r="45" spans="1:10" ht="10.95" hidden="1" customHeight="1">
      <c r="A45" s="1450" t="s">
        <v>2265</v>
      </c>
      <c r="B45" s="1451">
        <v>46086</v>
      </c>
      <c r="C45" s="1450" t="s">
        <v>2495</v>
      </c>
      <c r="D45" s="1861">
        <v>1222542.3500000001</v>
      </c>
      <c r="E45" s="1757">
        <f t="shared" si="3"/>
        <v>1222542.3500000001</v>
      </c>
      <c r="F45" s="1847">
        <f t="shared" si="4"/>
        <v>1222542.3500000001</v>
      </c>
      <c r="G45" s="1847"/>
      <c r="H45" s="1847"/>
      <c r="I45" s="1847"/>
      <c r="J45" s="1846"/>
    </row>
    <row r="46" spans="1:10" ht="10.95" hidden="1" customHeight="1">
      <c r="A46" s="1450" t="s">
        <v>2406</v>
      </c>
      <c r="B46" s="1451">
        <v>46086</v>
      </c>
      <c r="C46" s="1450" t="s">
        <v>2496</v>
      </c>
      <c r="D46" s="1861">
        <v>43956.18</v>
      </c>
      <c r="E46" s="1757">
        <f t="shared" si="3"/>
        <v>43956.18</v>
      </c>
      <c r="F46" s="1847">
        <f t="shared" si="4"/>
        <v>43956.18</v>
      </c>
      <c r="G46" s="1847"/>
      <c r="H46" s="1847"/>
      <c r="I46" s="1847"/>
      <c r="J46" s="1846"/>
    </row>
    <row r="47" spans="1:10" ht="10.95" hidden="1" customHeight="1">
      <c r="A47" s="1450" t="s">
        <v>2265</v>
      </c>
      <c r="B47" s="1451">
        <v>46088</v>
      </c>
      <c r="C47" s="1450" t="s">
        <v>2497</v>
      </c>
      <c r="D47" s="1861">
        <v>254795.89</v>
      </c>
      <c r="E47" s="1757">
        <f t="shared" si="3"/>
        <v>254795.89</v>
      </c>
      <c r="F47" s="1847">
        <f t="shared" si="4"/>
        <v>254795.89</v>
      </c>
      <c r="G47" s="1847"/>
      <c r="H47" s="1847"/>
      <c r="I47" s="1847"/>
      <c r="J47" s="1846"/>
    </row>
    <row r="48" spans="1:10" ht="10.95" hidden="1" customHeight="1">
      <c r="A48" s="1450" t="s">
        <v>2210</v>
      </c>
      <c r="B48" s="1451">
        <v>46090</v>
      </c>
      <c r="C48" s="1450" t="s">
        <v>2498</v>
      </c>
      <c r="D48" s="1861">
        <v>32092.59</v>
      </c>
      <c r="E48" s="1757">
        <f t="shared" si="3"/>
        <v>32092.59</v>
      </c>
      <c r="F48" s="1847">
        <f t="shared" si="4"/>
        <v>32092.59</v>
      </c>
      <c r="G48" s="1847"/>
      <c r="H48" s="1847"/>
      <c r="I48" s="1847"/>
      <c r="J48" s="1846"/>
    </row>
    <row r="49" spans="1:10" ht="10.95" hidden="1" customHeight="1">
      <c r="A49" s="1450" t="s">
        <v>2220</v>
      </c>
      <c r="B49" s="1451">
        <v>46090</v>
      </c>
      <c r="C49" s="1450" t="s">
        <v>2499</v>
      </c>
      <c r="D49" s="1861">
        <v>30841.21</v>
      </c>
      <c r="E49" s="1757">
        <f t="shared" si="3"/>
        <v>30841.21</v>
      </c>
      <c r="F49" s="1847">
        <f t="shared" si="4"/>
        <v>30841.21</v>
      </c>
      <c r="G49" s="1847"/>
      <c r="H49" s="1847"/>
      <c r="I49" s="1847"/>
      <c r="J49" s="1846"/>
    </row>
    <row r="50" spans="1:10" ht="10.95" hidden="1" customHeight="1">
      <c r="A50" s="1450" t="s">
        <v>2265</v>
      </c>
      <c r="B50" s="1451">
        <v>46094</v>
      </c>
      <c r="C50" s="1450" t="s">
        <v>2500</v>
      </c>
      <c r="D50" s="1861">
        <v>240640.56</v>
      </c>
      <c r="E50" s="1757">
        <f t="shared" si="3"/>
        <v>240640.56</v>
      </c>
      <c r="F50" s="1847">
        <f t="shared" si="4"/>
        <v>240640.56</v>
      </c>
      <c r="G50" s="1847"/>
      <c r="H50" s="1847"/>
      <c r="I50" s="1847"/>
      <c r="J50" s="1846"/>
    </row>
    <row r="51" spans="1:10" ht="10.95" hidden="1" customHeight="1">
      <c r="A51" s="1450" t="s">
        <v>2265</v>
      </c>
      <c r="B51" s="1451">
        <v>46094</v>
      </c>
      <c r="C51" s="1450" t="s">
        <v>2501</v>
      </c>
      <c r="D51" s="1861">
        <v>254795.89</v>
      </c>
      <c r="E51" s="1757">
        <f t="shared" si="3"/>
        <v>254795.89</v>
      </c>
      <c r="F51" s="1847">
        <f t="shared" si="4"/>
        <v>254795.89</v>
      </c>
      <c r="G51" s="1847"/>
      <c r="H51" s="1847"/>
      <c r="I51" s="1847"/>
      <c r="J51" s="1846"/>
    </row>
    <row r="52" spans="1:10" ht="10.95" hidden="1" customHeight="1">
      <c r="A52" s="1450" t="s">
        <v>2220</v>
      </c>
      <c r="B52" s="1451">
        <v>46094</v>
      </c>
      <c r="C52" s="1450" t="s">
        <v>2502</v>
      </c>
      <c r="D52" s="1861">
        <v>6786.24</v>
      </c>
      <c r="E52" s="1757">
        <f t="shared" si="3"/>
        <v>6786.24</v>
      </c>
      <c r="F52" s="1847">
        <f t="shared" si="4"/>
        <v>6786.24</v>
      </c>
      <c r="G52" s="1847"/>
      <c r="H52" s="1847"/>
      <c r="I52" s="1847"/>
      <c r="J52" s="1846"/>
    </row>
    <row r="53" spans="1:10" ht="10.95" hidden="1" customHeight="1">
      <c r="A53" s="1450" t="s">
        <v>2210</v>
      </c>
      <c r="B53" s="1451">
        <v>46095</v>
      </c>
      <c r="C53" s="1450" t="s">
        <v>2503</v>
      </c>
      <c r="D53" s="1861">
        <v>90996.23</v>
      </c>
      <c r="E53" s="1757">
        <f t="shared" si="3"/>
        <v>90996.23</v>
      </c>
      <c r="F53" s="1847">
        <f t="shared" si="4"/>
        <v>90996.23</v>
      </c>
      <c r="G53" s="1847"/>
      <c r="H53" s="1847"/>
      <c r="I53" s="1847"/>
      <c r="J53" s="1846"/>
    </row>
    <row r="54" spans="1:10" ht="10.95" hidden="1" customHeight="1">
      <c r="A54" s="1450" t="s">
        <v>2265</v>
      </c>
      <c r="B54" s="1451">
        <v>46097</v>
      </c>
      <c r="C54" s="1450" t="s">
        <v>2504</v>
      </c>
      <c r="D54" s="1861">
        <v>319868.94</v>
      </c>
      <c r="E54" s="1757">
        <f t="shared" si="3"/>
        <v>319868.94</v>
      </c>
      <c r="F54" s="1847">
        <f t="shared" si="4"/>
        <v>319868.94</v>
      </c>
      <c r="G54" s="1847"/>
      <c r="H54" s="1847"/>
      <c r="I54" s="1847"/>
      <c r="J54" s="1846"/>
    </row>
    <row r="55" spans="1:10" ht="10.95" hidden="1" customHeight="1">
      <c r="A55" s="1450" t="s">
        <v>2267</v>
      </c>
      <c r="B55" s="1451">
        <v>46098</v>
      </c>
      <c r="C55" s="1450" t="s">
        <v>2505</v>
      </c>
      <c r="D55" s="1861">
        <v>28249.200000000001</v>
      </c>
      <c r="E55" s="1757">
        <f t="shared" si="3"/>
        <v>28249.200000000001</v>
      </c>
      <c r="F55" s="1847">
        <f t="shared" si="4"/>
        <v>28249.200000000001</v>
      </c>
      <c r="G55" s="1847"/>
      <c r="H55" s="1847"/>
      <c r="I55" s="1847"/>
      <c r="J55" s="1846"/>
    </row>
    <row r="56" spans="1:10" ht="10.95" hidden="1" customHeight="1">
      <c r="A56" s="1450" t="s">
        <v>2506</v>
      </c>
      <c r="B56" s="1451">
        <v>46098</v>
      </c>
      <c r="C56" s="1450" t="s">
        <v>2507</v>
      </c>
      <c r="D56" s="1861">
        <v>408000</v>
      </c>
      <c r="E56" s="1757">
        <f t="shared" si="3"/>
        <v>408000</v>
      </c>
      <c r="F56" s="1847">
        <f t="shared" si="4"/>
        <v>408000</v>
      </c>
      <c r="G56" s="1847"/>
      <c r="H56" s="1847"/>
      <c r="I56" s="1847"/>
      <c r="J56" s="1846"/>
    </row>
    <row r="57" spans="1:10" ht="10.95" hidden="1" customHeight="1">
      <c r="A57" s="1450" t="s">
        <v>2506</v>
      </c>
      <c r="B57" s="1451">
        <v>46098</v>
      </c>
      <c r="C57" s="1450" t="s">
        <v>2508</v>
      </c>
      <c r="D57" s="1861">
        <v>281450</v>
      </c>
      <c r="E57" s="1757">
        <f t="shared" si="3"/>
        <v>281450</v>
      </c>
      <c r="F57" s="1847">
        <f t="shared" ref="F57:F84" si="5">+D57</f>
        <v>281450</v>
      </c>
      <c r="G57" s="1847"/>
      <c r="H57" s="1847"/>
      <c r="I57" s="1847"/>
      <c r="J57" s="1846"/>
    </row>
    <row r="58" spans="1:10" ht="10.95" hidden="1" customHeight="1">
      <c r="A58" s="1450" t="s">
        <v>1116</v>
      </c>
      <c r="B58" s="1451">
        <v>46099</v>
      </c>
      <c r="C58" s="1450" t="s">
        <v>2509</v>
      </c>
      <c r="D58" s="1861">
        <v>342501.72</v>
      </c>
      <c r="E58" s="1757">
        <f t="shared" si="3"/>
        <v>342501.72</v>
      </c>
      <c r="F58" s="1847">
        <f t="shared" si="5"/>
        <v>342501.72</v>
      </c>
      <c r="G58" s="1847"/>
      <c r="H58" s="1847"/>
      <c r="I58" s="1847"/>
      <c r="J58" s="1846"/>
    </row>
    <row r="59" spans="1:10" ht="10.95" hidden="1" customHeight="1">
      <c r="A59" s="1450" t="s">
        <v>2220</v>
      </c>
      <c r="B59" s="1451">
        <v>46099</v>
      </c>
      <c r="C59" s="1450" t="s">
        <v>2510</v>
      </c>
      <c r="D59" s="1861">
        <v>28120.77</v>
      </c>
      <c r="E59" s="1757">
        <f t="shared" si="3"/>
        <v>28120.77</v>
      </c>
      <c r="F59" s="1847">
        <f t="shared" si="5"/>
        <v>28120.77</v>
      </c>
      <c r="G59" s="1847"/>
      <c r="H59" s="1847"/>
      <c r="I59" s="1847"/>
      <c r="J59" s="1846"/>
    </row>
    <row r="60" spans="1:10" ht="10.95" hidden="1" customHeight="1">
      <c r="A60" s="1450" t="s">
        <v>2220</v>
      </c>
      <c r="B60" s="1451">
        <v>46099</v>
      </c>
      <c r="C60" s="1450" t="s">
        <v>2511</v>
      </c>
      <c r="D60" s="1861">
        <v>190525.06</v>
      </c>
      <c r="E60" s="1757">
        <f t="shared" si="3"/>
        <v>190525.06</v>
      </c>
      <c r="F60" s="1847">
        <f t="shared" si="5"/>
        <v>190525.06</v>
      </c>
      <c r="G60" s="1847"/>
      <c r="H60" s="1847"/>
      <c r="I60" s="1847"/>
      <c r="J60" s="1846"/>
    </row>
    <row r="61" spans="1:10" ht="10.95" hidden="1" customHeight="1">
      <c r="A61" s="1450" t="s">
        <v>1116</v>
      </c>
      <c r="B61" s="1451">
        <v>46101</v>
      </c>
      <c r="C61" s="1450" t="s">
        <v>2512</v>
      </c>
      <c r="D61" s="1861">
        <v>192467</v>
      </c>
      <c r="E61" s="1757">
        <f t="shared" si="3"/>
        <v>192467</v>
      </c>
      <c r="F61" s="1847">
        <f t="shared" si="5"/>
        <v>192467</v>
      </c>
      <c r="G61" s="1847"/>
      <c r="H61" s="1847"/>
      <c r="I61" s="1847"/>
      <c r="J61" s="1846"/>
    </row>
    <row r="62" spans="1:10" ht="10.95" hidden="1" customHeight="1">
      <c r="A62" s="1450" t="s">
        <v>2210</v>
      </c>
      <c r="B62" s="1451">
        <v>46102</v>
      </c>
      <c r="C62" s="1450" t="s">
        <v>2513</v>
      </c>
      <c r="D62" s="1861">
        <v>11750.14</v>
      </c>
      <c r="E62" s="1757">
        <f t="shared" si="3"/>
        <v>11750.14</v>
      </c>
      <c r="F62" s="1847">
        <f t="shared" si="5"/>
        <v>11750.14</v>
      </c>
      <c r="G62" s="1847"/>
      <c r="H62" s="1847"/>
      <c r="I62" s="1847"/>
      <c r="J62" s="1846"/>
    </row>
    <row r="63" spans="1:10" ht="10.95" hidden="1" customHeight="1">
      <c r="A63" s="1450" t="s">
        <v>2220</v>
      </c>
      <c r="B63" s="1451">
        <v>46104</v>
      </c>
      <c r="C63" s="1450" t="s">
        <v>2514</v>
      </c>
      <c r="D63" s="1861">
        <v>9786.5300000000007</v>
      </c>
      <c r="E63" s="1757">
        <f t="shared" si="3"/>
        <v>9786.5300000000007</v>
      </c>
      <c r="F63" s="1847">
        <f t="shared" si="5"/>
        <v>9786.5300000000007</v>
      </c>
      <c r="G63" s="1847"/>
      <c r="H63" s="1847"/>
      <c r="I63" s="1847"/>
      <c r="J63" s="1846"/>
    </row>
    <row r="64" spans="1:10" ht="10.95" hidden="1" customHeight="1">
      <c r="A64" s="1450" t="s">
        <v>715</v>
      </c>
      <c r="B64" s="1451">
        <v>46105</v>
      </c>
      <c r="C64" s="1450" t="s">
        <v>2515</v>
      </c>
      <c r="D64" s="1861">
        <v>1695129.06</v>
      </c>
      <c r="E64" s="1757">
        <f t="shared" si="3"/>
        <v>1695129.06</v>
      </c>
      <c r="F64" s="1847">
        <f t="shared" si="5"/>
        <v>1695129.06</v>
      </c>
      <c r="G64" s="1847"/>
      <c r="H64" s="1847"/>
      <c r="I64" s="1847"/>
      <c r="J64" s="1846"/>
    </row>
    <row r="65" spans="1:10" ht="10.95" hidden="1" customHeight="1">
      <c r="A65" s="1450" t="s">
        <v>1116</v>
      </c>
      <c r="B65" s="1451">
        <v>46106</v>
      </c>
      <c r="C65" s="1450" t="s">
        <v>2516</v>
      </c>
      <c r="D65" s="1861">
        <v>5225</v>
      </c>
      <c r="E65" s="1757">
        <f t="shared" si="3"/>
        <v>5225</v>
      </c>
      <c r="F65" s="1847">
        <f t="shared" si="5"/>
        <v>5225</v>
      </c>
      <c r="G65" s="1847"/>
      <c r="H65" s="1847"/>
      <c r="I65" s="1847"/>
      <c r="J65" s="1846"/>
    </row>
    <row r="66" spans="1:10" ht="10.95" hidden="1" customHeight="1">
      <c r="A66" s="1450" t="s">
        <v>2517</v>
      </c>
      <c r="B66" s="1451">
        <v>46106</v>
      </c>
      <c r="C66" s="1450" t="s">
        <v>2518</v>
      </c>
      <c r="D66" s="1861">
        <v>39100.97</v>
      </c>
      <c r="E66" s="1757">
        <f t="shared" si="3"/>
        <v>39100.97</v>
      </c>
      <c r="F66" s="1847">
        <f t="shared" si="5"/>
        <v>39100.97</v>
      </c>
      <c r="G66" s="1847"/>
      <c r="H66" s="1847"/>
      <c r="I66" s="1847"/>
      <c r="J66" s="1846"/>
    </row>
    <row r="67" spans="1:10" ht="10.95" hidden="1" customHeight="1">
      <c r="A67" s="1450" t="s">
        <v>2517</v>
      </c>
      <c r="B67" s="1451">
        <v>46106</v>
      </c>
      <c r="C67" s="1450" t="s">
        <v>2519</v>
      </c>
      <c r="D67" s="1861">
        <v>20899.03</v>
      </c>
      <c r="E67" s="1757">
        <f t="shared" si="3"/>
        <v>20899.03</v>
      </c>
      <c r="F67" s="1847">
        <f t="shared" si="5"/>
        <v>20899.03</v>
      </c>
      <c r="G67" s="1847"/>
      <c r="H67" s="1847"/>
      <c r="I67" s="1847"/>
      <c r="J67" s="1846"/>
    </row>
    <row r="68" spans="1:10" ht="10.95" hidden="1" customHeight="1">
      <c r="A68" s="1450" t="s">
        <v>2517</v>
      </c>
      <c r="B68" s="1451">
        <v>46106</v>
      </c>
      <c r="C68" s="1450" t="s">
        <v>2520</v>
      </c>
      <c r="D68" s="1861">
        <v>182000</v>
      </c>
      <c r="E68" s="1757">
        <f t="shared" si="3"/>
        <v>182000</v>
      </c>
      <c r="F68" s="1847">
        <f t="shared" si="5"/>
        <v>182000</v>
      </c>
      <c r="G68" s="1847"/>
      <c r="H68" s="1847"/>
      <c r="I68" s="1847"/>
      <c r="J68" s="1846"/>
    </row>
    <row r="69" spans="1:10" ht="10.95" hidden="1" customHeight="1">
      <c r="A69" s="1450" t="s">
        <v>2521</v>
      </c>
      <c r="B69" s="1451">
        <v>46106</v>
      </c>
      <c r="C69" s="1450" t="s">
        <v>2522</v>
      </c>
      <c r="D69" s="1861">
        <v>30000</v>
      </c>
      <c r="E69" s="1757">
        <f t="shared" si="3"/>
        <v>30000</v>
      </c>
      <c r="F69" s="1847">
        <f t="shared" si="5"/>
        <v>30000</v>
      </c>
      <c r="G69" s="1847"/>
      <c r="H69" s="1847"/>
      <c r="I69" s="1847"/>
      <c r="J69" s="1846"/>
    </row>
    <row r="70" spans="1:10" ht="10.95" hidden="1" customHeight="1">
      <c r="A70" s="1450" t="s">
        <v>2521</v>
      </c>
      <c r="B70" s="1451">
        <v>46106</v>
      </c>
      <c r="C70" s="1450" t="s">
        <v>2523</v>
      </c>
      <c r="D70" s="1861">
        <v>215656.38</v>
      </c>
      <c r="E70" s="1757">
        <f t="shared" si="3"/>
        <v>215656.38</v>
      </c>
      <c r="F70" s="1847">
        <f t="shared" si="5"/>
        <v>215656.38</v>
      </c>
      <c r="G70" s="1847"/>
      <c r="H70" s="1847"/>
      <c r="I70" s="1847"/>
      <c r="J70" s="1846"/>
    </row>
    <row r="71" spans="1:10" ht="10.95" hidden="1" customHeight="1">
      <c r="A71" s="1450" t="s">
        <v>2524</v>
      </c>
      <c r="B71" s="1451">
        <v>46106</v>
      </c>
      <c r="C71" s="1450" t="s">
        <v>2525</v>
      </c>
      <c r="D71" s="1861">
        <v>219293.19</v>
      </c>
      <c r="E71" s="1757">
        <f t="shared" si="3"/>
        <v>219293.19</v>
      </c>
      <c r="F71" s="1847">
        <f t="shared" si="5"/>
        <v>219293.19</v>
      </c>
      <c r="G71" s="1847"/>
      <c r="H71" s="1847"/>
      <c r="I71" s="1847"/>
      <c r="J71" s="1846"/>
    </row>
    <row r="72" spans="1:10" ht="10.95" hidden="1" customHeight="1">
      <c r="A72" s="1450" t="s">
        <v>2524</v>
      </c>
      <c r="B72" s="1451">
        <v>46106</v>
      </c>
      <c r="C72" s="1450" t="s">
        <v>2526</v>
      </c>
      <c r="D72" s="1861">
        <v>27035.18</v>
      </c>
      <c r="E72" s="1757">
        <f t="shared" si="3"/>
        <v>27035.18</v>
      </c>
      <c r="F72" s="1847">
        <f t="shared" si="5"/>
        <v>27035.18</v>
      </c>
      <c r="G72" s="1847"/>
      <c r="H72" s="1847"/>
      <c r="I72" s="1847"/>
      <c r="J72" s="1846"/>
    </row>
    <row r="73" spans="1:10" ht="10.95" hidden="1" customHeight="1">
      <c r="A73" s="1450" t="s">
        <v>2524</v>
      </c>
      <c r="B73" s="1451">
        <v>46106</v>
      </c>
      <c r="C73" s="1450" t="s">
        <v>2527</v>
      </c>
      <c r="D73" s="1861">
        <v>251643.46</v>
      </c>
      <c r="E73" s="1757">
        <f t="shared" si="3"/>
        <v>251643.46</v>
      </c>
      <c r="F73" s="1847">
        <f t="shared" si="5"/>
        <v>251643.46</v>
      </c>
      <c r="G73" s="1847"/>
      <c r="H73" s="1847"/>
      <c r="I73" s="1847"/>
      <c r="J73" s="1846"/>
    </row>
    <row r="74" spans="1:10" ht="10.95" hidden="1" customHeight="1">
      <c r="A74" s="1450" t="s">
        <v>2528</v>
      </c>
      <c r="B74" s="1451">
        <v>46106</v>
      </c>
      <c r="C74" s="1450" t="s">
        <v>2529</v>
      </c>
      <c r="D74" s="1861">
        <v>507.54</v>
      </c>
      <c r="E74" s="1757">
        <f t="shared" si="3"/>
        <v>507.54</v>
      </c>
      <c r="F74" s="1847">
        <f t="shared" si="5"/>
        <v>507.54</v>
      </c>
      <c r="G74" s="1847"/>
      <c r="H74" s="1847"/>
      <c r="I74" s="1847"/>
      <c r="J74" s="1846"/>
    </row>
    <row r="75" spans="1:10" ht="10.95" hidden="1" customHeight="1">
      <c r="A75" s="1450" t="s">
        <v>2484</v>
      </c>
      <c r="B75" s="1451">
        <v>46106</v>
      </c>
      <c r="C75" s="1450" t="s">
        <v>2530</v>
      </c>
      <c r="D75" s="1861">
        <v>30866.55</v>
      </c>
      <c r="E75" s="1757">
        <f t="shared" si="3"/>
        <v>30866.55</v>
      </c>
      <c r="F75" s="1847">
        <f t="shared" si="5"/>
        <v>30866.55</v>
      </c>
      <c r="G75" s="1847"/>
      <c r="H75" s="1847"/>
      <c r="I75" s="1847"/>
      <c r="J75" s="1846"/>
    </row>
    <row r="76" spans="1:10" ht="10.95" hidden="1" customHeight="1">
      <c r="A76" s="1450" t="s">
        <v>2484</v>
      </c>
      <c r="B76" s="1451">
        <v>46106</v>
      </c>
      <c r="C76" s="1450" t="s">
        <v>2531</v>
      </c>
      <c r="D76" s="1861">
        <v>9000</v>
      </c>
      <c r="E76" s="1757">
        <f t="shared" si="3"/>
        <v>9000</v>
      </c>
      <c r="F76" s="1847">
        <f t="shared" si="5"/>
        <v>9000</v>
      </c>
      <c r="G76" s="1847"/>
      <c r="H76" s="1847"/>
      <c r="I76" s="1847"/>
      <c r="J76" s="1846"/>
    </row>
    <row r="77" spans="1:10" ht="10.95" hidden="1" customHeight="1">
      <c r="A77" s="1450" t="s">
        <v>2484</v>
      </c>
      <c r="B77" s="1451">
        <v>46106</v>
      </c>
      <c r="C77" s="1450" t="s">
        <v>2532</v>
      </c>
      <c r="D77" s="1861">
        <v>238258.54</v>
      </c>
      <c r="E77" s="1757">
        <f t="shared" si="3"/>
        <v>238258.54</v>
      </c>
      <c r="F77" s="1847">
        <f t="shared" si="5"/>
        <v>238258.54</v>
      </c>
      <c r="G77" s="1847"/>
      <c r="H77" s="1847"/>
      <c r="I77" s="1847"/>
      <c r="J77" s="1846"/>
    </row>
    <row r="78" spans="1:10" ht="10.95" hidden="1" customHeight="1">
      <c r="A78" s="1450" t="s">
        <v>2484</v>
      </c>
      <c r="B78" s="1451">
        <v>46106</v>
      </c>
      <c r="C78" s="1450" t="s">
        <v>2533</v>
      </c>
      <c r="D78" s="1861">
        <v>42857.15</v>
      </c>
      <c r="E78" s="1757">
        <f t="shared" si="3"/>
        <v>42857.15</v>
      </c>
      <c r="F78" s="1847">
        <f t="shared" si="5"/>
        <v>42857.15</v>
      </c>
      <c r="G78" s="1847"/>
      <c r="H78" s="1847"/>
      <c r="I78" s="1847"/>
      <c r="J78" s="1846"/>
    </row>
    <row r="79" spans="1:10" ht="10.95" hidden="1" customHeight="1">
      <c r="A79" s="1450" t="s">
        <v>2534</v>
      </c>
      <c r="B79" s="1451">
        <v>46106</v>
      </c>
      <c r="C79" s="1450" t="s">
        <v>2535</v>
      </c>
      <c r="D79" s="1861">
        <v>501095.22</v>
      </c>
      <c r="E79" s="1757">
        <f t="shared" si="3"/>
        <v>501095.22</v>
      </c>
      <c r="F79" s="1847">
        <f t="shared" si="5"/>
        <v>501095.22</v>
      </c>
      <c r="G79" s="1847"/>
      <c r="H79" s="1847"/>
      <c r="I79" s="1847"/>
      <c r="J79" s="1846"/>
    </row>
    <row r="80" spans="1:10" ht="10.95" hidden="1" customHeight="1">
      <c r="A80" s="1450" t="s">
        <v>2536</v>
      </c>
      <c r="B80" s="1451">
        <v>46106</v>
      </c>
      <c r="C80" s="1450" t="s">
        <v>2537</v>
      </c>
      <c r="D80" s="1861">
        <v>181248.42</v>
      </c>
      <c r="E80" s="1757">
        <f t="shared" si="3"/>
        <v>181248.42</v>
      </c>
      <c r="F80" s="1847">
        <f t="shared" si="5"/>
        <v>181248.42</v>
      </c>
      <c r="G80" s="1847"/>
      <c r="H80" s="1847"/>
      <c r="I80" s="1847"/>
      <c r="J80" s="1846"/>
    </row>
    <row r="81" spans="1:13" ht="10.95" hidden="1" customHeight="1">
      <c r="A81" s="1450" t="s">
        <v>2536</v>
      </c>
      <c r="B81" s="1451">
        <v>46106</v>
      </c>
      <c r="C81" s="1450" t="s">
        <v>2538</v>
      </c>
      <c r="D81" s="1861">
        <v>43439.71</v>
      </c>
      <c r="E81" s="1757">
        <f t="shared" si="3"/>
        <v>43439.71</v>
      </c>
      <c r="F81" s="1847">
        <f t="shared" si="5"/>
        <v>43439.71</v>
      </c>
      <c r="G81" s="1847"/>
      <c r="H81" s="1847"/>
      <c r="I81" s="1847"/>
      <c r="J81" s="1846"/>
    </row>
    <row r="82" spans="1:13" ht="10.95" hidden="1" customHeight="1">
      <c r="A82" s="1450" t="s">
        <v>1116</v>
      </c>
      <c r="B82" s="1451">
        <v>46107</v>
      </c>
      <c r="C82" s="1450" t="s">
        <v>2539</v>
      </c>
      <c r="D82" s="1861">
        <v>6240</v>
      </c>
      <c r="E82" s="1757">
        <f t="shared" si="3"/>
        <v>6240</v>
      </c>
      <c r="F82" s="1847">
        <f t="shared" si="5"/>
        <v>6240</v>
      </c>
      <c r="G82" s="1847"/>
      <c r="H82" s="1847"/>
      <c r="I82" s="1847"/>
      <c r="J82" s="1846"/>
    </row>
    <row r="83" spans="1:13" ht="10.95" hidden="1" customHeight="1">
      <c r="A83" s="1450" t="s">
        <v>1116</v>
      </c>
      <c r="B83" s="1451">
        <v>46107</v>
      </c>
      <c r="C83" s="1450" t="s">
        <v>2540</v>
      </c>
      <c r="D83" s="1861">
        <v>675000</v>
      </c>
      <c r="E83" s="1757">
        <f t="shared" si="3"/>
        <v>675000</v>
      </c>
      <c r="F83" s="1847">
        <f t="shared" si="5"/>
        <v>675000</v>
      </c>
      <c r="G83" s="1847"/>
      <c r="H83" s="1847"/>
      <c r="I83" s="1847"/>
      <c r="J83" s="1846"/>
    </row>
    <row r="84" spans="1:13" ht="10.95" hidden="1" customHeight="1">
      <c r="A84" s="1450" t="s">
        <v>1116</v>
      </c>
      <c r="B84" s="1451">
        <v>46108</v>
      </c>
      <c r="C84" s="1450" t="s">
        <v>2541</v>
      </c>
      <c r="D84" s="1861">
        <v>6240</v>
      </c>
      <c r="E84" s="1757">
        <f t="shared" si="3"/>
        <v>6240</v>
      </c>
      <c r="F84" s="1847">
        <f t="shared" si="5"/>
        <v>6240</v>
      </c>
      <c r="G84" s="1847"/>
      <c r="H84" s="1847"/>
      <c r="I84" s="1847"/>
      <c r="J84" s="1846"/>
    </row>
    <row r="85" spans="1:13" ht="10.95" hidden="1" customHeight="1">
      <c r="A85" s="1450" t="s">
        <v>2265</v>
      </c>
      <c r="B85" s="1451">
        <v>46108</v>
      </c>
      <c r="C85" s="1450" t="s">
        <v>2542</v>
      </c>
      <c r="D85" s="1861">
        <v>240640.56</v>
      </c>
      <c r="E85" s="1757">
        <f t="shared" si="3"/>
        <v>240640.56</v>
      </c>
      <c r="F85" s="1847"/>
      <c r="G85" s="1847">
        <f t="shared" ref="G85:G91" si="6">+D85</f>
        <v>240640.56</v>
      </c>
      <c r="H85" s="1847"/>
      <c r="I85" s="1847"/>
      <c r="J85" s="1846"/>
    </row>
    <row r="86" spans="1:13" ht="10.95" hidden="1" customHeight="1">
      <c r="A86" s="1450" t="s">
        <v>2265</v>
      </c>
      <c r="B86" s="1451">
        <v>46111</v>
      </c>
      <c r="C86" s="1450" t="s">
        <v>2543</v>
      </c>
      <c r="D86" s="1861">
        <v>495436.45</v>
      </c>
      <c r="E86" s="1757">
        <f t="shared" si="3"/>
        <v>495436.45</v>
      </c>
      <c r="F86" s="1847"/>
      <c r="G86" s="1847">
        <f t="shared" si="6"/>
        <v>495436.45</v>
      </c>
      <c r="H86" s="1847"/>
      <c r="I86" s="1847"/>
      <c r="J86" s="1846"/>
    </row>
    <row r="87" spans="1:13" ht="10.95" hidden="1" customHeight="1">
      <c r="A87" s="1450" t="s">
        <v>2210</v>
      </c>
      <c r="B87" s="1451">
        <v>46111</v>
      </c>
      <c r="C87" s="1450" t="s">
        <v>2544</v>
      </c>
      <c r="D87" s="1861">
        <v>112530.26</v>
      </c>
      <c r="E87" s="1757">
        <f t="shared" si="3"/>
        <v>112530.26</v>
      </c>
      <c r="F87" s="1847"/>
      <c r="G87" s="1847">
        <f t="shared" si="6"/>
        <v>112530.26</v>
      </c>
      <c r="H87" s="1847"/>
      <c r="I87" s="1847"/>
      <c r="J87" s="1846"/>
    </row>
    <row r="88" spans="1:13" ht="10.95" hidden="1" customHeight="1">
      <c r="A88" s="1450" t="s">
        <v>2210</v>
      </c>
      <c r="B88" s="1451">
        <v>46111</v>
      </c>
      <c r="C88" s="1450" t="s">
        <v>2545</v>
      </c>
      <c r="D88" s="1861">
        <v>35548.639999999999</v>
      </c>
      <c r="E88" s="1757">
        <f t="shared" si="3"/>
        <v>35548.639999999999</v>
      </c>
      <c r="F88" s="1847"/>
      <c r="G88" s="1847">
        <f t="shared" si="6"/>
        <v>35548.639999999999</v>
      </c>
      <c r="H88" s="1847"/>
      <c r="I88" s="1847"/>
      <c r="J88" s="1846"/>
    </row>
    <row r="89" spans="1:13" ht="10.95" hidden="1" customHeight="1">
      <c r="A89" s="1450" t="s">
        <v>2506</v>
      </c>
      <c r="B89" s="1451">
        <v>46111</v>
      </c>
      <c r="C89" s="1450" t="s">
        <v>2546</v>
      </c>
      <c r="D89" s="1861">
        <v>175200</v>
      </c>
      <c r="E89" s="1757">
        <f t="shared" ref="E89:E97" si="7">SUM(F89:J89)</f>
        <v>175200</v>
      </c>
      <c r="F89" s="1847"/>
      <c r="G89" s="1847">
        <f t="shared" si="6"/>
        <v>175200</v>
      </c>
      <c r="H89" s="1847"/>
      <c r="I89" s="1847"/>
      <c r="J89" s="1846"/>
    </row>
    <row r="90" spans="1:13" ht="10.95" hidden="1" customHeight="1">
      <c r="A90" s="1450" t="s">
        <v>2220</v>
      </c>
      <c r="B90" s="1451">
        <v>46111</v>
      </c>
      <c r="C90" s="1450" t="s">
        <v>2547</v>
      </c>
      <c r="D90" s="1861">
        <v>70.8</v>
      </c>
      <c r="E90" s="1757">
        <f t="shared" si="7"/>
        <v>70.8</v>
      </c>
      <c r="F90" s="1847"/>
      <c r="G90" s="1847">
        <f t="shared" si="6"/>
        <v>70.8</v>
      </c>
      <c r="H90" s="1847"/>
      <c r="I90" s="1847"/>
      <c r="J90" s="1846"/>
    </row>
    <row r="91" spans="1:13" ht="10.95" hidden="1" customHeight="1">
      <c r="A91" s="1450" t="s">
        <v>2220</v>
      </c>
      <c r="B91" s="1451">
        <v>46111</v>
      </c>
      <c r="C91" s="1450" t="s">
        <v>2548</v>
      </c>
      <c r="D91" s="1861">
        <v>247268.71</v>
      </c>
      <c r="E91" s="1757">
        <f t="shared" si="7"/>
        <v>247268.71</v>
      </c>
      <c r="F91" s="1847"/>
      <c r="G91" s="1847">
        <f t="shared" si="6"/>
        <v>247268.71</v>
      </c>
      <c r="H91" s="1847"/>
      <c r="I91" s="1847"/>
      <c r="J91" s="1846"/>
    </row>
    <row r="92" spans="1:13" ht="10.95" hidden="1" customHeight="1">
      <c r="A92" s="1450" t="s">
        <v>1116</v>
      </c>
      <c r="B92" s="1451">
        <v>46112</v>
      </c>
      <c r="C92" s="1450" t="s">
        <v>2549</v>
      </c>
      <c r="D92" s="1861">
        <v>126809</v>
      </c>
      <c r="E92" s="1757">
        <f t="shared" si="7"/>
        <v>126809</v>
      </c>
      <c r="F92" s="1847">
        <f>+D92</f>
        <v>126809</v>
      </c>
      <c r="G92" s="1847"/>
      <c r="H92" s="1847"/>
      <c r="I92" s="1847"/>
      <c r="J92" s="1846"/>
    </row>
    <row r="93" spans="1:13" ht="10.95" hidden="1" customHeight="1">
      <c r="A93" s="1450" t="s">
        <v>2265</v>
      </c>
      <c r="B93" s="1451">
        <v>46112</v>
      </c>
      <c r="C93" s="1450" t="s">
        <v>2550</v>
      </c>
      <c r="D93" s="1861">
        <v>1338262.28</v>
      </c>
      <c r="E93" s="1757">
        <f t="shared" si="7"/>
        <v>1338262.28</v>
      </c>
      <c r="F93" s="1847"/>
      <c r="G93" s="1847">
        <f>+D93</f>
        <v>1338262.28</v>
      </c>
      <c r="H93" s="1847"/>
      <c r="I93" s="1847"/>
      <c r="J93" s="1846"/>
    </row>
    <row r="94" spans="1:13" ht="10.95" hidden="1" customHeight="1">
      <c r="A94" s="1450" t="s">
        <v>2265</v>
      </c>
      <c r="B94" s="1451">
        <v>46112</v>
      </c>
      <c r="C94" s="1450" t="s">
        <v>2551</v>
      </c>
      <c r="D94" s="1861">
        <v>240640.56</v>
      </c>
      <c r="E94" s="1757">
        <f t="shared" si="7"/>
        <v>240640.56</v>
      </c>
      <c r="F94" s="1847"/>
      <c r="G94" s="1847">
        <f>+D94</f>
        <v>240640.56</v>
      </c>
      <c r="H94" s="1847"/>
      <c r="I94" s="1847"/>
      <c r="J94" s="1846"/>
    </row>
    <row r="95" spans="1:13" ht="10.95" customHeight="1">
      <c r="A95" s="1450" t="s">
        <v>2552</v>
      </c>
      <c r="B95" s="1451">
        <v>46112</v>
      </c>
      <c r="C95" s="1450" t="s">
        <v>2553</v>
      </c>
      <c r="D95" s="1861">
        <v>47000</v>
      </c>
      <c r="E95" s="1757">
        <f t="shared" si="7"/>
        <v>47000</v>
      </c>
      <c r="F95" s="1847">
        <f>+D95</f>
        <v>47000</v>
      </c>
      <c r="G95" s="1847"/>
      <c r="H95" s="1847"/>
      <c r="I95" s="1847"/>
      <c r="J95" s="1846"/>
      <c r="M95" s="1568" t="s">
        <v>1765</v>
      </c>
    </row>
    <row r="96" spans="1:13" ht="10.95" customHeight="1">
      <c r="A96" s="1450" t="s">
        <v>2554</v>
      </c>
      <c r="B96" s="1451">
        <v>46112</v>
      </c>
      <c r="C96" s="1450" t="s">
        <v>2555</v>
      </c>
      <c r="D96" s="1861">
        <v>75455.38</v>
      </c>
      <c r="E96" s="1757">
        <f t="shared" si="7"/>
        <v>75455.38</v>
      </c>
      <c r="F96" s="1847">
        <f>+D96</f>
        <v>75455.38</v>
      </c>
      <c r="G96" s="1847"/>
      <c r="H96" s="1847"/>
      <c r="I96" s="1847"/>
      <c r="J96" s="1846"/>
      <c r="L96" s="1440" t="s">
        <v>2601</v>
      </c>
      <c r="M96" s="1568">
        <f>+'Costos a Mar-26'!R9</f>
        <v>33213370.960000001</v>
      </c>
    </row>
    <row r="97" spans="1:15" ht="10.95" customHeight="1">
      <c r="A97" s="1450" t="s">
        <v>2484</v>
      </c>
      <c r="B97" s="1451">
        <v>46112</v>
      </c>
      <c r="C97" s="1450" t="s">
        <v>2556</v>
      </c>
      <c r="D97" s="1861">
        <v>71428.570000000007</v>
      </c>
      <c r="E97" s="1757">
        <f t="shared" si="7"/>
        <v>71428.570000000007</v>
      </c>
      <c r="F97" s="1847">
        <f>+D97</f>
        <v>71428.570000000007</v>
      </c>
      <c r="G97" s="1847"/>
      <c r="H97" s="1847"/>
      <c r="I97" s="1847"/>
      <c r="J97" s="1846"/>
      <c r="L97" s="1444" t="s">
        <v>2052</v>
      </c>
      <c r="M97" s="1780">
        <f>+D100</f>
        <v>16807382.420000006</v>
      </c>
    </row>
    <row r="98" spans="1:15" ht="10.95" customHeight="1">
      <c r="A98" s="1672" t="s">
        <v>2346</v>
      </c>
      <c r="B98" s="1673"/>
      <c r="C98" s="1672"/>
      <c r="D98" s="1843"/>
      <c r="E98" s="1757">
        <f>SUM(F98:J98)</f>
        <v>245698781.46000001</v>
      </c>
      <c r="F98" s="1771">
        <f>29200000+9000000-M102</f>
        <v>40398781.460000008</v>
      </c>
      <c r="G98" s="1771">
        <f>38000000+9000000</f>
        <v>47000000</v>
      </c>
      <c r="H98" s="1771">
        <f>68100000+7000000</f>
        <v>75100000</v>
      </c>
      <c r="I98" s="1771">
        <v>41600000</v>
      </c>
      <c r="J98" s="1771">
        <v>41600000</v>
      </c>
      <c r="K98" s="1578"/>
      <c r="L98" s="1440" t="s">
        <v>1868</v>
      </c>
      <c r="M98" s="1568">
        <f>+M96-M97</f>
        <v>16405988.539999995</v>
      </c>
    </row>
    <row r="99" spans="1:15" ht="10.95" customHeight="1">
      <c r="A99" s="1672" t="s">
        <v>2054</v>
      </c>
      <c r="B99" s="1673"/>
      <c r="C99" s="1672"/>
      <c r="D99" s="1843"/>
      <c r="E99" s="1757">
        <f>SUM(F99:J99)</f>
        <v>3089501.2480000001</v>
      </c>
      <c r="F99" s="1772">
        <f>461876.56*0.8</f>
        <v>369501.24800000002</v>
      </c>
      <c r="G99" s="1771">
        <f>850000*0.8</f>
        <v>680000</v>
      </c>
      <c r="H99" s="1771">
        <f>850000*0.8</f>
        <v>680000</v>
      </c>
      <c r="I99" s="1771">
        <f>850000*0.8</f>
        <v>680000</v>
      </c>
      <c r="J99" s="1771">
        <f>850000*0.8</f>
        <v>680000</v>
      </c>
      <c r="K99" s="1578"/>
      <c r="L99" s="1440" t="s">
        <v>2462</v>
      </c>
      <c r="M99" s="1568">
        <f>+'Anticipos 03-26'!D8</f>
        <v>115230</v>
      </c>
    </row>
    <row r="100" spans="1:15" ht="10.95" customHeight="1">
      <c r="A100" s="1454" t="s">
        <v>2057</v>
      </c>
      <c r="B100" s="1454"/>
      <c r="C100" s="1454"/>
      <c r="D100" s="1763">
        <f t="shared" ref="D100:J100" si="8">SUM(D25:D99)</f>
        <v>16807382.420000006</v>
      </c>
      <c r="E100" s="1754">
        <f t="shared" si="8"/>
        <v>265595665.12800002</v>
      </c>
      <c r="F100" s="1572">
        <f t="shared" si="8"/>
        <v>54690066.868000016</v>
      </c>
      <c r="G100" s="1572">
        <f t="shared" si="8"/>
        <v>50565598.259999998</v>
      </c>
      <c r="H100" s="1572">
        <f t="shared" si="8"/>
        <v>75780000</v>
      </c>
      <c r="I100" s="1572">
        <f t="shared" si="8"/>
        <v>42280000</v>
      </c>
      <c r="J100" s="1572">
        <f t="shared" si="8"/>
        <v>42280000</v>
      </c>
      <c r="K100" s="1578"/>
      <c r="L100" s="1868" t="s">
        <v>1868</v>
      </c>
      <c r="M100" s="1856">
        <f>+M98+M99</f>
        <v>16521218.539999995</v>
      </c>
    </row>
    <row r="101" spans="1:15" ht="13.35" customHeight="1">
      <c r="D101" s="826"/>
      <c r="E101" s="1865"/>
      <c r="F101" s="730"/>
      <c r="G101" s="730"/>
      <c r="H101" s="730"/>
      <c r="I101" s="730"/>
      <c r="J101" s="1845"/>
      <c r="L101" s="1440" t="s">
        <v>2602</v>
      </c>
      <c r="M101" s="400">
        <v>18720000</v>
      </c>
      <c r="O101" s="1578"/>
    </row>
    <row r="102" spans="1:15" ht="13.35" customHeight="1">
      <c r="A102" s="1445" t="s">
        <v>1036</v>
      </c>
      <c r="B102" s="1445"/>
      <c r="C102" s="1445"/>
      <c r="D102" s="1766"/>
      <c r="E102" s="1760"/>
      <c r="F102" s="1759"/>
      <c r="G102" s="1759"/>
      <c r="H102" s="1759"/>
      <c r="I102" s="1759"/>
      <c r="J102" s="1759"/>
      <c r="K102" s="1578"/>
      <c r="L102" s="1466" t="s">
        <v>2603</v>
      </c>
      <c r="M102" s="1869">
        <f>+M100-M101</f>
        <v>-2198781.4600000046</v>
      </c>
      <c r="O102" s="1578"/>
    </row>
    <row r="103" spans="1:15" ht="13.35" customHeight="1">
      <c r="A103" s="1672" t="s">
        <v>2347</v>
      </c>
      <c r="B103" s="1673"/>
      <c r="C103" s="1672"/>
      <c r="D103" s="1843"/>
      <c r="E103" s="1757">
        <f>SUM(F103:J103)</f>
        <v>11800000</v>
      </c>
      <c r="F103" s="1756">
        <f>2000000*1.18</f>
        <v>2360000</v>
      </c>
      <c r="G103" s="1756">
        <f t="shared" ref="G103:J103" si="9">2000000*1.18</f>
        <v>2360000</v>
      </c>
      <c r="H103" s="1756">
        <f t="shared" si="9"/>
        <v>2360000</v>
      </c>
      <c r="I103" s="1756">
        <f t="shared" si="9"/>
        <v>2360000</v>
      </c>
      <c r="J103" s="1756">
        <f t="shared" si="9"/>
        <v>2360000</v>
      </c>
      <c r="M103" s="1578"/>
    </row>
    <row r="104" spans="1:15" ht="13.35" customHeight="1">
      <c r="A104" s="1454" t="s">
        <v>2348</v>
      </c>
      <c r="B104" s="1454"/>
      <c r="C104" s="1454"/>
      <c r="D104" s="1763">
        <f t="shared" ref="D104:J104" si="10">SUM(D103:D103)</f>
        <v>0</v>
      </c>
      <c r="E104" s="1754">
        <f t="shared" si="10"/>
        <v>11800000</v>
      </c>
      <c r="F104" s="1753">
        <f t="shared" si="10"/>
        <v>2360000</v>
      </c>
      <c r="G104" s="1753">
        <f t="shared" si="10"/>
        <v>2360000</v>
      </c>
      <c r="H104" s="1753">
        <f t="shared" si="10"/>
        <v>2360000</v>
      </c>
      <c r="I104" s="1753">
        <f t="shared" si="10"/>
        <v>2360000</v>
      </c>
      <c r="J104" s="1753">
        <f t="shared" si="10"/>
        <v>2360000</v>
      </c>
      <c r="M104" s="1857">
        <f>+M29+M102</f>
        <v>-5515474.1800000053</v>
      </c>
    </row>
    <row r="105" spans="1:15" ht="13.35" customHeight="1">
      <c r="D105" s="826"/>
      <c r="E105" s="1865"/>
      <c r="F105" s="730"/>
      <c r="G105" s="730"/>
      <c r="H105" s="730"/>
      <c r="I105" s="730"/>
      <c r="J105" s="1845"/>
      <c r="M105" s="1578">
        <f>-M97-M24</f>
        <v>-17520639.410000004</v>
      </c>
    </row>
    <row r="106" spans="1:15" ht="13.35" customHeight="1">
      <c r="A106" s="1445" t="s">
        <v>2288</v>
      </c>
      <c r="B106" s="1445"/>
      <c r="C106" s="1445"/>
      <c r="D106" s="1766"/>
      <c r="E106" s="1760"/>
      <c r="F106" s="1569">
        <f>+D106</f>
        <v>0</v>
      </c>
      <c r="G106" s="1569"/>
      <c r="H106" s="1569"/>
      <c r="I106" s="1569"/>
      <c r="J106" s="1569"/>
      <c r="M106" s="1875">
        <f>+M104+M105</f>
        <v>-23036113.590000011</v>
      </c>
    </row>
    <row r="107" spans="1:15" ht="13.35" customHeight="1">
      <c r="A107" s="1672" t="s">
        <v>2349</v>
      </c>
      <c r="B107" s="1673"/>
      <c r="C107" s="1672"/>
      <c r="D107" s="1843"/>
      <c r="E107" s="1757">
        <f>SUM(F107:J107)</f>
        <v>3250000</v>
      </c>
      <c r="F107" s="1756">
        <v>650000</v>
      </c>
      <c r="G107" s="1756">
        <v>650000</v>
      </c>
      <c r="H107" s="1756">
        <v>650000</v>
      </c>
      <c r="I107" s="1756">
        <v>650000</v>
      </c>
      <c r="J107" s="1756">
        <v>650000</v>
      </c>
    </row>
    <row r="108" spans="1:15" ht="13.35" customHeight="1">
      <c r="A108" s="1454" t="s">
        <v>2141</v>
      </c>
      <c r="B108" s="1454"/>
      <c r="C108" s="1454"/>
      <c r="D108" s="1763">
        <f t="shared" ref="D108:J108" si="11">SUM(D107:D107)</f>
        <v>0</v>
      </c>
      <c r="E108" s="1754">
        <f t="shared" si="11"/>
        <v>3250000</v>
      </c>
      <c r="F108" s="1572">
        <f t="shared" si="11"/>
        <v>650000</v>
      </c>
      <c r="G108" s="1572">
        <f t="shared" si="11"/>
        <v>650000</v>
      </c>
      <c r="H108" s="1572">
        <f t="shared" si="11"/>
        <v>650000</v>
      </c>
      <c r="I108" s="1572">
        <f t="shared" si="11"/>
        <v>650000</v>
      </c>
      <c r="J108" s="1572">
        <f t="shared" si="11"/>
        <v>650000</v>
      </c>
    </row>
    <row r="109" spans="1:15" ht="13.35" customHeight="1">
      <c r="D109" s="1749"/>
      <c r="E109" s="1762"/>
      <c r="F109" s="1568">
        <f>+D109</f>
        <v>0</v>
      </c>
      <c r="G109" s="1568"/>
      <c r="H109" s="1568"/>
      <c r="I109" s="1568"/>
      <c r="J109" s="1568"/>
    </row>
    <row r="110" spans="1:15" ht="13.35" customHeight="1">
      <c r="A110" s="1445" t="s">
        <v>1308</v>
      </c>
      <c r="B110" s="1445"/>
      <c r="C110" s="1445"/>
      <c r="D110" s="1766"/>
      <c r="E110" s="1760"/>
      <c r="F110" s="1569">
        <f>+D110</f>
        <v>0</v>
      </c>
      <c r="G110" s="1569"/>
      <c r="H110" s="1569"/>
      <c r="I110" s="1569"/>
      <c r="J110" s="1569"/>
    </row>
    <row r="111" spans="1:15" ht="13.35" customHeight="1">
      <c r="A111" s="1672" t="s">
        <v>1045</v>
      </c>
      <c r="B111" s="1673"/>
      <c r="C111" s="1672"/>
      <c r="D111" s="1843"/>
      <c r="E111" s="1757">
        <f>SUM(F111:J111)</f>
        <v>494777.59999999998</v>
      </c>
      <c r="F111" s="1769">
        <v>94777.600000000006</v>
      </c>
      <c r="G111" s="1769">
        <v>100000</v>
      </c>
      <c r="H111" s="1769">
        <v>100000</v>
      </c>
      <c r="I111" s="1769">
        <v>100000</v>
      </c>
      <c r="J111" s="1769">
        <v>100000</v>
      </c>
      <c r="L111" s="1444"/>
      <c r="M111" s="1444"/>
    </row>
    <row r="112" spans="1:15" ht="13.35" customHeight="1">
      <c r="A112" s="1454" t="s">
        <v>1835</v>
      </c>
      <c r="B112" s="1454"/>
      <c r="C112" s="1454"/>
      <c r="D112" s="1763">
        <f t="shared" ref="D112:J112" si="12">SUM(D111:D111)</f>
        <v>0</v>
      </c>
      <c r="E112" s="1754">
        <f t="shared" si="12"/>
        <v>494777.59999999998</v>
      </c>
      <c r="F112" s="1572">
        <f t="shared" si="12"/>
        <v>94777.600000000006</v>
      </c>
      <c r="G112" s="1572">
        <f t="shared" si="12"/>
        <v>100000</v>
      </c>
      <c r="H112" s="1572">
        <f t="shared" si="12"/>
        <v>100000</v>
      </c>
      <c r="I112" s="1572">
        <f t="shared" si="12"/>
        <v>100000</v>
      </c>
      <c r="J112" s="1572">
        <f t="shared" si="12"/>
        <v>100000</v>
      </c>
    </row>
    <row r="113" spans="1:13" ht="13.35" customHeight="1">
      <c r="D113" s="826"/>
      <c r="E113" s="1865"/>
      <c r="F113" s="730"/>
      <c r="G113" s="730"/>
      <c r="H113" s="730"/>
      <c r="I113" s="730"/>
      <c r="J113" s="1845"/>
    </row>
    <row r="114" spans="1:13" s="1444" customFormat="1" ht="12.15" customHeight="1">
      <c r="A114" s="1445" t="s">
        <v>2557</v>
      </c>
      <c r="B114" s="1445"/>
      <c r="C114" s="1445"/>
      <c r="D114" s="1766"/>
      <c r="E114" s="1760"/>
      <c r="F114" s="1569"/>
      <c r="G114" s="1569"/>
      <c r="H114" s="1569"/>
      <c r="I114" s="1569"/>
      <c r="J114" s="1844"/>
      <c r="L114" s="1440"/>
      <c r="M114" s="1440"/>
    </row>
    <row r="115" spans="1:13" ht="10.95" customHeight="1">
      <c r="A115" s="1446" t="s">
        <v>2558</v>
      </c>
      <c r="B115" s="1447">
        <v>46086</v>
      </c>
      <c r="C115" s="1446" t="s">
        <v>2559</v>
      </c>
      <c r="D115" s="1860">
        <v>1387881.97</v>
      </c>
      <c r="E115" s="1866">
        <f>SUM(F115:J115)</f>
        <v>1387881.97</v>
      </c>
      <c r="F115" s="1849">
        <f>+$D$115/3</f>
        <v>462627.3233333333</v>
      </c>
      <c r="G115" s="1849">
        <f>+$D$115/3</f>
        <v>462627.3233333333</v>
      </c>
      <c r="H115" s="1849">
        <f>+$D$115/3</f>
        <v>462627.3233333333</v>
      </c>
      <c r="I115" s="1849"/>
      <c r="J115" s="1848"/>
      <c r="L115" s="1444"/>
      <c r="M115" s="1444"/>
    </row>
    <row r="116" spans="1:13" ht="10.95" customHeight="1">
      <c r="A116" s="1446"/>
      <c r="B116" s="1447"/>
      <c r="C116" s="1446"/>
      <c r="D116" s="1860"/>
      <c r="E116" s="1866"/>
      <c r="F116" s="1849"/>
      <c r="G116" s="1849"/>
      <c r="H116" s="1849"/>
      <c r="I116" s="1849">
        <v>462627.3233333333</v>
      </c>
      <c r="J116" s="1848">
        <v>462627.3233333333</v>
      </c>
      <c r="L116" s="1444"/>
      <c r="M116" s="1444"/>
    </row>
    <row r="117" spans="1:13" ht="10.95" customHeight="1">
      <c r="A117" s="1454" t="s">
        <v>2560</v>
      </c>
      <c r="B117" s="1454"/>
      <c r="C117" s="1454"/>
      <c r="D117" s="1763">
        <f>SUM(D115:D116)</f>
        <v>1387881.97</v>
      </c>
      <c r="E117" s="1754">
        <f>SUM(E115:E116)</f>
        <v>1387881.97</v>
      </c>
      <c r="F117" s="1572">
        <f>SUM(F115:F116)</f>
        <v>462627.3233333333</v>
      </c>
      <c r="G117" s="1572">
        <f t="shared" ref="G117:J117" si="13">SUM(G115:G116)</f>
        <v>462627.3233333333</v>
      </c>
      <c r="H117" s="1572">
        <f t="shared" si="13"/>
        <v>462627.3233333333</v>
      </c>
      <c r="I117" s="1572">
        <f t="shared" si="13"/>
        <v>462627.3233333333</v>
      </c>
      <c r="J117" s="1572">
        <f t="shared" si="13"/>
        <v>462627.3233333333</v>
      </c>
    </row>
    <row r="118" spans="1:13" ht="13.35" customHeight="1">
      <c r="D118" s="826"/>
      <c r="E118" s="1865"/>
      <c r="F118" s="730"/>
      <c r="G118" s="730"/>
      <c r="H118" s="730"/>
      <c r="I118" s="730"/>
      <c r="J118" s="1845"/>
      <c r="M118" s="1568"/>
    </row>
    <row r="119" spans="1:13" s="1444" customFormat="1" ht="12.15" customHeight="1">
      <c r="A119" s="1445" t="s">
        <v>2022</v>
      </c>
      <c r="B119" s="1445"/>
      <c r="C119" s="1445"/>
      <c r="D119" s="1766"/>
      <c r="E119" s="1760"/>
      <c r="F119" s="1569"/>
      <c r="G119" s="1569"/>
      <c r="H119" s="1569"/>
      <c r="I119" s="1569"/>
      <c r="J119" s="1844"/>
      <c r="L119" s="1440"/>
      <c r="M119" s="1440"/>
    </row>
    <row r="120" spans="1:13" ht="10.95" customHeight="1">
      <c r="A120" s="1446" t="s">
        <v>2023</v>
      </c>
      <c r="B120" s="1447">
        <v>46107</v>
      </c>
      <c r="C120" s="1446" t="s">
        <v>2561</v>
      </c>
      <c r="D120" s="1860">
        <v>506964.3</v>
      </c>
      <c r="E120" s="1757">
        <f>SUM(F120:J120)</f>
        <v>506964.3</v>
      </c>
      <c r="F120" s="1849">
        <f>+D120</f>
        <v>506964.3</v>
      </c>
      <c r="G120" s="1849"/>
      <c r="H120" s="1849"/>
      <c r="I120" s="1849"/>
      <c r="J120" s="1848"/>
    </row>
    <row r="121" spans="1:13" ht="10.95" customHeight="1">
      <c r="A121" s="1672" t="s">
        <v>2023</v>
      </c>
      <c r="B121" s="1673"/>
      <c r="C121" s="1672"/>
      <c r="D121" s="1843"/>
      <c r="E121" s="1757">
        <f>SUM(F121:J121)</f>
        <v>2027857.2</v>
      </c>
      <c r="F121" s="1756"/>
      <c r="G121" s="1769">
        <v>506964.3</v>
      </c>
      <c r="H121" s="1769">
        <v>506964.3</v>
      </c>
      <c r="I121" s="1769">
        <v>506964.3</v>
      </c>
      <c r="J121" s="1769">
        <v>506964.3</v>
      </c>
      <c r="M121" s="1568"/>
    </row>
    <row r="122" spans="1:13" ht="10.95" customHeight="1">
      <c r="A122" s="1454" t="s">
        <v>2024</v>
      </c>
      <c r="B122" s="1454"/>
      <c r="C122" s="1454"/>
      <c r="D122" s="1763">
        <f t="shared" ref="D122:J122" si="14">SUM(D120:D121)</f>
        <v>506964.3</v>
      </c>
      <c r="E122" s="1754">
        <f t="shared" si="14"/>
        <v>2534821.5</v>
      </c>
      <c r="F122" s="1572">
        <f t="shared" si="14"/>
        <v>506964.3</v>
      </c>
      <c r="G122" s="1572">
        <f t="shared" si="14"/>
        <v>506964.3</v>
      </c>
      <c r="H122" s="1572">
        <f t="shared" si="14"/>
        <v>506964.3</v>
      </c>
      <c r="I122" s="1572">
        <f t="shared" si="14"/>
        <v>506964.3</v>
      </c>
      <c r="J122" s="1572">
        <f t="shared" si="14"/>
        <v>506964.3</v>
      </c>
      <c r="M122" s="1568"/>
    </row>
    <row r="123" spans="1:13" ht="13.35" customHeight="1">
      <c r="D123" s="826"/>
      <c r="E123" s="1865"/>
      <c r="F123" s="730"/>
      <c r="G123" s="730"/>
      <c r="H123" s="730"/>
      <c r="I123" s="730"/>
      <c r="J123" s="1845"/>
      <c r="M123" s="1568"/>
    </row>
    <row r="124" spans="1:13" ht="13.35" customHeight="1">
      <c r="A124" s="1445" t="s">
        <v>1836</v>
      </c>
      <c r="B124" s="1445"/>
      <c r="C124" s="1445"/>
      <c r="D124" s="1766"/>
      <c r="E124" s="1760"/>
      <c r="F124" s="1759"/>
      <c r="G124" s="1759"/>
      <c r="H124" s="1759"/>
      <c r="I124" s="1759"/>
      <c r="J124" s="1759"/>
    </row>
    <row r="125" spans="1:13" ht="13.35" customHeight="1">
      <c r="A125" s="1672" t="s">
        <v>295</v>
      </c>
      <c r="B125" s="1673"/>
      <c r="C125" s="1672"/>
      <c r="D125" s="1843"/>
      <c r="E125" s="1757">
        <f>SUM(F125:J125)</f>
        <v>8850000</v>
      </c>
      <c r="F125" s="1756">
        <v>1770000</v>
      </c>
      <c r="G125" s="1756">
        <v>1770000</v>
      </c>
      <c r="H125" s="1756">
        <v>1770000</v>
      </c>
      <c r="I125" s="1756">
        <v>1770000</v>
      </c>
      <c r="J125" s="1756">
        <v>1770000</v>
      </c>
      <c r="L125" s="1444"/>
      <c r="M125" s="1444"/>
    </row>
    <row r="126" spans="1:13" ht="13.35" customHeight="1">
      <c r="A126" s="1454" t="s">
        <v>1838</v>
      </c>
      <c r="B126" s="1454"/>
      <c r="C126" s="1454"/>
      <c r="D126" s="1763">
        <f t="shared" ref="D126:J126" si="15">SUM(D125)</f>
        <v>0</v>
      </c>
      <c r="E126" s="1754">
        <f t="shared" si="15"/>
        <v>8850000</v>
      </c>
      <c r="F126" s="1753">
        <f t="shared" si="15"/>
        <v>1770000</v>
      </c>
      <c r="G126" s="1753">
        <f t="shared" si="15"/>
        <v>1770000</v>
      </c>
      <c r="H126" s="1753">
        <f t="shared" si="15"/>
        <v>1770000</v>
      </c>
      <c r="I126" s="1753">
        <f t="shared" si="15"/>
        <v>1770000</v>
      </c>
      <c r="J126" s="1753">
        <f t="shared" si="15"/>
        <v>1770000</v>
      </c>
    </row>
    <row r="127" spans="1:13" ht="13.35" customHeight="1">
      <c r="D127" s="826"/>
      <c r="E127" s="1865"/>
      <c r="F127" s="730"/>
      <c r="G127" s="730"/>
      <c r="H127" s="730"/>
      <c r="I127" s="730"/>
      <c r="J127" s="1845"/>
    </row>
    <row r="128" spans="1:13" s="1444" customFormat="1" ht="12.15" customHeight="1">
      <c r="A128" s="1445" t="s">
        <v>1475</v>
      </c>
      <c r="B128" s="1445"/>
      <c r="C128" s="1445"/>
      <c r="D128" s="1766"/>
      <c r="E128" s="1760"/>
      <c r="F128" s="1569"/>
      <c r="G128" s="1569"/>
      <c r="H128" s="1569"/>
      <c r="I128" s="1569"/>
      <c r="J128" s="1844"/>
      <c r="L128" s="1440"/>
      <c r="M128" s="1440"/>
    </row>
    <row r="129" spans="1:13" ht="10.95" customHeight="1">
      <c r="A129" s="1446" t="s">
        <v>914</v>
      </c>
      <c r="B129" s="1447">
        <v>46091</v>
      </c>
      <c r="C129" s="1446" t="s">
        <v>2562</v>
      </c>
      <c r="D129" s="1860">
        <v>689912.37</v>
      </c>
      <c r="E129" s="1757">
        <f t="shared" ref="E129:E130" si="16">SUM(F129:J129)</f>
        <v>689912.37</v>
      </c>
      <c r="F129" s="1849">
        <f>+D129</f>
        <v>689912.37</v>
      </c>
      <c r="G129" s="1849"/>
      <c r="H129" s="1849"/>
      <c r="I129" s="1849"/>
      <c r="J129" s="1848"/>
    </row>
    <row r="130" spans="1:13" ht="10.95" customHeight="1">
      <c r="A130" s="1450" t="s">
        <v>2563</v>
      </c>
      <c r="B130" s="1451">
        <v>46094</v>
      </c>
      <c r="C130" s="1450" t="s">
        <v>2564</v>
      </c>
      <c r="D130" s="1861">
        <v>2162288.1800000002</v>
      </c>
      <c r="E130" s="1757">
        <f t="shared" si="16"/>
        <v>2162288.1800000002</v>
      </c>
      <c r="F130" s="1847">
        <f>+D130</f>
        <v>2162288.1800000002</v>
      </c>
      <c r="G130" s="1847"/>
      <c r="H130" s="1847"/>
      <c r="I130" s="1847"/>
      <c r="J130" s="1846"/>
    </row>
    <row r="131" spans="1:13" ht="10.95" customHeight="1">
      <c r="A131" s="1672" t="s">
        <v>2061</v>
      </c>
      <c r="B131" s="1673"/>
      <c r="C131" s="1672"/>
      <c r="D131" s="1843"/>
      <c r="E131" s="1757">
        <f>SUM(F131:J131)</f>
        <v>47069773.180000007</v>
      </c>
      <c r="F131" s="1756">
        <f>+'Proyección VTA 03-26'!F22</f>
        <v>5243659.3</v>
      </c>
      <c r="G131" s="1756">
        <f>+'Proyección VTA 03-26'!G22</f>
        <v>14079452.279999999</v>
      </c>
      <c r="H131" s="1756">
        <f>+'Proyección VTA 03-26'!H22</f>
        <v>9248887.2000000011</v>
      </c>
      <c r="I131" s="1756">
        <f>+'Proyección VTA 03-26'!I22</f>
        <v>9248887.2000000011</v>
      </c>
      <c r="J131" s="1756">
        <f>+'Proyección VTA 03-26'!J22</f>
        <v>9248887.2000000011</v>
      </c>
    </row>
    <row r="132" spans="1:13" ht="10.95" customHeight="1">
      <c r="A132" s="1454" t="s">
        <v>1841</v>
      </c>
      <c r="B132" s="1454"/>
      <c r="C132" s="1454"/>
      <c r="D132" s="1763">
        <f t="shared" ref="D132:J132" si="17">SUM(D129:D131)</f>
        <v>2852200.5500000003</v>
      </c>
      <c r="E132" s="1754">
        <f t="shared" si="17"/>
        <v>49921973.730000004</v>
      </c>
      <c r="F132" s="1572">
        <f t="shared" si="17"/>
        <v>8095859.8499999996</v>
      </c>
      <c r="G132" s="1572">
        <f t="shared" si="17"/>
        <v>14079452.279999999</v>
      </c>
      <c r="H132" s="1572">
        <f t="shared" si="17"/>
        <v>9248887.2000000011</v>
      </c>
      <c r="I132" s="1572">
        <f t="shared" si="17"/>
        <v>9248887.2000000011</v>
      </c>
      <c r="J132" s="1572">
        <f t="shared" si="17"/>
        <v>9248887.2000000011</v>
      </c>
    </row>
    <row r="133" spans="1:13" ht="13.35" customHeight="1">
      <c r="D133" s="826"/>
      <c r="E133" s="1865"/>
      <c r="F133" s="730"/>
      <c r="G133" s="730"/>
      <c r="H133" s="730"/>
      <c r="I133" s="730"/>
      <c r="J133" s="1845"/>
    </row>
    <row r="134" spans="1:13" ht="13.35" customHeight="1">
      <c r="A134" s="1445" t="s">
        <v>2150</v>
      </c>
      <c r="B134" s="1445"/>
      <c r="C134" s="1445"/>
      <c r="D134" s="1766"/>
      <c r="E134" s="1760"/>
      <c r="F134" s="1759"/>
      <c r="G134" s="1759"/>
      <c r="H134" s="1759"/>
      <c r="I134" s="1759"/>
      <c r="J134" s="1759"/>
    </row>
    <row r="135" spans="1:13" ht="13.35" customHeight="1">
      <c r="A135" s="1672"/>
      <c r="B135" s="1673"/>
      <c r="C135" s="1672"/>
      <c r="D135" s="1843"/>
      <c r="E135" s="1757">
        <f>SUM(F135:J135)</f>
        <v>3835000</v>
      </c>
      <c r="F135" s="1756">
        <v>767000</v>
      </c>
      <c r="G135" s="1756">
        <v>767000</v>
      </c>
      <c r="H135" s="1756">
        <v>767000</v>
      </c>
      <c r="I135" s="1756">
        <v>767000</v>
      </c>
      <c r="J135" s="1756">
        <v>767000</v>
      </c>
    </row>
    <row r="136" spans="1:13" ht="13.35" customHeight="1">
      <c r="A136" s="1454" t="s">
        <v>2152</v>
      </c>
      <c r="B136" s="1454"/>
      <c r="C136" s="1454"/>
      <c r="D136" s="1763">
        <f t="shared" ref="D136:J136" si="18">SUM(D135)</f>
        <v>0</v>
      </c>
      <c r="E136" s="1754">
        <f t="shared" si="18"/>
        <v>3835000</v>
      </c>
      <c r="F136" s="1753">
        <f t="shared" si="18"/>
        <v>767000</v>
      </c>
      <c r="G136" s="1753">
        <f t="shared" si="18"/>
        <v>767000</v>
      </c>
      <c r="H136" s="1753">
        <f t="shared" si="18"/>
        <v>767000</v>
      </c>
      <c r="I136" s="1753">
        <f t="shared" si="18"/>
        <v>767000</v>
      </c>
      <c r="J136" s="1753">
        <f t="shared" si="18"/>
        <v>767000</v>
      </c>
    </row>
    <row r="137" spans="1:13" ht="13.35" customHeight="1">
      <c r="D137" s="1749"/>
      <c r="E137" s="1762"/>
      <c r="F137" s="1767"/>
      <c r="G137" s="1767"/>
      <c r="H137" s="1767"/>
      <c r="I137" s="1767"/>
      <c r="J137" s="1767"/>
    </row>
    <row r="138" spans="1:13" ht="13.35" customHeight="1">
      <c r="A138" s="1445" t="s">
        <v>1314</v>
      </c>
      <c r="B138" s="1445"/>
      <c r="C138" s="1445"/>
      <c r="D138" s="1766"/>
      <c r="E138" s="1760"/>
      <c r="F138" s="1759"/>
      <c r="G138" s="1759"/>
      <c r="H138" s="1759"/>
      <c r="I138" s="1759"/>
      <c r="J138" s="1759"/>
    </row>
    <row r="139" spans="1:13" ht="13.35" customHeight="1">
      <c r="A139" s="1672"/>
      <c r="B139" s="1673"/>
      <c r="C139" s="1672"/>
      <c r="D139" s="1843"/>
      <c r="E139" s="1757">
        <f>SUM(F139:J139)</f>
        <v>6347302.9000000004</v>
      </c>
      <c r="F139" s="1756">
        <v>1047302.9</v>
      </c>
      <c r="G139" s="1756">
        <v>1325000</v>
      </c>
      <c r="H139" s="1756">
        <v>1325000</v>
      </c>
      <c r="I139" s="1756">
        <v>1325000</v>
      </c>
      <c r="J139" s="1756">
        <v>1325000</v>
      </c>
      <c r="L139" s="1444"/>
      <c r="M139" s="1444"/>
    </row>
    <row r="140" spans="1:13" ht="13.35" customHeight="1">
      <c r="A140" s="1454" t="s">
        <v>1846</v>
      </c>
      <c r="B140" s="1454"/>
      <c r="C140" s="1454"/>
      <c r="D140" s="1763">
        <f t="shared" ref="D140:J140" si="19">SUM(D139)</f>
        <v>0</v>
      </c>
      <c r="E140" s="1754">
        <f t="shared" si="19"/>
        <v>6347302.9000000004</v>
      </c>
      <c r="F140" s="1753">
        <f t="shared" si="19"/>
        <v>1047302.9</v>
      </c>
      <c r="G140" s="1753">
        <f t="shared" si="19"/>
        <v>1325000</v>
      </c>
      <c r="H140" s="1753">
        <f t="shared" si="19"/>
        <v>1325000</v>
      </c>
      <c r="I140" s="1753">
        <f t="shared" si="19"/>
        <v>1325000</v>
      </c>
      <c r="J140" s="1753">
        <f t="shared" si="19"/>
        <v>1325000</v>
      </c>
    </row>
    <row r="141" spans="1:13" ht="13.35" customHeight="1">
      <c r="D141" s="826"/>
      <c r="E141" s="1865"/>
      <c r="F141" s="730"/>
      <c r="G141" s="730"/>
      <c r="H141" s="730"/>
      <c r="I141" s="730"/>
      <c r="J141" s="1845"/>
    </row>
    <row r="142" spans="1:13" s="1444" customFormat="1" ht="12.15" customHeight="1">
      <c r="A142" s="1445" t="s">
        <v>1847</v>
      </c>
      <c r="B142" s="1445"/>
      <c r="C142" s="1445"/>
      <c r="D142" s="1766"/>
      <c r="E142" s="1760"/>
      <c r="F142" s="1569"/>
      <c r="G142" s="1569"/>
      <c r="H142" s="1569"/>
      <c r="I142" s="1569"/>
      <c r="J142" s="1844"/>
      <c r="L142" s="1440"/>
      <c r="M142" s="1440"/>
    </row>
    <row r="143" spans="1:13" ht="10.95" customHeight="1">
      <c r="A143" s="1446" t="s">
        <v>1043</v>
      </c>
      <c r="B143" s="1447">
        <v>46098</v>
      </c>
      <c r="C143" s="1446" t="s">
        <v>2565</v>
      </c>
      <c r="D143" s="1860">
        <v>14895.35</v>
      </c>
      <c r="E143" s="1757">
        <f t="shared" ref="E143:E144" si="20">SUM(F143:J143)</f>
        <v>14895.35</v>
      </c>
      <c r="F143" s="1849">
        <f>+D143</f>
        <v>14895.35</v>
      </c>
      <c r="G143" s="1849"/>
      <c r="H143" s="1849"/>
      <c r="I143" s="1849"/>
      <c r="J143" s="1848"/>
    </row>
    <row r="144" spans="1:13" ht="10.95" customHeight="1">
      <c r="A144" s="1672" t="s">
        <v>2350</v>
      </c>
      <c r="B144" s="1451"/>
      <c r="C144" s="1450"/>
      <c r="D144" s="1764"/>
      <c r="E144" s="1757">
        <f t="shared" si="20"/>
        <v>250000</v>
      </c>
      <c r="F144" s="1769">
        <v>50000</v>
      </c>
      <c r="G144" s="1769">
        <v>50000</v>
      </c>
      <c r="H144" s="1769">
        <v>50000</v>
      </c>
      <c r="I144" s="1769">
        <v>50000</v>
      </c>
      <c r="J144" s="1769">
        <v>50000</v>
      </c>
    </row>
    <row r="145" spans="1:13" ht="10.95" customHeight="1">
      <c r="A145" s="1672" t="s">
        <v>1045</v>
      </c>
      <c r="B145" s="1673"/>
      <c r="C145" s="1672"/>
      <c r="D145" s="1843"/>
      <c r="E145" s="1757">
        <f>SUM(F145:J145)</f>
        <v>390223.6</v>
      </c>
      <c r="F145" s="1769">
        <v>70223.600000000006</v>
      </c>
      <c r="G145" s="1769">
        <v>80000</v>
      </c>
      <c r="H145" s="1769">
        <v>80000</v>
      </c>
      <c r="I145" s="1769">
        <v>80000</v>
      </c>
      <c r="J145" s="1769">
        <v>80000</v>
      </c>
    </row>
    <row r="146" spans="1:13" ht="10.95" customHeight="1">
      <c r="A146" s="1454" t="s">
        <v>1850</v>
      </c>
      <c r="B146" s="1454"/>
      <c r="C146" s="1454"/>
      <c r="D146" s="1763">
        <f t="shared" ref="D146:J146" si="21">SUM(D143:D145)</f>
        <v>14895.35</v>
      </c>
      <c r="E146" s="1754">
        <f t="shared" si="21"/>
        <v>655118.94999999995</v>
      </c>
      <c r="F146" s="1572">
        <f t="shared" si="21"/>
        <v>135118.95000000001</v>
      </c>
      <c r="G146" s="1572">
        <f t="shared" si="21"/>
        <v>130000</v>
      </c>
      <c r="H146" s="1572">
        <f t="shared" si="21"/>
        <v>130000</v>
      </c>
      <c r="I146" s="1572">
        <f t="shared" si="21"/>
        <v>130000</v>
      </c>
      <c r="J146" s="1572">
        <f t="shared" si="21"/>
        <v>130000</v>
      </c>
    </row>
    <row r="147" spans="1:13" ht="13.35" customHeight="1">
      <c r="D147" s="826"/>
      <c r="E147" s="1865"/>
      <c r="F147" s="730"/>
      <c r="G147" s="730"/>
      <c r="H147" s="730"/>
      <c r="I147" s="730"/>
      <c r="J147" s="1845"/>
    </row>
    <row r="148" spans="1:13" ht="13.35" customHeight="1">
      <c r="A148" s="1445" t="s">
        <v>2351</v>
      </c>
      <c r="B148" s="1445"/>
      <c r="C148" s="1445"/>
      <c r="D148" s="1766"/>
      <c r="E148" s="1760"/>
      <c r="F148" s="1759"/>
      <c r="G148" s="1759"/>
      <c r="H148" s="1759"/>
      <c r="I148" s="1759"/>
      <c r="J148" s="1759"/>
    </row>
    <row r="149" spans="1:13" ht="13.35" customHeight="1">
      <c r="A149" s="1672" t="s">
        <v>2604</v>
      </c>
      <c r="B149" s="1673"/>
      <c r="C149" s="1672"/>
      <c r="D149" s="1843"/>
      <c r="E149" s="1757">
        <f>SUM(F149:J149)</f>
        <v>2561905.0999999996</v>
      </c>
      <c r="F149" s="1756">
        <f>8264.21*62</f>
        <v>512381.01999999996</v>
      </c>
      <c r="G149" s="1756">
        <f t="shared" ref="G149:J149" si="22">8264.21*62</f>
        <v>512381.01999999996</v>
      </c>
      <c r="H149" s="1756">
        <f t="shared" si="22"/>
        <v>512381.01999999996</v>
      </c>
      <c r="I149" s="1756">
        <f t="shared" si="22"/>
        <v>512381.01999999996</v>
      </c>
      <c r="J149" s="1756">
        <f t="shared" si="22"/>
        <v>512381.01999999996</v>
      </c>
    </row>
    <row r="150" spans="1:13" ht="13.35" customHeight="1">
      <c r="A150" s="1672" t="s">
        <v>2605</v>
      </c>
      <c r="B150" s="1673"/>
      <c r="C150" s="1672"/>
      <c r="D150" s="1843"/>
      <c r="E150" s="1757">
        <f>SUM(F150:J150)</f>
        <v>669600</v>
      </c>
      <c r="F150" s="1756">
        <f>(12*180)*62</f>
        <v>133920</v>
      </c>
      <c r="G150" s="1756">
        <f t="shared" ref="G150:J150" si="23">(12*180)*62</f>
        <v>133920</v>
      </c>
      <c r="H150" s="1756">
        <f t="shared" si="23"/>
        <v>133920</v>
      </c>
      <c r="I150" s="1756">
        <f t="shared" si="23"/>
        <v>133920</v>
      </c>
      <c r="J150" s="1756">
        <f t="shared" si="23"/>
        <v>133920</v>
      </c>
    </row>
    <row r="151" spans="1:13" ht="10.95" customHeight="1">
      <c r="A151" s="1454" t="s">
        <v>2353</v>
      </c>
      <c r="B151" s="1454"/>
      <c r="C151" s="1454"/>
      <c r="D151" s="1763">
        <f t="shared" ref="D151:J151" si="24">SUM(D149:D150)</f>
        <v>0</v>
      </c>
      <c r="E151" s="1754">
        <f t="shared" si="24"/>
        <v>3231505.0999999996</v>
      </c>
      <c r="F151" s="1572">
        <f t="shared" si="24"/>
        <v>646301.02</v>
      </c>
      <c r="G151" s="1572">
        <f t="shared" si="24"/>
        <v>646301.02</v>
      </c>
      <c r="H151" s="1572">
        <f t="shared" si="24"/>
        <v>646301.02</v>
      </c>
      <c r="I151" s="1572">
        <f t="shared" si="24"/>
        <v>646301.02</v>
      </c>
      <c r="J151" s="1572">
        <f t="shared" si="24"/>
        <v>646301.02</v>
      </c>
    </row>
    <row r="152" spans="1:13" ht="13.35" customHeight="1">
      <c r="D152" s="826"/>
      <c r="E152" s="1865"/>
      <c r="F152" s="730"/>
      <c r="G152" s="730"/>
      <c r="H152" s="730"/>
      <c r="I152" s="730"/>
      <c r="J152" s="1845"/>
    </row>
    <row r="153" spans="1:13" ht="13.35" customHeight="1">
      <c r="A153" s="1445" t="s">
        <v>2062</v>
      </c>
      <c r="B153" s="1445"/>
      <c r="C153" s="1445"/>
      <c r="D153" s="1766"/>
      <c r="E153" s="1760"/>
      <c r="F153" s="1759"/>
      <c r="G153" s="1759"/>
      <c r="H153" s="1759"/>
      <c r="I153" s="1759"/>
      <c r="J153" s="1759"/>
    </row>
    <row r="154" spans="1:13" ht="13.35" customHeight="1">
      <c r="A154" s="1672" t="s">
        <v>2354</v>
      </c>
      <c r="B154" s="1673"/>
      <c r="C154" s="1672"/>
      <c r="D154" s="1843"/>
      <c r="E154" s="1757">
        <f>SUM(F154:J154)</f>
        <v>2123287.6712328764</v>
      </c>
      <c r="F154" s="1756">
        <f>(5000/0.73)*62</f>
        <v>424657.53424657532</v>
      </c>
      <c r="G154" s="1756">
        <f t="shared" ref="G154:J154" si="25">(5000/0.73)*62</f>
        <v>424657.53424657532</v>
      </c>
      <c r="H154" s="1756">
        <f t="shared" si="25"/>
        <v>424657.53424657532</v>
      </c>
      <c r="I154" s="1756">
        <f t="shared" si="25"/>
        <v>424657.53424657532</v>
      </c>
      <c r="J154" s="1756">
        <f t="shared" si="25"/>
        <v>424657.53424657532</v>
      </c>
      <c r="K154" s="1440" t="s">
        <v>2606</v>
      </c>
      <c r="L154" s="1444"/>
      <c r="M154" s="1444"/>
    </row>
    <row r="155" spans="1:13" ht="13.35" customHeight="1">
      <c r="A155" s="1454" t="s">
        <v>2063</v>
      </c>
      <c r="B155" s="1454"/>
      <c r="C155" s="1454"/>
      <c r="D155" s="1763">
        <f t="shared" ref="D155:J155" si="26">SUM(D154)</f>
        <v>0</v>
      </c>
      <c r="E155" s="1754">
        <f t="shared" si="26"/>
        <v>2123287.6712328764</v>
      </c>
      <c r="F155" s="1753">
        <f t="shared" si="26"/>
        <v>424657.53424657532</v>
      </c>
      <c r="G155" s="1753">
        <f t="shared" si="26"/>
        <v>424657.53424657532</v>
      </c>
      <c r="H155" s="1753">
        <f t="shared" si="26"/>
        <v>424657.53424657532</v>
      </c>
      <c r="I155" s="1753">
        <f t="shared" si="26"/>
        <v>424657.53424657532</v>
      </c>
      <c r="J155" s="1753">
        <f t="shared" si="26"/>
        <v>424657.53424657532</v>
      </c>
    </row>
    <row r="156" spans="1:13" ht="13.35" customHeight="1">
      <c r="D156" s="826"/>
      <c r="E156" s="1865"/>
      <c r="F156" s="730"/>
      <c r="G156" s="730"/>
      <c r="H156" s="730"/>
      <c r="I156" s="730"/>
      <c r="J156" s="1845"/>
    </row>
    <row r="157" spans="1:13" s="1444" customFormat="1" ht="12.15" customHeight="1">
      <c r="A157" s="1445" t="s">
        <v>2160</v>
      </c>
      <c r="B157" s="1445"/>
      <c r="C157" s="1445"/>
      <c r="D157" s="1766"/>
      <c r="E157" s="1760"/>
      <c r="F157" s="1569"/>
      <c r="G157" s="1569"/>
      <c r="H157" s="1569"/>
      <c r="I157" s="1569"/>
      <c r="J157" s="1844"/>
      <c r="L157" s="1440"/>
      <c r="M157" s="1440"/>
    </row>
    <row r="158" spans="1:13" ht="10.95" customHeight="1">
      <c r="A158" s="1446" t="s">
        <v>1855</v>
      </c>
      <c r="B158" s="1447">
        <v>46087</v>
      </c>
      <c r="C158" s="1446" t="s">
        <v>2566</v>
      </c>
      <c r="D158" s="1860">
        <v>94400</v>
      </c>
      <c r="E158" s="1757">
        <f t="shared" ref="E158:E161" si="27">SUM(F158:J158)</f>
        <v>94400</v>
      </c>
      <c r="F158" s="1849">
        <f>+D158</f>
        <v>94400</v>
      </c>
      <c r="G158" s="1849"/>
      <c r="H158" s="1849"/>
      <c r="I158" s="1849"/>
      <c r="J158" s="1848"/>
    </row>
    <row r="159" spans="1:13" ht="10.95" customHeight="1">
      <c r="A159" s="1450" t="s">
        <v>1631</v>
      </c>
      <c r="B159" s="1451">
        <v>46092</v>
      </c>
      <c r="C159" s="1450" t="s">
        <v>2567</v>
      </c>
      <c r="D159" s="1861">
        <v>73042</v>
      </c>
      <c r="E159" s="1757">
        <f t="shared" si="27"/>
        <v>73042</v>
      </c>
      <c r="F159" s="1847">
        <f>+D159</f>
        <v>73042</v>
      </c>
      <c r="G159" s="1847"/>
      <c r="H159" s="1847"/>
      <c r="I159" s="1847"/>
      <c r="J159" s="1846"/>
    </row>
    <row r="160" spans="1:13" ht="10.95" customHeight="1">
      <c r="A160" s="1672" t="s">
        <v>1855</v>
      </c>
      <c r="B160" s="1673"/>
      <c r="C160" s="1672"/>
      <c r="D160" s="1843"/>
      <c r="E160" s="1757">
        <f t="shared" si="27"/>
        <v>472000</v>
      </c>
      <c r="F160" s="1756">
        <v>94400</v>
      </c>
      <c r="G160" s="1756">
        <v>94400</v>
      </c>
      <c r="H160" s="1756">
        <v>94400</v>
      </c>
      <c r="I160" s="1756">
        <v>94400</v>
      </c>
      <c r="J160" s="1756">
        <v>94400</v>
      </c>
    </row>
    <row r="161" spans="1:13" ht="10.95" customHeight="1">
      <c r="A161" s="1672" t="s">
        <v>1631</v>
      </c>
      <c r="B161" s="1673"/>
      <c r="C161" s="1672"/>
      <c r="D161" s="1843"/>
      <c r="E161" s="1757">
        <f t="shared" si="27"/>
        <v>380000</v>
      </c>
      <c r="F161" s="1756">
        <v>76000</v>
      </c>
      <c r="G161" s="1756">
        <v>76000</v>
      </c>
      <c r="H161" s="1756">
        <v>76000</v>
      </c>
      <c r="I161" s="1756">
        <v>76000</v>
      </c>
      <c r="J161" s="1756">
        <v>76000</v>
      </c>
    </row>
    <row r="162" spans="1:13" ht="10.95" customHeight="1">
      <c r="A162" s="1672" t="s">
        <v>1380</v>
      </c>
      <c r="B162" s="1673"/>
      <c r="C162" s="1672"/>
      <c r="D162" s="1843"/>
      <c r="E162" s="1757">
        <f>SUM(F162:J162)</f>
        <v>731600</v>
      </c>
      <c r="F162" s="1756">
        <f>2360*62</f>
        <v>146320</v>
      </c>
      <c r="G162" s="1756">
        <f t="shared" ref="G162:J162" si="28">2360*62</f>
        <v>146320</v>
      </c>
      <c r="H162" s="1756">
        <f t="shared" si="28"/>
        <v>146320</v>
      </c>
      <c r="I162" s="1756">
        <f t="shared" si="28"/>
        <v>146320</v>
      </c>
      <c r="J162" s="1756">
        <f t="shared" si="28"/>
        <v>146320</v>
      </c>
      <c r="L162" s="1444"/>
      <c r="M162" s="1444"/>
    </row>
    <row r="163" spans="1:13" ht="10.95" customHeight="1">
      <c r="A163" s="1454" t="s">
        <v>2164</v>
      </c>
      <c r="B163" s="1454"/>
      <c r="C163" s="1454"/>
      <c r="D163" s="1763">
        <f t="shared" ref="D163:J163" si="29">SUM(D158:D162)</f>
        <v>167442</v>
      </c>
      <c r="E163" s="1754">
        <f t="shared" si="29"/>
        <v>1751042</v>
      </c>
      <c r="F163" s="1572">
        <f t="shared" si="29"/>
        <v>484162</v>
      </c>
      <c r="G163" s="1572">
        <f t="shared" si="29"/>
        <v>316720</v>
      </c>
      <c r="H163" s="1572">
        <f t="shared" si="29"/>
        <v>316720</v>
      </c>
      <c r="I163" s="1572">
        <f t="shared" si="29"/>
        <v>316720</v>
      </c>
      <c r="J163" s="1572">
        <f t="shared" si="29"/>
        <v>316720</v>
      </c>
    </row>
    <row r="164" spans="1:13" ht="13.35" customHeight="1">
      <c r="D164" s="826"/>
      <c r="E164" s="1865"/>
      <c r="F164" s="730"/>
      <c r="G164" s="730"/>
      <c r="H164" s="730"/>
      <c r="I164" s="730"/>
      <c r="J164" s="1845"/>
    </row>
    <row r="165" spans="1:13" s="1444" customFormat="1" ht="12.15" customHeight="1">
      <c r="A165" s="1445" t="s">
        <v>2031</v>
      </c>
      <c r="B165" s="1445"/>
      <c r="C165" s="1445"/>
      <c r="D165" s="1766"/>
      <c r="E165" s="1760"/>
      <c r="F165" s="1569"/>
      <c r="G165" s="1569"/>
      <c r="H165" s="1569"/>
      <c r="I165" s="1569"/>
      <c r="J165" s="1844"/>
      <c r="L165" s="1440"/>
      <c r="M165" s="1440"/>
    </row>
    <row r="166" spans="1:13" ht="14.4" customHeight="1">
      <c r="A166" s="1446" t="s">
        <v>2228</v>
      </c>
      <c r="B166" s="1447">
        <v>46098</v>
      </c>
      <c r="C166" s="1446" t="s">
        <v>2568</v>
      </c>
      <c r="D166" s="1860">
        <v>88269.5</v>
      </c>
      <c r="E166" s="1757">
        <f t="shared" ref="E166:E168" si="30">SUM(F166:J166)</f>
        <v>88269.5</v>
      </c>
      <c r="F166" s="1849">
        <f>+D166</f>
        <v>88269.5</v>
      </c>
      <c r="G166" s="1849"/>
      <c r="H166" s="1849"/>
      <c r="I166" s="1849"/>
      <c r="J166" s="1848"/>
    </row>
    <row r="167" spans="1:13" ht="10.95" customHeight="1">
      <c r="A167" s="1672" t="s">
        <v>746</v>
      </c>
      <c r="B167" s="1673"/>
      <c r="C167" s="1672"/>
      <c r="D167" s="1843"/>
      <c r="E167" s="1757">
        <f t="shared" si="30"/>
        <v>106200</v>
      </c>
      <c r="F167" s="1756">
        <v>21240</v>
      </c>
      <c r="G167" s="1756">
        <v>21240</v>
      </c>
      <c r="H167" s="1756">
        <v>21240</v>
      </c>
      <c r="I167" s="1756">
        <v>21240</v>
      </c>
      <c r="J167" s="1756">
        <v>21240</v>
      </c>
    </row>
    <row r="168" spans="1:13" ht="10.95" customHeight="1">
      <c r="A168" s="1672" t="s">
        <v>2188</v>
      </c>
      <c r="B168" s="1673"/>
      <c r="C168" s="1672"/>
      <c r="D168" s="1843"/>
      <c r="E168" s="1757">
        <f t="shared" si="30"/>
        <v>441347.5</v>
      </c>
      <c r="F168" s="1756">
        <v>88269.5</v>
      </c>
      <c r="G168" s="1756">
        <v>88269.5</v>
      </c>
      <c r="H168" s="1756">
        <v>88269.5</v>
      </c>
      <c r="I168" s="1756">
        <v>88269.5</v>
      </c>
      <c r="J168" s="1756">
        <v>88269.5</v>
      </c>
    </row>
    <row r="169" spans="1:13" ht="10.95" customHeight="1">
      <c r="A169" s="1672" t="s">
        <v>2230</v>
      </c>
      <c r="B169" s="1673"/>
      <c r="C169" s="1672"/>
      <c r="D169" s="1843"/>
      <c r="E169" s="1757">
        <f>SUM(F169:J169)</f>
        <v>511825</v>
      </c>
      <c r="F169" s="1756">
        <v>102365</v>
      </c>
      <c r="G169" s="1756">
        <v>102365</v>
      </c>
      <c r="H169" s="1756">
        <v>102365</v>
      </c>
      <c r="I169" s="1756">
        <v>102365</v>
      </c>
      <c r="J169" s="1756">
        <v>102365</v>
      </c>
      <c r="L169" s="1444"/>
      <c r="M169" s="1444"/>
    </row>
    <row r="170" spans="1:13" ht="10.95" customHeight="1">
      <c r="A170" s="1454" t="s">
        <v>2032</v>
      </c>
      <c r="B170" s="1454"/>
      <c r="C170" s="1454"/>
      <c r="D170" s="1763">
        <f t="shared" ref="D170:J170" si="31">SUM(D166:D169)</f>
        <v>88269.5</v>
      </c>
      <c r="E170" s="1754">
        <f t="shared" si="31"/>
        <v>1147642</v>
      </c>
      <c r="F170" s="1572">
        <f t="shared" si="31"/>
        <v>300144</v>
      </c>
      <c r="G170" s="1572">
        <f t="shared" si="31"/>
        <v>211874.5</v>
      </c>
      <c r="H170" s="1572">
        <f t="shared" si="31"/>
        <v>211874.5</v>
      </c>
      <c r="I170" s="1572">
        <f t="shared" si="31"/>
        <v>211874.5</v>
      </c>
      <c r="J170" s="1572">
        <f t="shared" si="31"/>
        <v>211874.5</v>
      </c>
    </row>
    <row r="171" spans="1:13" ht="13.35" customHeight="1">
      <c r="D171" s="826"/>
      <c r="E171" s="1865"/>
      <c r="F171" s="730"/>
      <c r="G171" s="730"/>
      <c r="H171" s="730"/>
      <c r="I171" s="730"/>
      <c r="J171" s="1845"/>
    </row>
    <row r="172" spans="1:13" s="1444" customFormat="1" ht="12.15" customHeight="1">
      <c r="A172" s="1445" t="s">
        <v>2167</v>
      </c>
      <c r="B172" s="1445"/>
      <c r="C172" s="1445"/>
      <c r="D172" s="1766"/>
      <c r="E172" s="1760"/>
      <c r="F172" s="1569"/>
      <c r="G172" s="1569"/>
      <c r="H172" s="1569"/>
      <c r="I172" s="1569"/>
      <c r="J172" s="1844"/>
      <c r="L172" s="1440"/>
      <c r="M172" s="1440"/>
    </row>
    <row r="173" spans="1:13" ht="10.95" customHeight="1">
      <c r="A173" s="1446" t="s">
        <v>914</v>
      </c>
      <c r="B173" s="1447">
        <v>46100</v>
      </c>
      <c r="C173" s="1446" t="s">
        <v>2569</v>
      </c>
      <c r="D173" s="1860">
        <v>395890</v>
      </c>
      <c r="E173" s="1757">
        <f t="shared" ref="E173:E175" si="32">SUM(F173:J173)</f>
        <v>395890</v>
      </c>
      <c r="F173" s="1849">
        <f>+D173</f>
        <v>395890</v>
      </c>
      <c r="G173" s="1849"/>
      <c r="H173" s="1849"/>
      <c r="I173" s="1849"/>
      <c r="J173" s="1848"/>
    </row>
    <row r="174" spans="1:13" ht="10.95" customHeight="1">
      <c r="A174" s="1672" t="s">
        <v>2064</v>
      </c>
      <c r="B174" s="1673"/>
      <c r="C174" s="1672"/>
      <c r="D174" s="1843"/>
      <c r="E174" s="1757">
        <f t="shared" si="32"/>
        <v>750000</v>
      </c>
      <c r="F174" s="1756">
        <v>150000</v>
      </c>
      <c r="G174" s="1756">
        <v>150000</v>
      </c>
      <c r="H174" s="1756">
        <v>150000</v>
      </c>
      <c r="I174" s="1756">
        <v>150000</v>
      </c>
      <c r="J174" s="1756">
        <v>150000</v>
      </c>
    </row>
    <row r="175" spans="1:13" ht="10.95" customHeight="1">
      <c r="A175" s="1672" t="s">
        <v>2241</v>
      </c>
      <c r="B175" s="1673"/>
      <c r="C175" s="1672"/>
      <c r="D175" s="1843"/>
      <c r="E175" s="1757">
        <f t="shared" si="32"/>
        <v>672000</v>
      </c>
      <c r="F175" s="1756">
        <v>288000</v>
      </c>
      <c r="G175" s="1756">
        <v>384000</v>
      </c>
      <c r="H175" s="1568"/>
      <c r="I175" s="1767"/>
      <c r="J175" s="1756"/>
    </row>
    <row r="176" spans="1:13" ht="10.95" customHeight="1">
      <c r="A176" s="1672" t="s">
        <v>2607</v>
      </c>
      <c r="B176" s="1673"/>
      <c r="C176" s="1672"/>
      <c r="D176" s="1843"/>
      <c r="E176" s="1757"/>
      <c r="H176" s="1756">
        <v>1500000</v>
      </c>
      <c r="I176" s="1756"/>
      <c r="J176" s="1756"/>
    </row>
    <row r="177" spans="1:13" ht="10.95" customHeight="1">
      <c r="A177" s="1672" t="s">
        <v>2242</v>
      </c>
      <c r="B177" s="1673"/>
      <c r="C177" s="1672"/>
      <c r="D177" s="1843"/>
      <c r="E177" s="1757">
        <f>SUM(H177:J177)</f>
        <v>2000000</v>
      </c>
      <c r="H177" s="1756">
        <v>2000000</v>
      </c>
      <c r="I177" s="1756"/>
      <c r="J177" s="1756"/>
    </row>
    <row r="178" spans="1:13" ht="10.95" customHeight="1">
      <c r="A178" s="1672" t="s">
        <v>2243</v>
      </c>
      <c r="B178" s="1673"/>
      <c r="C178" s="1672"/>
      <c r="D178" s="1843"/>
      <c r="E178" s="1757">
        <f>SUM(F178:J178)</f>
        <v>32000</v>
      </c>
      <c r="F178" s="1756">
        <v>32000</v>
      </c>
      <c r="G178" s="1756"/>
      <c r="H178" s="1756"/>
      <c r="I178" s="1756"/>
      <c r="J178" s="1756"/>
      <c r="L178" s="1444"/>
      <c r="M178" s="1444"/>
    </row>
    <row r="179" spans="1:13" ht="10.95" customHeight="1">
      <c r="A179" s="1454" t="s">
        <v>2171</v>
      </c>
      <c r="B179" s="1454"/>
      <c r="C179" s="1454"/>
      <c r="D179" s="1763">
        <f t="shared" ref="D179:J179" si="33">SUM(D173:D178)</f>
        <v>395890</v>
      </c>
      <c r="E179" s="1754">
        <f t="shared" si="33"/>
        <v>3849890</v>
      </c>
      <c r="F179" s="1572">
        <f t="shared" si="33"/>
        <v>865890</v>
      </c>
      <c r="G179" s="1572">
        <f t="shared" si="33"/>
        <v>534000</v>
      </c>
      <c r="H179" s="1572">
        <f t="shared" si="33"/>
        <v>3650000</v>
      </c>
      <c r="I179" s="1572">
        <f t="shared" si="33"/>
        <v>150000</v>
      </c>
      <c r="J179" s="1572">
        <f t="shared" si="33"/>
        <v>150000</v>
      </c>
    </row>
    <row r="180" spans="1:13" ht="13.35" customHeight="1">
      <c r="D180" s="826"/>
      <c r="E180" s="1865"/>
      <c r="F180" s="730"/>
      <c r="G180" s="730"/>
      <c r="H180" s="730"/>
      <c r="I180" s="730"/>
      <c r="J180" s="1845"/>
    </row>
    <row r="181" spans="1:13" s="1444" customFormat="1" ht="12.15" customHeight="1">
      <c r="A181" s="1445" t="s">
        <v>2430</v>
      </c>
      <c r="B181" s="1445"/>
      <c r="C181" s="1445"/>
      <c r="D181" s="1766"/>
      <c r="E181" s="1760"/>
      <c r="F181" s="1569"/>
      <c r="G181" s="1569"/>
      <c r="H181" s="1569"/>
      <c r="I181" s="1569"/>
      <c r="J181" s="1844"/>
      <c r="L181" s="1440"/>
      <c r="M181" s="1440"/>
    </row>
    <row r="182" spans="1:13" ht="10.95" customHeight="1">
      <c r="A182" s="1446" t="s">
        <v>2431</v>
      </c>
      <c r="B182" s="1447">
        <v>46063</v>
      </c>
      <c r="C182" s="1446" t="s">
        <v>2432</v>
      </c>
      <c r="D182" s="1860">
        <v>107004.11</v>
      </c>
      <c r="E182" s="1757">
        <f>SUM(F182:J182)</f>
        <v>107004.11</v>
      </c>
      <c r="F182" s="1849">
        <f>+D182</f>
        <v>107004.11</v>
      </c>
      <c r="G182" s="1849"/>
      <c r="H182" s="1849"/>
      <c r="I182" s="1849"/>
      <c r="J182" s="1848"/>
    </row>
    <row r="183" spans="1:13" ht="10.95" customHeight="1">
      <c r="A183" s="1672" t="s">
        <v>2064</v>
      </c>
      <c r="B183" s="1673"/>
      <c r="C183" s="1672"/>
      <c r="D183" s="1843"/>
      <c r="E183" s="1757">
        <f>SUM(F183:J183)</f>
        <v>2500000</v>
      </c>
      <c r="F183" s="1756">
        <v>500000</v>
      </c>
      <c r="G183" s="1756">
        <v>500000</v>
      </c>
      <c r="H183" s="1756">
        <v>500000</v>
      </c>
      <c r="I183" s="1756">
        <v>500000</v>
      </c>
      <c r="J183" s="1756">
        <v>500000</v>
      </c>
      <c r="L183" s="1444"/>
      <c r="M183" s="1444"/>
    </row>
    <row r="184" spans="1:13" ht="10.95" customHeight="1">
      <c r="A184" s="1454" t="s">
        <v>2355</v>
      </c>
      <c r="B184" s="1454"/>
      <c r="C184" s="1454"/>
      <c r="D184" s="1763">
        <f t="shared" ref="D184:J184" si="34">SUM(D182:D183)</f>
        <v>107004.11</v>
      </c>
      <c r="E184" s="1754">
        <f t="shared" si="34"/>
        <v>2607004.11</v>
      </c>
      <c r="F184" s="1572">
        <f t="shared" si="34"/>
        <v>607004.11</v>
      </c>
      <c r="G184" s="1572">
        <f t="shared" si="34"/>
        <v>500000</v>
      </c>
      <c r="H184" s="1572">
        <f t="shared" si="34"/>
        <v>500000</v>
      </c>
      <c r="I184" s="1572">
        <f t="shared" si="34"/>
        <v>500000</v>
      </c>
      <c r="J184" s="1572">
        <f t="shared" si="34"/>
        <v>500000</v>
      </c>
    </row>
    <row r="185" spans="1:13" ht="13.35" customHeight="1">
      <c r="D185" s="826"/>
      <c r="E185" s="1865"/>
      <c r="F185" s="730"/>
      <c r="G185" s="730"/>
      <c r="H185" s="730"/>
      <c r="I185" s="730"/>
      <c r="J185" s="1845"/>
    </row>
    <row r="186" spans="1:13" s="1444" customFormat="1" ht="12.15" customHeight="1">
      <c r="A186" s="1445" t="s">
        <v>919</v>
      </c>
      <c r="B186" s="1445"/>
      <c r="C186" s="1445"/>
      <c r="D186" s="1766"/>
      <c r="E186" s="1760"/>
      <c r="F186" s="1569"/>
      <c r="G186" s="1569"/>
      <c r="H186" s="1569"/>
      <c r="I186" s="1569"/>
      <c r="J186" s="1844"/>
      <c r="L186" s="1440"/>
      <c r="M186" s="1440"/>
    </row>
    <row r="187" spans="1:13" ht="10.95" customHeight="1">
      <c r="A187" s="1446" t="s">
        <v>2570</v>
      </c>
      <c r="B187" s="1447">
        <v>46100</v>
      </c>
      <c r="C187" s="1446" t="s">
        <v>2571</v>
      </c>
      <c r="D187" s="1860">
        <v>4755</v>
      </c>
      <c r="E187" s="1757">
        <f t="shared" ref="E187:E190" si="35">SUM(F187:J187)</f>
        <v>4755</v>
      </c>
      <c r="F187" s="1849">
        <f>+D187</f>
        <v>4755</v>
      </c>
      <c r="G187" s="1849"/>
      <c r="H187" s="1849"/>
      <c r="I187" s="1849"/>
      <c r="J187" s="1848"/>
    </row>
    <row r="188" spans="1:13" ht="10.95" customHeight="1">
      <c r="A188" s="1450" t="s">
        <v>2572</v>
      </c>
      <c r="B188" s="1451">
        <v>46112</v>
      </c>
      <c r="C188" s="1450" t="s">
        <v>2573</v>
      </c>
      <c r="D188" s="1861">
        <v>111300.56</v>
      </c>
      <c r="E188" s="1757">
        <f t="shared" si="35"/>
        <v>111300.56</v>
      </c>
      <c r="F188" s="1847">
        <f>+D188</f>
        <v>111300.56</v>
      </c>
      <c r="G188" s="1847"/>
      <c r="H188" s="1847"/>
      <c r="I188" s="1847"/>
      <c r="J188" s="1846"/>
    </row>
    <row r="189" spans="1:13" ht="10.95" customHeight="1">
      <c r="A189" s="1672" t="s">
        <v>795</v>
      </c>
      <c r="B189" s="1673"/>
      <c r="C189" s="1672"/>
      <c r="D189" s="1843"/>
      <c r="E189" s="1757">
        <f t="shared" si="35"/>
        <v>1113330</v>
      </c>
      <c r="F189" s="1756">
        <v>371110</v>
      </c>
      <c r="G189" s="1756"/>
      <c r="H189" s="1756">
        <v>742220</v>
      </c>
      <c r="J189" s="1756"/>
    </row>
    <row r="190" spans="1:13" ht="10.95" customHeight="1">
      <c r="A190" s="1672" t="s">
        <v>2244</v>
      </c>
      <c r="B190" s="1673"/>
      <c r="C190" s="1672"/>
      <c r="D190" s="1843"/>
      <c r="E190" s="1757">
        <f t="shared" si="35"/>
        <v>29500</v>
      </c>
      <c r="F190" s="1756">
        <v>29500</v>
      </c>
      <c r="G190" s="1756"/>
      <c r="H190" s="1756"/>
      <c r="I190" s="1756"/>
      <c r="J190" s="1756"/>
    </row>
    <row r="191" spans="1:13" ht="10.95" customHeight="1">
      <c r="A191" s="1672" t="s">
        <v>2608</v>
      </c>
      <c r="B191" s="1673"/>
      <c r="C191" s="1672"/>
      <c r="D191" s="1843"/>
      <c r="E191" s="1757">
        <f>SUM(F191:J191)</f>
        <v>3231358.95</v>
      </c>
      <c r="F191" s="1772">
        <f>1628532.75+1302826.2+300000</f>
        <v>3231358.95</v>
      </c>
      <c r="G191" s="1756"/>
      <c r="H191" s="1756"/>
      <c r="I191" s="1756"/>
      <c r="J191" s="1756"/>
    </row>
    <row r="192" spans="1:13" ht="10.95" customHeight="1">
      <c r="A192" s="1454" t="s">
        <v>1864</v>
      </c>
      <c r="B192" s="1454"/>
      <c r="C192" s="1454"/>
      <c r="D192" s="1763">
        <f t="shared" ref="D192:J192" si="36">SUM(D187:D191)</f>
        <v>116055.56</v>
      </c>
      <c r="E192" s="1754">
        <f t="shared" si="36"/>
        <v>4490244.51</v>
      </c>
      <c r="F192" s="1572">
        <f t="shared" si="36"/>
        <v>3748024.5100000002</v>
      </c>
      <c r="G192" s="1572">
        <f t="shared" si="36"/>
        <v>0</v>
      </c>
      <c r="H192" s="1572">
        <f t="shared" si="36"/>
        <v>742220</v>
      </c>
      <c r="I192" s="1572">
        <f t="shared" si="36"/>
        <v>0</v>
      </c>
      <c r="J192" s="1572">
        <f t="shared" si="36"/>
        <v>0</v>
      </c>
    </row>
    <row r="193" spans="1:10" ht="13.35" customHeight="1">
      <c r="D193" s="826"/>
      <c r="E193" s="1865"/>
      <c r="F193" s="730"/>
      <c r="G193" s="730"/>
      <c r="H193" s="730"/>
      <c r="I193" s="730"/>
      <c r="J193" s="1845"/>
    </row>
    <row r="194" spans="1:10" ht="13.35" customHeight="1">
      <c r="A194" s="1445" t="s">
        <v>2609</v>
      </c>
      <c r="B194" s="1445"/>
      <c r="C194" s="1445"/>
      <c r="D194" s="1766"/>
      <c r="E194" s="1760"/>
      <c r="F194" s="1569"/>
      <c r="G194" s="1569"/>
      <c r="H194" s="1569"/>
      <c r="I194" s="1569"/>
      <c r="J194" s="1844"/>
    </row>
    <row r="195" spans="1:10" ht="10.95" customHeight="1">
      <c r="A195" s="1672" t="s">
        <v>2610</v>
      </c>
      <c r="B195" s="1673"/>
      <c r="C195" s="1672"/>
      <c r="D195" s="1843"/>
      <c r="E195" s="1757">
        <f>SUM(F195:J195)</f>
        <v>14967013.88888889</v>
      </c>
      <c r="F195" s="1756">
        <f>+'Intereses 03-26'!Y36</f>
        <v>1642361.1111111112</v>
      </c>
      <c r="G195" s="1756">
        <f>+'Intereses 03-26'!Z36</f>
        <v>2291666.666666667</v>
      </c>
      <c r="H195" s="1756">
        <f>+'Intereses 03-26'!AA36</f>
        <v>3470486.111111111</v>
      </c>
      <c r="I195" s="1756">
        <f>+'Intereses 03-26'!AB36</f>
        <v>3432291.666666667</v>
      </c>
      <c r="J195" s="1756">
        <f>+'Intereses 03-26'!AC36</f>
        <v>4130208.333333334</v>
      </c>
    </row>
    <row r="196" spans="1:10" ht="13.35" customHeight="1">
      <c r="A196" s="1454" t="s">
        <v>1864</v>
      </c>
      <c r="B196" s="1454"/>
      <c r="C196" s="1454"/>
      <c r="D196" s="1763">
        <f t="shared" ref="D196:J196" si="37">SUM(D195:D195)</f>
        <v>0</v>
      </c>
      <c r="E196" s="1754">
        <f t="shared" si="37"/>
        <v>14967013.88888889</v>
      </c>
      <c r="F196" s="1572">
        <f t="shared" si="37"/>
        <v>1642361.1111111112</v>
      </c>
      <c r="G196" s="1572">
        <f t="shared" si="37"/>
        <v>2291666.666666667</v>
      </c>
      <c r="H196" s="1572">
        <f t="shared" si="37"/>
        <v>3470486.111111111</v>
      </c>
      <c r="I196" s="1572">
        <f t="shared" si="37"/>
        <v>3432291.666666667</v>
      </c>
      <c r="J196" s="1842">
        <f t="shared" si="37"/>
        <v>4130208.333333334</v>
      </c>
    </row>
    <row r="197" spans="1:10" ht="13.35" customHeight="1">
      <c r="A197" s="1458"/>
      <c r="B197" s="1458"/>
      <c r="C197" s="1458"/>
      <c r="D197" s="1862"/>
      <c r="E197" s="1751"/>
      <c r="F197" s="1824"/>
      <c r="G197" s="1824"/>
      <c r="H197" s="1824"/>
      <c r="I197" s="1824"/>
      <c r="J197" s="1841"/>
    </row>
    <row r="198" spans="1:10" ht="10.95" customHeight="1">
      <c r="A198" s="1461" t="s">
        <v>164</v>
      </c>
      <c r="B198" s="1461"/>
      <c r="C198" s="1461"/>
      <c r="D198" s="1748">
        <f t="shared" ref="D198:J198" si="38">+D22+D100+D104+D108+D112+D117+D122+D126+D132+D136+D140+D146+D151+D155+D163+D170+D179+D184+D192+D196</f>
        <v>23157242.750000004</v>
      </c>
      <c r="E198" s="1867">
        <f t="shared" si="38"/>
        <v>439492496.08012187</v>
      </c>
      <c r="F198" s="1575">
        <f t="shared" si="38"/>
        <v>85320587.098691031</v>
      </c>
      <c r="G198" s="1575">
        <f t="shared" si="38"/>
        <v>82411861.884246573</v>
      </c>
      <c r="H198" s="1575">
        <f t="shared" si="38"/>
        <v>114432737.98869102</v>
      </c>
      <c r="I198" s="1575">
        <f t="shared" si="38"/>
        <v>67702323.544246584</v>
      </c>
      <c r="J198" s="1575">
        <f t="shared" si="38"/>
        <v>92050240.210913241</v>
      </c>
    </row>
    <row r="199" spans="1:10" ht="13.35" customHeight="1">
      <c r="D199" s="1825">
        <f t="shared" ref="D199:J199" si="39">SUM(D7:D197)/2</f>
        <v>23157242.75</v>
      </c>
      <c r="E199" s="1825">
        <f t="shared" si="39"/>
        <v>439492496.08012176</v>
      </c>
      <c r="F199" s="1825">
        <f t="shared" si="39"/>
        <v>85320587.098691031</v>
      </c>
      <c r="G199" s="1825">
        <f t="shared" si="39"/>
        <v>82411861.884246573</v>
      </c>
      <c r="H199" s="1825">
        <f t="shared" si="39"/>
        <v>114432737.988691</v>
      </c>
      <c r="I199" s="1825">
        <f t="shared" si="39"/>
        <v>67702323.544246584</v>
      </c>
      <c r="J199" s="1825">
        <f t="shared" si="39"/>
        <v>92050240.210913241</v>
      </c>
    </row>
    <row r="200" spans="1:10">
      <c r="D200" s="713">
        <f>+D198-D199</f>
        <v>0</v>
      </c>
      <c r="E200" s="713">
        <f t="shared" ref="E200:J200" si="40">+E198-E199</f>
        <v>0</v>
      </c>
      <c r="F200" s="713">
        <f t="shared" si="40"/>
        <v>0</v>
      </c>
      <c r="G200" s="713">
        <f t="shared" si="40"/>
        <v>0</v>
      </c>
      <c r="H200" s="713">
        <f t="shared" si="40"/>
        <v>0</v>
      </c>
      <c r="I200" s="713">
        <f t="shared" si="40"/>
        <v>0</v>
      </c>
      <c r="J200" s="713">
        <f t="shared" si="40"/>
        <v>0</v>
      </c>
    </row>
  </sheetData>
  <autoFilter ref="A1:J199" xr:uid="{785AFC9A-F44F-433B-892E-68AF68FBB5A0}"/>
  <pageMargins left="0.7" right="0.7" top="0.75" bottom="0.75" header="0.3" footer="0.3"/>
  <pageSetup paperSize="9" fitToWidth="0" fitToHeight="0" orientation="portrait" r:id="rId1"/>
  <drawing r:id="rId2"/>
  <legacyDrawing r:id="rId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D8DAA-3221-4FEC-ACCF-BA3ED70D837E}">
  <sheetPr>
    <tabColor theme="5" tint="0.79998168889431442"/>
  </sheetPr>
  <dimension ref="A1:V50"/>
  <sheetViews>
    <sheetView showGridLines="0" topLeftCell="A2" zoomScale="110" zoomScaleNormal="110" workbookViewId="0">
      <pane xSplit="7" ySplit="3" topLeftCell="H5" activePane="bottomRight" state="frozen"/>
      <selection activeCell="A175" sqref="A175:XFD175"/>
      <selection pane="topRight" activeCell="A175" sqref="A175:XFD175"/>
      <selection pane="bottomLeft" activeCell="A175" sqref="A175:XFD175"/>
      <selection pane="bottomRight" activeCell="A175" sqref="A175:XFD175"/>
    </sheetView>
  </sheetViews>
  <sheetFormatPr baseColWidth="10" defaultColWidth="11.44140625" defaultRowHeight="14.4"/>
  <cols>
    <col min="1" max="1" width="3.6640625" customWidth="1"/>
    <col min="2" max="2" width="27.109375" customWidth="1"/>
    <col min="3" max="5" width="18" hidden="1" customWidth="1"/>
    <col min="6" max="6" width="14.6640625" style="841" hidden="1" customWidth="1"/>
    <col min="7" max="7" width="17.6640625" style="841" customWidth="1"/>
    <col min="8" max="8" width="13.33203125" customWidth="1"/>
    <col min="9" max="9" width="17.33203125" customWidth="1"/>
    <col min="10" max="10" width="13.6640625" customWidth="1"/>
    <col min="11" max="11" width="13.6640625" hidden="1" customWidth="1"/>
    <col min="12" max="12" width="13.33203125" hidden="1" customWidth="1"/>
    <col min="13" max="13" width="15" hidden="1" customWidth="1"/>
    <col min="14" max="14" width="15.6640625" hidden="1" customWidth="1"/>
    <col min="15" max="15" width="15.5546875" customWidth="1"/>
    <col min="16" max="16" width="7.6640625" style="14" bestFit="1" customWidth="1"/>
    <col min="17" max="17" width="15.88671875" customWidth="1"/>
    <col min="18" max="18" width="16.5546875" customWidth="1"/>
    <col min="19" max="19" width="16.109375" customWidth="1"/>
    <col min="20" max="20" width="18.5546875" customWidth="1"/>
    <col min="21" max="21" width="17" customWidth="1"/>
    <col min="22" max="24" width="15.44140625" bestFit="1" customWidth="1"/>
    <col min="25" max="25" width="14.44140625" bestFit="1" customWidth="1"/>
  </cols>
  <sheetData>
    <row r="1" spans="1:22" ht="21.6" customHeight="1">
      <c r="E1" s="370"/>
      <c r="H1" s="370"/>
      <c r="J1" s="370"/>
      <c r="K1" s="370"/>
      <c r="O1" s="732"/>
      <c r="S1" s="2109" t="s">
        <v>185</v>
      </c>
      <c r="T1" s="2109"/>
      <c r="U1" s="2109"/>
      <c r="V1" s="2109"/>
    </row>
    <row r="2" spans="1:22" ht="15" thickBot="1">
      <c r="E2" s="509"/>
      <c r="F2" s="840"/>
      <c r="G2" s="840"/>
      <c r="H2" s="509"/>
      <c r="I2" s="181" t="s">
        <v>197</v>
      </c>
      <c r="J2" s="1621"/>
      <c r="K2" s="2148" t="s">
        <v>1611</v>
      </c>
      <c r="L2" s="2148"/>
      <c r="M2" s="2148"/>
      <c r="N2" s="2148"/>
      <c r="O2" s="1111"/>
      <c r="P2" s="13"/>
      <c r="Q2" s="181" t="s">
        <v>199</v>
      </c>
      <c r="R2" s="181" t="s">
        <v>225</v>
      </c>
      <c r="S2" s="2109"/>
      <c r="T2" s="2109"/>
      <c r="U2" s="2109"/>
      <c r="V2" s="2109"/>
    </row>
    <row r="3" spans="1:22" ht="15.6" customHeight="1" thickBot="1">
      <c r="B3" s="1033" t="s">
        <v>1445</v>
      </c>
      <c r="C3" s="1034"/>
      <c r="D3" s="1035"/>
      <c r="E3" s="1035"/>
      <c r="F3" s="1036"/>
      <c r="G3" s="1036"/>
      <c r="H3" s="1565">
        <v>61</v>
      </c>
      <c r="I3" s="2142" t="s">
        <v>145</v>
      </c>
      <c r="J3" s="2142" t="s">
        <v>650</v>
      </c>
      <c r="K3" s="2146" t="s">
        <v>2080</v>
      </c>
      <c r="L3" s="2146" t="s">
        <v>1541</v>
      </c>
      <c r="M3" s="2146" t="s">
        <v>1613</v>
      </c>
      <c r="N3" s="2146" t="s">
        <v>652</v>
      </c>
      <c r="O3" s="2179" t="s">
        <v>227</v>
      </c>
      <c r="P3" s="2179" t="s">
        <v>2356</v>
      </c>
      <c r="Q3" s="2142" t="s">
        <v>2357</v>
      </c>
      <c r="R3" s="2142" t="s">
        <v>146</v>
      </c>
      <c r="S3" s="183"/>
      <c r="T3" s="183"/>
      <c r="U3" s="183"/>
      <c r="V3" s="183"/>
    </row>
    <row r="4" spans="1:22" ht="25.2" customHeight="1" thickBot="1">
      <c r="A4" s="152"/>
      <c r="B4" s="1038" t="s">
        <v>29</v>
      </c>
      <c r="C4" s="1039" t="s">
        <v>762</v>
      </c>
      <c r="D4" s="1038" t="s">
        <v>763</v>
      </c>
      <c r="E4" s="1110" t="s">
        <v>1446</v>
      </c>
      <c r="F4" s="1110" t="s">
        <v>1614</v>
      </c>
      <c r="G4" s="1038" t="s">
        <v>1614</v>
      </c>
      <c r="H4" s="1038" t="s">
        <v>31</v>
      </c>
      <c r="I4" s="2143"/>
      <c r="J4" s="2143"/>
      <c r="K4" s="2147"/>
      <c r="L4" s="2147"/>
      <c r="M4" s="2147"/>
      <c r="N4" s="2147"/>
      <c r="O4" s="2180"/>
      <c r="P4" s="2180"/>
      <c r="Q4" s="2181"/>
      <c r="R4" s="2143"/>
      <c r="S4" s="183"/>
      <c r="T4" s="183"/>
      <c r="U4" s="183"/>
      <c r="V4" s="183"/>
    </row>
    <row r="5" spans="1:22">
      <c r="A5">
        <v>1</v>
      </c>
      <c r="B5" s="335" t="s">
        <v>33</v>
      </c>
      <c r="C5" s="1025">
        <f>SUM('budget (11)'!D2:D3)</f>
        <v>103385169</v>
      </c>
      <c r="D5" s="1053">
        <v>103385169</v>
      </c>
      <c r="E5" s="1053">
        <f>+'ADI 462 julio 25 '!D18</f>
        <v>105180000</v>
      </c>
      <c r="F5" s="1054">
        <f>+'ADI 462 AGO25'!D18</f>
        <v>106933000</v>
      </c>
      <c r="G5" s="1054">
        <f>+'ADI 09-25'!C18</f>
        <v>106933000</v>
      </c>
      <c r="H5" s="1053">
        <f>G5/H3</f>
        <v>1753000</v>
      </c>
      <c r="I5" s="1055">
        <f>+'Proc. 03-26'!C$2</f>
        <v>264445080.16</v>
      </c>
      <c r="J5" s="1055">
        <f>+'Proc. 03-26'!D$2</f>
        <v>264445081.16</v>
      </c>
      <c r="K5" s="1055">
        <f>+'Flujo y Ejecución 10-25'!H14</f>
        <v>0</v>
      </c>
      <c r="L5" s="1055"/>
      <c r="M5" s="1055"/>
      <c r="N5" s="1055"/>
      <c r="O5" s="1055">
        <f t="shared" ref="O5:O11" si="0">+J5-L5-M5+N5</f>
        <v>264445081.16</v>
      </c>
      <c r="P5" s="1718">
        <f>+O5/O24</f>
        <v>0.46863485374028274</v>
      </c>
      <c r="Q5" s="1056">
        <f t="shared" ref="Q5:Q11" si="1">I5-O5</f>
        <v>-1</v>
      </c>
      <c r="R5" s="1056">
        <f t="shared" ref="R5:R11" si="2">+G5-I5</f>
        <v>-157512080.16</v>
      </c>
      <c r="S5" s="183"/>
      <c r="T5" s="183"/>
      <c r="U5" s="183"/>
      <c r="V5" s="183"/>
    </row>
    <row r="6" spans="1:22">
      <c r="B6" s="1044" t="s">
        <v>35</v>
      </c>
      <c r="C6" s="1017">
        <f>SUM('budget (11)'!D11:D24)</f>
        <v>451758999.99999994</v>
      </c>
      <c r="D6" s="1057">
        <v>451758999.99999994</v>
      </c>
      <c r="E6" s="1057">
        <f>+'ADI 462 julio 25 '!D19</f>
        <v>461429397</v>
      </c>
      <c r="F6" s="1058">
        <f>+'ADI 462 AGO25'!D19</f>
        <v>469173666.60000002</v>
      </c>
      <c r="G6" s="1058">
        <f>+'ADI 09-25'!C19</f>
        <v>469173666.60000002</v>
      </c>
      <c r="H6" s="1057">
        <f>G6/$H$3</f>
        <v>7691371.5836065579</v>
      </c>
      <c r="I6" s="1059">
        <f>+'Proc. 03-26'!C$4</f>
        <v>41171518.149999999</v>
      </c>
      <c r="J6" s="1059">
        <f>+'Proc. 03-26'!D$4</f>
        <v>38528607.869999997</v>
      </c>
      <c r="K6" s="1059"/>
      <c r="L6" s="1059"/>
      <c r="M6" s="1059">
        <f>+'CXP 03-26 RES'!H7</f>
        <v>713256.98999999987</v>
      </c>
      <c r="N6" s="1059">
        <f>+'Anticipos 03-26'!D5</f>
        <v>422919.6</v>
      </c>
      <c r="O6" s="1059">
        <f t="shared" si="0"/>
        <v>38238270.479999997</v>
      </c>
      <c r="P6" s="1717">
        <f>+O6/$O$12</f>
        <v>0.39917290801849842</v>
      </c>
      <c r="Q6" s="1060">
        <f t="shared" si="1"/>
        <v>2933247.6700000018</v>
      </c>
      <c r="R6" s="1060">
        <f t="shared" si="2"/>
        <v>428002148.45000005</v>
      </c>
      <c r="S6" s="183"/>
      <c r="T6" s="184"/>
      <c r="U6" s="183"/>
      <c r="V6" s="183"/>
    </row>
    <row r="7" spans="1:22" ht="13.95" customHeight="1">
      <c r="B7" s="1044" t="s">
        <v>38</v>
      </c>
      <c r="C7" s="1020">
        <f>SUM('budget (11)'!D25:D39)</f>
        <v>1265953920</v>
      </c>
      <c r="D7" s="1057">
        <f>1447934796</f>
        <v>1447934796</v>
      </c>
      <c r="E7" s="1057">
        <f>+'ADI 462 julio 25 '!D22</f>
        <v>1521122757</v>
      </c>
      <c r="F7" s="1058">
        <f>+'ADI 462 AGO25'!D20</f>
        <v>1517166651</v>
      </c>
      <c r="G7" s="1058">
        <f>+'ADI 09-25'!C20</f>
        <v>1517166651</v>
      </c>
      <c r="H7" s="1057">
        <f t="shared" ref="H7:H11" si="3">G7/$H$3</f>
        <v>24871584.442622952</v>
      </c>
      <c r="I7" s="1061">
        <f>+'Proc. 03-26'!C$5</f>
        <v>120865656.48999999</v>
      </c>
      <c r="J7" s="1061">
        <f>+'Proc. 03-26'!D$5</f>
        <v>33255917.27</v>
      </c>
      <c r="K7" s="1061"/>
      <c r="L7" s="1061"/>
      <c r="M7" s="1061">
        <f>+'CXP 03-26 RES'!H8</f>
        <v>16807382.420000006</v>
      </c>
      <c r="N7" s="1061">
        <f>+'Anticipos 03-26'!D8</f>
        <v>115230</v>
      </c>
      <c r="O7" s="1061">
        <f t="shared" si="0"/>
        <v>16563764.849999994</v>
      </c>
      <c r="P7" s="1717">
        <f t="shared" ref="P7:P10" si="4">+O7/$O$12</f>
        <v>0.1729107017632322</v>
      </c>
      <c r="Q7" s="1062">
        <f t="shared" si="1"/>
        <v>104301891.64</v>
      </c>
      <c r="R7" s="1062">
        <f t="shared" si="2"/>
        <v>1396300994.51</v>
      </c>
      <c r="S7" s="183"/>
      <c r="T7" s="184"/>
      <c r="U7" s="183"/>
      <c r="V7" s="183"/>
    </row>
    <row r="8" spans="1:22" ht="13.95" customHeight="1">
      <c r="B8" s="1044" t="s">
        <v>767</v>
      </c>
      <c r="C8" s="1020">
        <f>SUM('budget (11)'!D40:D41)</f>
        <v>171771292</v>
      </c>
      <c r="D8" s="1057">
        <v>189969380</v>
      </c>
      <c r="E8" s="1057">
        <f>+'ADI 462 julio 25 '!D23</f>
        <v>198255215.40000001</v>
      </c>
      <c r="F8" s="1058">
        <f>+'ADI 462 AGO25'!D21</f>
        <v>198634031.75999999</v>
      </c>
      <c r="G8" s="1058">
        <f>+'ADI 09-25'!C21</f>
        <v>234388157.47679996</v>
      </c>
      <c r="H8" s="1057">
        <f t="shared" si="3"/>
        <v>3842428.8110950813</v>
      </c>
      <c r="I8" s="1061">
        <f>+'Proc. 03-26'!C$6</f>
        <v>42580702.560000002</v>
      </c>
      <c r="J8" s="1061">
        <f>+'Proc. 03-26'!D$6</f>
        <v>33230051.390000001</v>
      </c>
      <c r="K8" s="1061"/>
      <c r="L8" s="1061"/>
      <c r="M8" s="1061"/>
      <c r="N8" s="1061"/>
      <c r="O8" s="1061">
        <f t="shared" si="0"/>
        <v>33230051.390000001</v>
      </c>
      <c r="P8" s="1717">
        <f t="shared" si="4"/>
        <v>0.34689163710707782</v>
      </c>
      <c r="Q8" s="1062">
        <f t="shared" si="1"/>
        <v>9350651.1700000018</v>
      </c>
      <c r="R8" s="1062">
        <f t="shared" si="2"/>
        <v>191807454.91679996</v>
      </c>
      <c r="S8" s="183"/>
      <c r="T8" s="184"/>
      <c r="U8" s="183"/>
      <c r="V8" s="183"/>
    </row>
    <row r="9" spans="1:22" ht="13.95" customHeight="1">
      <c r="B9" s="1044" t="s">
        <v>1607</v>
      </c>
      <c r="C9" s="1114"/>
      <c r="D9" s="1057">
        <v>0</v>
      </c>
      <c r="E9" s="1057">
        <v>0</v>
      </c>
      <c r="F9" s="1058">
        <f>+'ADI 462 AGO25'!D22</f>
        <v>19863403.175999999</v>
      </c>
      <c r="G9" s="1058">
        <f>+'ADI 09-25'!C22</f>
        <v>19264643</v>
      </c>
      <c r="H9" s="1057">
        <f t="shared" si="3"/>
        <v>315813.81967213115</v>
      </c>
      <c r="I9" s="1061">
        <f>+'Proc. 03-26'!C$9</f>
        <v>8618393.0999999996</v>
      </c>
      <c r="J9" s="1061">
        <f>+'Proc. 03-26'!D$9</f>
        <v>3548750.1</v>
      </c>
      <c r="K9" s="1061"/>
      <c r="L9" s="1061"/>
      <c r="M9" s="1061">
        <f>+'CXP 03-26 RES'!H10</f>
        <v>506964.3</v>
      </c>
      <c r="N9" s="1061"/>
      <c r="O9" s="1061">
        <f t="shared" si="0"/>
        <v>3041785.8000000003</v>
      </c>
      <c r="P9" s="1717">
        <f t="shared" si="4"/>
        <v>3.175348853684281E-2</v>
      </c>
      <c r="Q9" s="1062">
        <f t="shared" si="1"/>
        <v>5576607.2999999989</v>
      </c>
      <c r="R9" s="1062">
        <f t="shared" si="2"/>
        <v>10646249.9</v>
      </c>
      <c r="S9" s="183"/>
      <c r="T9" s="184"/>
      <c r="U9" s="183"/>
      <c r="V9" s="183"/>
    </row>
    <row r="10" spans="1:22">
      <c r="B10" s="1044" t="s">
        <v>40</v>
      </c>
      <c r="C10" s="1020">
        <f>SUM('budget (11)'!D42)</f>
        <v>34354258</v>
      </c>
      <c r="D10" s="1057">
        <v>37993876</v>
      </c>
      <c r="E10" s="1057">
        <f>+'ADI 462 julio 25 '!D24/2</f>
        <v>39651043.079999998</v>
      </c>
      <c r="F10" s="1058">
        <f>+'ADI 462 AGO25'!D23</f>
        <v>47672167.622400001</v>
      </c>
      <c r="G10" s="1058">
        <f>+'ADI 09-25'!C23</f>
        <v>47672167.622400001</v>
      </c>
      <c r="H10" s="1057">
        <f t="shared" si="3"/>
        <v>781510.94462950819</v>
      </c>
      <c r="I10" s="1061">
        <f>+'Proc. 03-26'!C$7</f>
        <v>26336863.059999999</v>
      </c>
      <c r="J10" s="1061">
        <f>+'Proc. 03-26'!D$7</f>
        <v>6107761.2599999998</v>
      </c>
      <c r="K10" s="1061"/>
      <c r="L10" s="1061"/>
      <c r="M10" s="1061">
        <f>+'CXP 03-26 RES'!H9</f>
        <v>1387881.97</v>
      </c>
      <c r="N10" s="1061"/>
      <c r="O10" s="1061">
        <f t="shared" si="0"/>
        <v>4719879.29</v>
      </c>
      <c r="P10" s="1717">
        <f t="shared" si="4"/>
        <v>4.9271264574348647E-2</v>
      </c>
      <c r="Q10" s="1062">
        <f t="shared" si="1"/>
        <v>21616983.77</v>
      </c>
      <c r="R10" s="1062">
        <f t="shared" si="2"/>
        <v>21335304.562400002</v>
      </c>
      <c r="S10" s="183"/>
      <c r="T10" s="184"/>
      <c r="U10" s="183"/>
      <c r="V10" s="183"/>
    </row>
    <row r="11" spans="1:22">
      <c r="B11" s="1044" t="s">
        <v>764</v>
      </c>
      <c r="C11" s="1020">
        <v>0</v>
      </c>
      <c r="D11" s="1057">
        <v>37993876</v>
      </c>
      <c r="E11" s="1057">
        <f>+'ADI 462 julio 25 '!D24/2</f>
        <v>39651043.079999998</v>
      </c>
      <c r="F11" s="1058">
        <f>+'ADI 462 AGO25'!D24</f>
        <v>39726806.351999998</v>
      </c>
      <c r="G11" s="1058">
        <f>+'ADI 09-25'!C24</f>
        <v>39726806.351999998</v>
      </c>
      <c r="H11" s="1057">
        <f t="shared" si="3"/>
        <v>651259.12052459014</v>
      </c>
      <c r="I11" s="1061">
        <f>+'Proc. 03-26'!C$8</f>
        <v>0</v>
      </c>
      <c r="J11" s="1061">
        <f>+'Proc. 03-26'!D$8</f>
        <v>0</v>
      </c>
      <c r="K11" s="1061"/>
      <c r="L11" s="1061"/>
      <c r="M11" s="1061"/>
      <c r="N11" s="1061"/>
      <c r="O11" s="1061">
        <f t="shared" si="0"/>
        <v>0</v>
      </c>
      <c r="P11" s="1719"/>
      <c r="Q11" s="1062">
        <f t="shared" si="1"/>
        <v>0</v>
      </c>
      <c r="R11" s="1062">
        <f t="shared" si="2"/>
        <v>39726806.351999998</v>
      </c>
      <c r="S11" s="183"/>
      <c r="T11" s="184"/>
      <c r="U11" s="183"/>
      <c r="V11" s="183"/>
    </row>
    <row r="12" spans="1:22">
      <c r="B12" s="254" t="s">
        <v>41</v>
      </c>
      <c r="C12" s="665">
        <f>SUM(C6:C10)</f>
        <v>1923838470</v>
      </c>
      <c r="D12" s="1063">
        <f t="shared" ref="D12:R12" si="5">SUM(D6:D11)</f>
        <v>2165650928</v>
      </c>
      <c r="E12" s="1063">
        <f t="shared" si="5"/>
        <v>2260109455.5599999</v>
      </c>
      <c r="F12" s="1063">
        <f t="shared" si="5"/>
        <v>2292236726.5103998</v>
      </c>
      <c r="G12" s="1063">
        <f t="shared" si="5"/>
        <v>2327392092.0511999</v>
      </c>
      <c r="H12" s="1063">
        <f t="shared" si="5"/>
        <v>38153968.722150818</v>
      </c>
      <c r="I12" s="1064">
        <f t="shared" si="5"/>
        <v>239573133.35999998</v>
      </c>
      <c r="J12" s="1064">
        <f t="shared" si="5"/>
        <v>114671087.89</v>
      </c>
      <c r="K12" s="1064">
        <f t="shared" si="5"/>
        <v>0</v>
      </c>
      <c r="L12" s="1064">
        <f t="shared" si="5"/>
        <v>0</v>
      </c>
      <c r="M12" s="1064">
        <f>SUM(M6:M11)</f>
        <v>19415485.680000003</v>
      </c>
      <c r="N12" s="1064">
        <f t="shared" si="5"/>
        <v>538149.6</v>
      </c>
      <c r="O12" s="1064">
        <f t="shared" si="5"/>
        <v>95793751.810000002</v>
      </c>
      <c r="P12" s="1720">
        <f>+O12/O24</f>
        <v>0.16976035504910994</v>
      </c>
      <c r="Q12" s="1714">
        <f t="shared" si="5"/>
        <v>143779381.55000001</v>
      </c>
      <c r="R12" s="1064">
        <f t="shared" si="5"/>
        <v>2087818958.6912003</v>
      </c>
      <c r="S12" s="183"/>
      <c r="T12" s="184"/>
      <c r="U12" s="183"/>
      <c r="V12" s="183"/>
    </row>
    <row r="13" spans="1:22">
      <c r="B13" s="1044" t="s">
        <v>42</v>
      </c>
      <c r="C13" s="1023">
        <f>SUM('budget (11)'!D43)</f>
        <v>137417034</v>
      </c>
      <c r="D13" s="1065">
        <v>151975504</v>
      </c>
      <c r="E13" s="1057">
        <f>+'ADI 462 julio 25 '!D26</f>
        <v>158604172.31999999</v>
      </c>
      <c r="F13" s="1058">
        <f>+'ADI 462 AGO25'!D26</f>
        <v>158907225.40799999</v>
      </c>
      <c r="G13" s="1058">
        <f>+'ADI 09-25'!C26</f>
        <v>187510525.98143998</v>
      </c>
      <c r="H13" s="1057">
        <f>G13/$H$3</f>
        <v>3073943.0488760653</v>
      </c>
      <c r="I13" s="1066">
        <f>+'Proc. 03-26'!C$11</f>
        <v>39101175.969999999</v>
      </c>
      <c r="J13" s="1066">
        <f>+'Proc. 03-26'!D$11</f>
        <v>21401175.969999999</v>
      </c>
      <c r="K13" s="1066"/>
      <c r="L13" s="1066"/>
      <c r="M13" s="1066"/>
      <c r="N13" s="1066"/>
      <c r="O13" s="1066">
        <f>+J13-L13-M13+N13</f>
        <v>21401175.969999999</v>
      </c>
      <c r="P13" s="1717">
        <f>+O13/$O$18</f>
        <v>0.14724431979456193</v>
      </c>
      <c r="Q13" s="1715">
        <f>I13-O13</f>
        <v>17700000</v>
      </c>
      <c r="R13" s="1066">
        <f>+G13-I13</f>
        <v>148409350.01143998</v>
      </c>
      <c r="S13" s="183"/>
      <c r="T13" s="184"/>
      <c r="U13" s="183"/>
      <c r="V13" s="183"/>
    </row>
    <row r="14" spans="1:22">
      <c r="B14" s="1044" t="s">
        <v>43</v>
      </c>
      <c r="C14" s="1023">
        <f>SUM('budget (11)'!D45:D46)</f>
        <v>281704919</v>
      </c>
      <c r="D14" s="1065">
        <v>308130334</v>
      </c>
      <c r="E14" s="1065">
        <f>+'ADI 462 julio 25 '!D27</f>
        <v>356859387.71999997</v>
      </c>
      <c r="F14" s="1067">
        <f>+'ADI 462 AGO25'!D27</f>
        <v>365486618.43839997</v>
      </c>
      <c r="G14" s="1067">
        <f>+'ADI 09-25'!C27</f>
        <v>327746152.40399998</v>
      </c>
      <c r="H14" s="1057">
        <f>G14/$H$3</f>
        <v>5372887.7443278683</v>
      </c>
      <c r="I14" s="1066">
        <f>+'Proc. 03-26'!C$12</f>
        <v>120280285.59999999</v>
      </c>
      <c r="J14" s="1066">
        <f>+'Proc. 03-26'!D$12</f>
        <v>94354178.409999996</v>
      </c>
      <c r="K14" s="1066"/>
      <c r="L14" s="1066"/>
      <c r="M14" s="1066">
        <f>+'CXP 03-26 RES'!H11+'CXP 03-26 RES'!H12</f>
        <v>2867095.9</v>
      </c>
      <c r="N14" s="1066"/>
      <c r="O14" s="1066">
        <f>+J14-L14-M14+N14</f>
        <v>91487082.50999999</v>
      </c>
      <c r="P14" s="1717">
        <f t="shared" ref="P14:P16" si="6">+O14/$O$18</f>
        <v>0.62944920657899306</v>
      </c>
      <c r="Q14" s="1715">
        <f>I14-O14</f>
        <v>28793203.090000004</v>
      </c>
      <c r="R14" s="1066">
        <f>+G14-I14</f>
        <v>207465866.80399999</v>
      </c>
      <c r="S14" s="183"/>
      <c r="T14" s="184"/>
      <c r="U14" s="183"/>
      <c r="V14" s="183"/>
    </row>
    <row r="15" spans="1:22">
      <c r="B15" s="1044" t="s">
        <v>44</v>
      </c>
      <c r="C15" s="1023">
        <f>SUM('budget (11)'!D47)</f>
        <v>67334346</v>
      </c>
      <c r="D15" s="1065">
        <v>75797782</v>
      </c>
      <c r="E15" s="1065">
        <f>+'ADI 462 julio 25 '!D28</f>
        <v>79103830.944600001</v>
      </c>
      <c r="F15" s="1067">
        <f>+'ADI 462 AGO25'!D28</f>
        <v>80228285.427864</v>
      </c>
      <c r="G15" s="1067">
        <f>+'ADI 09-25'!C28</f>
        <v>81458723.221791998</v>
      </c>
      <c r="H15" s="1057">
        <f>G15/$H$3</f>
        <v>1335388.9052752787</v>
      </c>
      <c r="I15" s="1066">
        <f>+'Proc. 03-26'!C$13</f>
        <v>21447732.739999998</v>
      </c>
      <c r="J15" s="1066">
        <f>+'Proc. 03-26'!D$13</f>
        <v>4547748.63</v>
      </c>
      <c r="K15" s="1066"/>
      <c r="L15" s="1066"/>
      <c r="M15" s="1066"/>
      <c r="N15" s="1066"/>
      <c r="O15" s="1066">
        <f>+J15-L15-M15+N15</f>
        <v>4547748.63</v>
      </c>
      <c r="P15" s="1717">
        <f t="shared" si="6"/>
        <v>3.1289409262354705E-2</v>
      </c>
      <c r="Q15" s="1715">
        <f>I15-O15</f>
        <v>16899984.109999999</v>
      </c>
      <c r="R15" s="1066">
        <f>+G15-I15</f>
        <v>60010990.481792003</v>
      </c>
      <c r="S15" s="183"/>
      <c r="T15" s="184"/>
      <c r="U15" s="183"/>
      <c r="V15" s="183"/>
    </row>
    <row r="16" spans="1:22">
      <c r="A16">
        <v>1</v>
      </c>
      <c r="B16" s="1044" t="s">
        <v>45</v>
      </c>
      <c r="C16" s="1023">
        <f>SUM('budget (11)'!D48:D49)</f>
        <v>51531387.949999996</v>
      </c>
      <c r="D16" s="1065">
        <v>56990814</v>
      </c>
      <c r="E16" s="1065">
        <f>+'ADI 462 julio 25 '!D29</f>
        <v>59476564.619999997</v>
      </c>
      <c r="F16" s="1067">
        <f>+'ADI 462 AGO25'!D29</f>
        <v>69521911.115999997</v>
      </c>
      <c r="G16" s="1067">
        <f>+'ADI 09-25'!C29</f>
        <v>69521911.115999997</v>
      </c>
      <c r="H16" s="1057">
        <f>G16/$H$3</f>
        <v>1139703.4609180328</v>
      </c>
      <c r="I16" s="1066">
        <f>+'Proc. 03-26'!C$14</f>
        <v>31646741.850000001</v>
      </c>
      <c r="J16" s="1066">
        <f>+'Proc. 03-26'!D$14</f>
        <v>28652029.59</v>
      </c>
      <c r="K16" s="1066"/>
      <c r="L16" s="1066">
        <f>+'CXP MMHB 03-26'!E8</f>
        <v>826</v>
      </c>
      <c r="M16" s="1066">
        <f>+'CXP 03-26 RES'!H13+'CXP 03-26 RES'!H14+'CXP 03-26 RES'!H15+'CXP 03-26 RES'!H16</f>
        <v>758605.61</v>
      </c>
      <c r="N16" s="1066">
        <f>+'Anticipos 03-26'!D15</f>
        <v>16057.44</v>
      </c>
      <c r="O16" s="1066">
        <f>+J16-L16-M16+N16</f>
        <v>27908655.420000002</v>
      </c>
      <c r="P16" s="1717">
        <f t="shared" si="6"/>
        <v>0.19201706436409038</v>
      </c>
      <c r="Q16" s="1715">
        <f>I16-O16</f>
        <v>3738086.4299999997</v>
      </c>
      <c r="R16" s="1066">
        <f>+G16-I16</f>
        <v>37875169.265999995</v>
      </c>
      <c r="S16" s="183"/>
      <c r="T16" s="184"/>
      <c r="U16" s="183"/>
      <c r="V16" s="183"/>
    </row>
    <row r="17" spans="2:22">
      <c r="B17" s="1044" t="s">
        <v>46</v>
      </c>
      <c r="C17" s="1023">
        <f>SUM('budget (11)'!D50)</f>
        <v>19238385</v>
      </c>
      <c r="D17" s="1065">
        <v>21656506</v>
      </c>
      <c r="E17" s="1065">
        <f>+'ADI 462 julio 25 '!D30</f>
        <v>19825521.539999999</v>
      </c>
      <c r="F17" s="1067">
        <f>+'ADI 462 AGO25'!D30</f>
        <v>19863403.175999999</v>
      </c>
      <c r="G17" s="1067">
        <f>+'ADI 09-25'!C30</f>
        <v>19863403.175999999</v>
      </c>
      <c r="H17" s="1057">
        <f>G17/$H$3</f>
        <v>325629.56026229507</v>
      </c>
      <c r="I17" s="1066"/>
      <c r="J17" s="1066"/>
      <c r="K17" s="1066"/>
      <c r="L17" s="1066"/>
      <c r="M17" s="1066"/>
      <c r="N17" s="1066"/>
      <c r="O17" s="1066">
        <f>+J17-L17-M17+N17</f>
        <v>0</v>
      </c>
      <c r="P17" s="1721"/>
      <c r="Q17" s="1715">
        <f>I17-O17</f>
        <v>0</v>
      </c>
      <c r="R17" s="1066">
        <f>+G17-I17</f>
        <v>19863403.175999999</v>
      </c>
      <c r="S17" s="183"/>
      <c r="T17" s="184"/>
      <c r="U17" s="183"/>
      <c r="V17" s="183"/>
    </row>
    <row r="18" spans="2:22">
      <c r="B18" s="254" t="s">
        <v>47</v>
      </c>
      <c r="C18" s="665">
        <f t="shared" ref="C18:R18" si="7">SUM(C13:C17)</f>
        <v>557226071.95000005</v>
      </c>
      <c r="D18" s="1063">
        <f t="shared" si="7"/>
        <v>614550940</v>
      </c>
      <c r="E18" s="1063">
        <f t="shared" si="7"/>
        <v>673869477.14459991</v>
      </c>
      <c r="F18" s="1063">
        <f t="shared" si="7"/>
        <v>694007443.56626403</v>
      </c>
      <c r="G18" s="1063">
        <f t="shared" si="7"/>
        <v>686100715.89923203</v>
      </c>
      <c r="H18" s="1063">
        <f>SUM(H13:H17)</f>
        <v>11247552.719659541</v>
      </c>
      <c r="I18" s="1064">
        <f>SUM(I13:I17)</f>
        <v>212475936.16</v>
      </c>
      <c r="J18" s="1064">
        <f>SUM(J13:J17)</f>
        <v>148955132.59999999</v>
      </c>
      <c r="K18" s="1064">
        <f t="shared" ref="K18:L18" si="8">SUM(K13:K17)</f>
        <v>0</v>
      </c>
      <c r="L18" s="1064">
        <f t="shared" si="8"/>
        <v>826</v>
      </c>
      <c r="M18" s="1064">
        <f>SUM(M13:M17)</f>
        <v>3625701.51</v>
      </c>
      <c r="N18" s="1064">
        <f t="shared" si="7"/>
        <v>16057.44</v>
      </c>
      <c r="O18" s="1064">
        <f t="shared" si="7"/>
        <v>145344662.52999997</v>
      </c>
      <c r="P18" s="1720">
        <f>+O18/O24</f>
        <v>0.25757172100874065</v>
      </c>
      <c r="Q18" s="1714">
        <f t="shared" si="7"/>
        <v>67131273.629999995</v>
      </c>
      <c r="R18" s="1064">
        <f t="shared" si="7"/>
        <v>473624779.73923188</v>
      </c>
      <c r="S18" s="183"/>
      <c r="T18" s="184"/>
      <c r="U18" s="183"/>
      <c r="V18" s="183"/>
    </row>
    <row r="19" spans="2:22">
      <c r="B19" s="1044" t="s">
        <v>48</v>
      </c>
      <c r="C19" s="1023">
        <f>SUM('budget (11)'!D51:D52)</f>
        <v>15000000</v>
      </c>
      <c r="D19" s="1065">
        <v>30500000</v>
      </c>
      <c r="E19" s="1065">
        <f>+'ADI 462 julio 25 '!D32</f>
        <v>30500000</v>
      </c>
      <c r="F19" s="1067">
        <f>+'ADI 462 AGO25'!D32</f>
        <v>30500000</v>
      </c>
      <c r="G19" s="1067">
        <f>+'ADI 09-25'!C32</f>
        <v>30500000</v>
      </c>
      <c r="H19" s="1065">
        <f>G19/$H$3</f>
        <v>500000</v>
      </c>
      <c r="I19" s="1066">
        <f>+'Proc. 03-26'!C$17</f>
        <v>24128264.149999999</v>
      </c>
      <c r="J19" s="1066">
        <f>+'Proc. 03-26'!D$17</f>
        <v>21477241.829999998</v>
      </c>
      <c r="K19" s="1066"/>
      <c r="L19" s="1066">
        <f>+'CXP MMHB 03-26'!E13</f>
        <v>56000</v>
      </c>
      <c r="M19" s="1066">
        <f>+'CXP 03-26 RES'!H17</f>
        <v>116055.56</v>
      </c>
      <c r="N19" s="1066">
        <f>+'Anticipos 03-26'!D13</f>
        <v>85171.88</v>
      </c>
      <c r="O19" s="1066">
        <f>+J19-L19-M19+N19</f>
        <v>21390358.149999999</v>
      </c>
      <c r="P19" s="1717">
        <f>+O19/$O$23</f>
        <v>0.36437261772829632</v>
      </c>
      <c r="Q19" s="1715">
        <f>I19-O19</f>
        <v>2737906</v>
      </c>
      <c r="R19" s="1066">
        <f>+G19-I19</f>
        <v>6371735.8500000015</v>
      </c>
      <c r="S19" s="183"/>
      <c r="T19" s="184"/>
      <c r="U19" s="183"/>
      <c r="V19" s="185"/>
    </row>
    <row r="20" spans="2:22">
      <c r="B20" s="1044" t="s">
        <v>49</v>
      </c>
      <c r="C20" s="1023">
        <f>SUM('budget (11)'!D4:D10)</f>
        <v>20789999.999999996</v>
      </c>
      <c r="D20" s="1065">
        <v>20789999.999999996</v>
      </c>
      <c r="E20" s="1065">
        <f>+'ADI 462 julio 25 '!D33</f>
        <v>25000000</v>
      </c>
      <c r="F20" s="1067">
        <f>+'ADI 462 AGO25'!D33</f>
        <v>25000000</v>
      </c>
      <c r="G20" s="1067">
        <f>+'ADI 09-25'!C33</f>
        <v>25000000</v>
      </c>
      <c r="H20" s="1065">
        <f>G20/$H$3</f>
        <v>409836.06557377049</v>
      </c>
      <c r="I20" s="1066">
        <f>+'Proc. 03-26'!C$3</f>
        <v>24431389.440000001</v>
      </c>
      <c r="J20" s="1066">
        <f>+'Proc. 03-26'!D$3</f>
        <v>24431389.440000001</v>
      </c>
      <c r="K20" s="1066">
        <f>+'Proc. 12-25'!F3</f>
        <v>278099.52</v>
      </c>
      <c r="L20" s="1066"/>
      <c r="M20" s="1066"/>
      <c r="N20" s="1066">
        <f>+'Anticipos 03-26'!D3</f>
        <v>273000</v>
      </c>
      <c r="O20" s="1066">
        <f>+J20-L20-M20+N20-K20</f>
        <v>24426289.920000002</v>
      </c>
      <c r="P20" s="1717">
        <f t="shared" ref="P20:P21" si="9">+O20/$O$23</f>
        <v>0.41608799334389351</v>
      </c>
      <c r="Q20" s="1715">
        <f>I20-O20</f>
        <v>5099.519999999553</v>
      </c>
      <c r="R20" s="1066">
        <f>+G20-I20</f>
        <v>568610.55999999866</v>
      </c>
      <c r="S20" s="183"/>
      <c r="T20" s="184"/>
      <c r="U20" s="183"/>
      <c r="V20" s="183"/>
    </row>
    <row r="21" spans="2:22">
      <c r="B21" s="1044" t="s">
        <v>50</v>
      </c>
      <c r="C21" s="1023">
        <f>SUM('budget (11)'!D54)</f>
        <v>192383847</v>
      </c>
      <c r="D21" s="1065">
        <v>216565093</v>
      </c>
      <c r="E21" s="1065">
        <f>+'ADI 462 julio 25 '!D34</f>
        <v>226010945.55599999</v>
      </c>
      <c r="F21" s="1067">
        <f>+'ADI 462 AGO25'!D34</f>
        <v>229223672.65103999</v>
      </c>
      <c r="G21" s="1067">
        <f>+'ADI 09-25'!C34</f>
        <v>232739209.20512</v>
      </c>
      <c r="H21" s="1065">
        <f>G21/$H$3</f>
        <v>3815396.8722150819</v>
      </c>
      <c r="I21" s="1066">
        <f>+'Proc. 03-26'!C$18</f>
        <v>18617144.329999998</v>
      </c>
      <c r="J21" s="1066">
        <f>+'Proc. 03-26'!D$18</f>
        <v>12887977.66</v>
      </c>
      <c r="K21" s="1066"/>
      <c r="L21" s="1066"/>
      <c r="M21" s="1066"/>
      <c r="N21" s="1066"/>
      <c r="O21" s="1066">
        <f>+J21-L21-M21+N21</f>
        <v>12887977.66</v>
      </c>
      <c r="P21" s="1717">
        <f t="shared" si="9"/>
        <v>0.21953938892781014</v>
      </c>
      <c r="Q21" s="1715">
        <f>I21-O21</f>
        <v>5729166.6699999981</v>
      </c>
      <c r="R21" s="1066">
        <f>+G21-I21</f>
        <v>214122064.87511998</v>
      </c>
      <c r="S21" s="183"/>
      <c r="T21" s="184"/>
      <c r="U21" s="183"/>
      <c r="V21" s="183"/>
    </row>
    <row r="22" spans="2:22">
      <c r="B22" s="1044" t="s">
        <v>51</v>
      </c>
      <c r="C22" s="1023">
        <f>SUM('budget (11)'!D53)</f>
        <v>19238385</v>
      </c>
      <c r="D22" s="1065">
        <v>21656509</v>
      </c>
      <c r="E22" s="1065">
        <f>+'ADI 462 julio 25 '!D35</f>
        <v>19825521.539999999</v>
      </c>
      <c r="F22" s="1067">
        <f>+'ADI 462 AGO25'!D35</f>
        <v>19863403.175999999</v>
      </c>
      <c r="G22" s="1067">
        <f>+'ADI 09-25'!C35</f>
        <v>19863403.175999999</v>
      </c>
      <c r="H22" s="1065">
        <f>G22/$H$3</f>
        <v>325629.56026229507</v>
      </c>
      <c r="I22" s="1066">
        <f>+'Proc. 03-26'!C$19</f>
        <v>0</v>
      </c>
      <c r="J22" s="1066">
        <f>+'Proc. 03-26'!D$19</f>
        <v>0</v>
      </c>
      <c r="K22" s="1066"/>
      <c r="L22" s="1066"/>
      <c r="M22" s="1066"/>
      <c r="N22" s="1066"/>
      <c r="O22" s="1066">
        <f>+J22-L22-M22+N22</f>
        <v>0</v>
      </c>
      <c r="P22" s="1721"/>
      <c r="Q22" s="1715">
        <f>I22-O22</f>
        <v>0</v>
      </c>
      <c r="R22" s="1066">
        <f>+G22-I22</f>
        <v>19863403.175999999</v>
      </c>
      <c r="S22" s="183"/>
      <c r="T22" s="184"/>
      <c r="U22" s="183"/>
      <c r="V22" s="183"/>
    </row>
    <row r="23" spans="2:22" ht="15" thickBot="1">
      <c r="B23" s="254" t="s">
        <v>52</v>
      </c>
      <c r="C23" s="665">
        <f t="shared" ref="C23:R23" si="10">SUM(C19:C22)</f>
        <v>247412232</v>
      </c>
      <c r="D23" s="1063">
        <f t="shared" si="10"/>
        <v>289511602</v>
      </c>
      <c r="E23" s="1063">
        <f t="shared" si="10"/>
        <v>301336467.09600002</v>
      </c>
      <c r="F23" s="1063">
        <f>SUM(F19:F22)</f>
        <v>304587075.82703996</v>
      </c>
      <c r="G23" s="1063">
        <f>SUM(G19:G22)</f>
        <v>308102612.38111997</v>
      </c>
      <c r="H23" s="1063">
        <f>SUM(H19:H22)</f>
        <v>5050862.4980511479</v>
      </c>
      <c r="I23" s="1064">
        <f>SUM(I19:I22)</f>
        <v>67176797.920000002</v>
      </c>
      <c r="J23" s="1064">
        <f>SUM(J19:J22)</f>
        <v>58796608.929999992</v>
      </c>
      <c r="K23" s="1064">
        <f t="shared" ref="K23:L23" si="11">SUM(K19:K22)</f>
        <v>278099.52</v>
      </c>
      <c r="L23" s="1064">
        <f t="shared" si="11"/>
        <v>56000</v>
      </c>
      <c r="M23" s="1064">
        <f>SUM(M19:M22)</f>
        <v>116055.56</v>
      </c>
      <c r="N23" s="1064">
        <f t="shared" si="10"/>
        <v>358171.88</v>
      </c>
      <c r="O23" s="1064">
        <f t="shared" si="10"/>
        <v>58704625.730000004</v>
      </c>
      <c r="P23" s="1720">
        <f>+O23/O24</f>
        <v>0.1040330702018666</v>
      </c>
      <c r="Q23" s="1714">
        <f t="shared" si="10"/>
        <v>8472172.1899999976</v>
      </c>
      <c r="R23" s="1064">
        <f t="shared" si="10"/>
        <v>240925814.46111998</v>
      </c>
      <c r="S23" s="183"/>
      <c r="T23" s="184"/>
      <c r="U23" s="183"/>
      <c r="V23" s="183"/>
    </row>
    <row r="24" spans="2:22" ht="16.2" thickBot="1">
      <c r="B24" s="1041" t="s">
        <v>1156</v>
      </c>
      <c r="C24" s="1042">
        <f t="shared" ref="C24:H24" si="12">C5+C12+C18+C23</f>
        <v>2831861942.9499998</v>
      </c>
      <c r="D24" s="1068">
        <f t="shared" si="12"/>
        <v>3173098639</v>
      </c>
      <c r="E24" s="1043">
        <f t="shared" si="12"/>
        <v>3340495399.8006001</v>
      </c>
      <c r="F24" s="1043">
        <f t="shared" si="12"/>
        <v>3397764245.9037037</v>
      </c>
      <c r="G24" s="1043">
        <f t="shared" si="12"/>
        <v>3428528420.3315516</v>
      </c>
      <c r="H24" s="1043">
        <f t="shared" si="12"/>
        <v>56205383.939861506</v>
      </c>
      <c r="I24" s="1043">
        <f t="shared" ref="I24:R24" si="13">I23+I18+I12+I5</f>
        <v>783670947.5999999</v>
      </c>
      <c r="J24" s="1043">
        <f t="shared" si="13"/>
        <v>586867910.57999992</v>
      </c>
      <c r="K24" s="1043">
        <f t="shared" si="13"/>
        <v>278099.52</v>
      </c>
      <c r="L24" s="1043">
        <f t="shared" si="13"/>
        <v>56826</v>
      </c>
      <c r="M24" s="1043">
        <f>M23+M18+M12+M5</f>
        <v>23157242.750000004</v>
      </c>
      <c r="N24" s="1043">
        <f t="shared" si="13"/>
        <v>912378.91999999993</v>
      </c>
      <c r="O24" s="1713">
        <f t="shared" si="13"/>
        <v>564288121.23000002</v>
      </c>
      <c r="P24" s="1722">
        <f>+P5+P12+P18+P23</f>
        <v>1</v>
      </c>
      <c r="Q24" s="1716">
        <f t="shared" si="13"/>
        <v>219382826.37</v>
      </c>
      <c r="R24" s="1043">
        <f t="shared" si="13"/>
        <v>2644857472.7315521</v>
      </c>
      <c r="S24" s="183"/>
      <c r="T24" s="184"/>
      <c r="U24" s="183"/>
      <c r="V24" s="183"/>
    </row>
    <row r="25" spans="2:22" ht="15" thickBot="1">
      <c r="E25" s="509"/>
      <c r="H25" s="509"/>
      <c r="I25" s="369">
        <f>+'Proc. 02-26'!C21</f>
        <v>738452603.92999995</v>
      </c>
      <c r="J25" s="369">
        <f>+'Proc. 02-26'!D21</f>
        <v>534565552.92999995</v>
      </c>
      <c r="K25" s="369"/>
      <c r="L25" s="369"/>
      <c r="M25" s="369"/>
      <c r="N25" s="369"/>
      <c r="O25" s="730">
        <f>+'FLUJO 03-26'!C28</f>
        <v>566267987.74000001</v>
      </c>
      <c r="P25" s="1723"/>
      <c r="Q25" s="320"/>
      <c r="R25" s="320"/>
    </row>
    <row r="26" spans="2:22" ht="15" thickBot="1">
      <c r="D26" s="320"/>
      <c r="E26" s="320"/>
      <c r="H26" s="320"/>
      <c r="I26" s="368">
        <f>+I24-I25</f>
        <v>45218343.669999957</v>
      </c>
      <c r="J26" s="368">
        <f>+J24-J25</f>
        <v>52302357.649999976</v>
      </c>
      <c r="K26" s="368"/>
      <c r="L26" s="368"/>
      <c r="M26" s="434" t="s">
        <v>653</v>
      </c>
      <c r="N26" s="435">
        <f>+'BCE 07-25'!C45</f>
        <v>159695773.63999999</v>
      </c>
      <c r="O26" s="1016">
        <f>+O24-O25</f>
        <v>-1979866.5099999905</v>
      </c>
      <c r="Q26" s="142"/>
      <c r="R26" s="142"/>
      <c r="T26" s="186" t="s">
        <v>189</v>
      </c>
      <c r="U26" s="190">
        <v>2831861942.3920002</v>
      </c>
    </row>
    <row r="27" spans="2:22" ht="18.600000000000001" thickBot="1">
      <c r="B27" s="333" t="s">
        <v>1447</v>
      </c>
      <c r="C27" s="672">
        <v>3515158425</v>
      </c>
      <c r="D27" s="672">
        <f t="shared" ref="D27" si="14">+D14/0.08</f>
        <v>3851629175</v>
      </c>
      <c r="E27" s="672">
        <f>+E28*60</f>
        <v>3996000000</v>
      </c>
      <c r="G27" s="1908">
        <f>+G8/1.18</f>
        <v>198634031.75999999</v>
      </c>
      <c r="H27" s="672"/>
      <c r="I27" s="368"/>
      <c r="J27" s="368"/>
      <c r="K27" s="368"/>
      <c r="L27" s="368"/>
      <c r="M27" s="586" t="s">
        <v>1157</v>
      </c>
      <c r="N27" s="587">
        <f>+'BCE 07-25'!C33</f>
        <v>48015000</v>
      </c>
      <c r="O27" s="1016">
        <f>+'FLUJO 03-26'!C31</f>
        <v>1981527.92</v>
      </c>
      <c r="P27" s="1871" t="s">
        <v>2256</v>
      </c>
      <c r="Q27" s="1098"/>
      <c r="R27" s="142"/>
      <c r="T27" s="186"/>
      <c r="U27" s="190"/>
    </row>
    <row r="28" spans="2:22" ht="15" thickBot="1">
      <c r="C28" s="370">
        <f>+C27/59</f>
        <v>59578956.355932206</v>
      </c>
      <c r="D28" s="370">
        <f>+D27/59</f>
        <v>65281850.423728816</v>
      </c>
      <c r="E28" s="370">
        <v>66600000</v>
      </c>
      <c r="G28" s="1908">
        <f>+G13/1.18</f>
        <v>158907225.40799999</v>
      </c>
      <c r="H28" s="370"/>
      <c r="I28" s="368">
        <f>+I14/G14</f>
        <v>0.36699221247221581</v>
      </c>
      <c r="J28" s="591">
        <v>534711784.24000001</v>
      </c>
      <c r="M28" s="436" t="s">
        <v>654</v>
      </c>
      <c r="N28" s="437">
        <f>-'BCE 07-25'!C17</f>
        <v>-45448879.799999997</v>
      </c>
      <c r="O28" s="12">
        <f>+O26+O27</f>
        <v>1661.4100000094622</v>
      </c>
      <c r="Q28" s="320"/>
      <c r="R28" s="320"/>
      <c r="T28" s="188" t="s">
        <v>190</v>
      </c>
      <c r="U28" s="189">
        <f>C24</f>
        <v>2831861942.9499998</v>
      </c>
    </row>
    <row r="29" spans="2:22" ht="15" thickBot="1">
      <c r="C29" s="489"/>
      <c r="D29" s="370"/>
      <c r="E29" s="370"/>
      <c r="H29" s="370"/>
      <c r="I29" s="474"/>
      <c r="M29" s="441" t="s">
        <v>655</v>
      </c>
      <c r="N29" s="442">
        <f>+'BCE 07-25'!C35+'BCE 07-25'!C36+'BCE 07-25'!C37+'BCE 07-25'!C38</f>
        <v>432311.75</v>
      </c>
      <c r="O29" s="445"/>
      <c r="P29" s="1723"/>
      <c r="Q29" s="320"/>
      <c r="R29" s="320"/>
      <c r="T29" s="187" t="s">
        <v>191</v>
      </c>
      <c r="U29" s="191">
        <f>U26-U28</f>
        <v>-0.55799961090087891</v>
      </c>
    </row>
    <row r="30" spans="2:22" ht="18.600000000000001" thickBot="1">
      <c r="B30" s="333" t="s">
        <v>1448</v>
      </c>
      <c r="C30" s="672">
        <f>+C27-C24</f>
        <v>683296482.05000019</v>
      </c>
      <c r="D30" s="672">
        <f t="shared" ref="D30" si="15">+D27-D24</f>
        <v>678530536</v>
      </c>
      <c r="E30" s="672">
        <f>+E27-E24</f>
        <v>655504600.19939995</v>
      </c>
      <c r="H30" s="672"/>
      <c r="I30" s="474"/>
      <c r="J30" s="509">
        <f>+J24-J28</f>
        <v>52156126.339999914</v>
      </c>
      <c r="M30" s="441" t="s">
        <v>808</v>
      </c>
      <c r="N30" s="442">
        <f>+'BCE 07-25'!C34</f>
        <v>42907921.100000001</v>
      </c>
      <c r="O30" s="445"/>
      <c r="P30" s="1723"/>
      <c r="Q30" s="320"/>
      <c r="R30" s="320"/>
      <c r="T30" s="183"/>
      <c r="U30" s="508"/>
    </row>
    <row r="31" spans="2:22">
      <c r="C31" s="370">
        <f>+C30/59</f>
        <v>11581296.305932207</v>
      </c>
      <c r="D31" s="370">
        <f t="shared" ref="D31" si="16">+D30/59</f>
        <v>11500517.559322033</v>
      </c>
      <c r="E31" s="370">
        <f>+E30/60</f>
        <v>10925076.669989999</v>
      </c>
      <c r="H31" s="370"/>
      <c r="I31" s="474"/>
      <c r="M31" s="441"/>
      <c r="N31" s="442"/>
      <c r="O31" s="445"/>
      <c r="P31" s="1723"/>
      <c r="Q31" s="320"/>
      <c r="R31" s="320"/>
      <c r="T31" s="183"/>
      <c r="U31" s="508"/>
    </row>
    <row r="32" spans="2:22">
      <c r="C32" s="489"/>
      <c r="D32" s="370"/>
      <c r="E32" s="370"/>
      <c r="H32" s="370"/>
      <c r="I32" s="474"/>
      <c r="M32" s="441" t="s">
        <v>888</v>
      </c>
      <c r="N32" s="442">
        <f>+'CXP 07-25'!E13</f>
        <v>364684.38</v>
      </c>
      <c r="O32" s="445"/>
      <c r="P32" s="1723"/>
      <c r="Q32" s="320"/>
      <c r="R32" s="320"/>
      <c r="T32" s="183"/>
      <c r="U32" s="508"/>
    </row>
    <row r="33" spans="1:22" ht="15" thickBot="1">
      <c r="C33" s="369"/>
      <c r="D33" s="370"/>
      <c r="E33" s="370"/>
      <c r="H33" s="370"/>
      <c r="M33" s="438" t="s">
        <v>656</v>
      </c>
      <c r="N33" s="439">
        <f>SUM(N26:N32)</f>
        <v>205966811.06999996</v>
      </c>
      <c r="O33" s="445"/>
      <c r="P33" s="1723"/>
    </row>
    <row r="34" spans="1:22">
      <c r="C34" s="161"/>
      <c r="D34" s="370"/>
      <c r="E34" s="370"/>
      <c r="H34" s="370"/>
      <c r="M34" s="440" t="s">
        <v>657</v>
      </c>
      <c r="N34" s="445">
        <f>+O24</f>
        <v>564288121.23000002</v>
      </c>
    </row>
    <row r="35" spans="1:22">
      <c r="M35" s="443" t="s">
        <v>658</v>
      </c>
      <c r="N35" s="443">
        <f>+N33-N34</f>
        <v>-358321310.16000009</v>
      </c>
      <c r="O35" s="444">
        <f>+'BCE 07-25'!C46+'BCE 07-25'!C47</f>
        <v>953438.13</v>
      </c>
      <c r="P35" s="1724"/>
      <c r="Q35" s="444">
        <f>+N35+O35</f>
        <v>-357367872.03000009</v>
      </c>
      <c r="R35" s="444"/>
    </row>
    <row r="36" spans="1:22">
      <c r="A36" s="192"/>
      <c r="B36" s="192"/>
      <c r="C36" s="192"/>
      <c r="D36" s="192"/>
      <c r="E36" s="192"/>
      <c r="F36" s="843"/>
      <c r="G36" s="843"/>
      <c r="H36" s="192"/>
      <c r="I36" s="192"/>
      <c r="J36" s="192"/>
      <c r="K36" s="192"/>
      <c r="L36" s="192"/>
      <c r="M36" s="192"/>
      <c r="N36" s="192"/>
      <c r="O36" s="192"/>
      <c r="P36" s="1725"/>
      <c r="Q36" s="192"/>
      <c r="R36" s="192"/>
      <c r="S36" s="192"/>
      <c r="T36" s="192"/>
      <c r="U36" s="192"/>
      <c r="V36" s="192"/>
    </row>
    <row r="38" spans="1:22">
      <c r="B38" s="254" t="s">
        <v>47</v>
      </c>
    </row>
    <row r="39" spans="1:22">
      <c r="B39" s="112" t="s">
        <v>48</v>
      </c>
    </row>
    <row r="40" spans="1:22">
      <c r="B40" s="115" t="s">
        <v>49</v>
      </c>
    </row>
    <row r="41" spans="1:22">
      <c r="B41" s="112" t="s">
        <v>50</v>
      </c>
    </row>
    <row r="42" spans="1:22">
      <c r="B42" s="115" t="s">
        <v>51</v>
      </c>
    </row>
    <row r="43" spans="1:22">
      <c r="B43" s="254" t="s">
        <v>52</v>
      </c>
    </row>
    <row r="44" spans="1:22" ht="18.600000000000001" thickBot="1">
      <c r="B44" s="333" t="s">
        <v>229</v>
      </c>
    </row>
    <row r="46" spans="1:22" ht="15" thickBot="1"/>
    <row r="47" spans="1:22">
      <c r="B47" s="335" t="s">
        <v>234</v>
      </c>
      <c r="C47" s="336">
        <v>160000000</v>
      </c>
      <c r="D47" s="336"/>
      <c r="E47" s="336"/>
      <c r="F47" s="844"/>
      <c r="G47" s="844"/>
      <c r="H47" s="336"/>
    </row>
    <row r="48" spans="1:22">
      <c r="B48" s="588" t="s">
        <v>1158</v>
      </c>
      <c r="C48" s="589">
        <v>22200000</v>
      </c>
      <c r="D48" s="589"/>
      <c r="E48" s="589"/>
      <c r="F48" s="845"/>
      <c r="G48" s="845"/>
      <c r="H48" s="589"/>
    </row>
    <row r="49" spans="2:8">
      <c r="B49" s="112" t="s">
        <v>153</v>
      </c>
      <c r="C49" s="403">
        <f>+O24+Q24</f>
        <v>783670947.60000002</v>
      </c>
      <c r="D49" s="403"/>
      <c r="E49" s="403"/>
      <c r="F49" s="846"/>
      <c r="G49" s="846"/>
      <c r="H49" s="403">
        <f>C49/C47</f>
        <v>4.8979434225</v>
      </c>
    </row>
    <row r="50" spans="2:8" ht="15" thickBot="1">
      <c r="B50" s="339" t="s">
        <v>154</v>
      </c>
      <c r="C50" s="340">
        <f>+C47+C48-C49</f>
        <v>-601470947.60000002</v>
      </c>
      <c r="D50" s="340"/>
      <c r="E50" s="340"/>
      <c r="F50" s="847"/>
      <c r="G50" s="847"/>
      <c r="H50" s="340">
        <f>C50/C47</f>
        <v>-3.7591934225000001</v>
      </c>
    </row>
  </sheetData>
  <mergeCells count="12">
    <mergeCell ref="Q3:Q4"/>
    <mergeCell ref="R3:R4"/>
    <mergeCell ref="S1:V2"/>
    <mergeCell ref="K2:N2"/>
    <mergeCell ref="I3:I4"/>
    <mergeCell ref="J3:J4"/>
    <mergeCell ref="K3:K4"/>
    <mergeCell ref="L3:L4"/>
    <mergeCell ref="M3:M4"/>
    <mergeCell ref="N3:N4"/>
    <mergeCell ref="O3:O4"/>
    <mergeCell ref="P3:P4"/>
  </mergeCells>
  <conditionalFormatting sqref="S6:S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S8:S9">
    <cfRule type="iconSet" priority="1">
      <iconSet iconSet="3Arrows">
        <cfvo type="percent" val="0"/>
        <cfvo type="percent" val="45"/>
        <cfvo type="percent" val="80"/>
      </iconSet>
    </cfRule>
  </conditionalFormatting>
  <conditionalFormatting sqref="S14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S16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S20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S22">
    <cfRule type="iconSet" priority="2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ignoredErrors>
    <ignoredError sqref="O12:R12 O18:R18 O20 P23:P24" formula="1"/>
  </ignoredErrors>
  <drawing r:id="rId2"/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F8166-3D5C-4765-A751-AB2F93336CD6}">
  <dimension ref="B3:M62"/>
  <sheetViews>
    <sheetView showGridLines="0" topLeftCell="A15" zoomScaleNormal="100" workbookViewId="0">
      <selection activeCell="A175" sqref="A175:XFD175"/>
    </sheetView>
  </sheetViews>
  <sheetFormatPr baseColWidth="10" defaultColWidth="11.44140625" defaultRowHeight="14.4"/>
  <cols>
    <col min="1" max="1" width="2.44140625" customWidth="1"/>
    <col min="2" max="2" width="35.6640625" customWidth="1"/>
    <col min="3" max="3" width="20.6640625" style="731" customWidth="1"/>
    <col min="4" max="4" width="17" style="730" bestFit="1" customWidth="1"/>
    <col min="5" max="8" width="16.33203125" style="730" bestFit="1" customWidth="1"/>
    <col min="9" max="9" width="16.44140625" style="731" bestFit="1" customWidth="1"/>
    <col min="10" max="10" width="20.6640625" bestFit="1" customWidth="1"/>
    <col min="11" max="11" width="14.88671875" style="370" bestFit="1" customWidth="1"/>
    <col min="12" max="12" width="13.5546875" bestFit="1" customWidth="1"/>
  </cols>
  <sheetData>
    <row r="3" spans="2:9" hidden="1">
      <c r="B3" s="142">
        <v>160000000</v>
      </c>
    </row>
    <row r="4" spans="2:9" ht="15" hidden="1" thickBot="1">
      <c r="B4" s="284" t="s">
        <v>259</v>
      </c>
    </row>
    <row r="5" spans="2:9" ht="15" hidden="1" thickBot="1">
      <c r="B5" s="284" t="s">
        <v>260</v>
      </c>
    </row>
    <row r="6" spans="2:9" ht="15.6" hidden="1" thickTop="1" thickBot="1">
      <c r="B6" s="285" t="s">
        <v>261</v>
      </c>
    </row>
    <row r="7" spans="2:9" ht="15.6" hidden="1" thickTop="1" thickBot="1">
      <c r="B7" s="285" t="s">
        <v>149</v>
      </c>
    </row>
    <row r="8" spans="2:9" ht="15.6" hidden="1" thickTop="1" thickBot="1">
      <c r="B8" s="285" t="s">
        <v>262</v>
      </c>
    </row>
    <row r="9" spans="2:9" hidden="1"/>
    <row r="10" spans="2:9" hidden="1"/>
    <row r="11" spans="2:9" hidden="1"/>
    <row r="12" spans="2:9" hidden="1"/>
    <row r="13" spans="2:9" hidden="1"/>
    <row r="14" spans="2:9" hidden="1"/>
    <row r="15" spans="2:9" ht="15" thickBot="1">
      <c r="C15" s="1154" t="s">
        <v>1286</v>
      </c>
      <c r="F15" s="733"/>
      <c r="G15" s="733"/>
    </row>
    <row r="16" spans="2:9" ht="16.2" thickBot="1">
      <c r="B16" s="676"/>
      <c r="C16" s="734" t="s">
        <v>2611</v>
      </c>
      <c r="D16" s="735">
        <v>46113</v>
      </c>
      <c r="E16" s="735">
        <v>46143</v>
      </c>
      <c r="F16" s="735">
        <v>46174</v>
      </c>
      <c r="G16" s="735">
        <v>46204</v>
      </c>
      <c r="H16" s="735">
        <v>46235</v>
      </c>
      <c r="I16" s="807" t="s">
        <v>1290</v>
      </c>
    </row>
    <row r="17" spans="2:13" ht="16.2" thickBot="1">
      <c r="B17" s="736" t="s">
        <v>1291</v>
      </c>
      <c r="C17" s="1782">
        <f>+'BCE 03-26'!C35+'BCE 03-26'!C33</f>
        <v>167373799.06</v>
      </c>
      <c r="D17" s="1782">
        <f>+'Proyección VTA 03-26'!F9</f>
        <v>19000000</v>
      </c>
      <c r="E17" s="1782">
        <f>+'Proyección VTA 03-26'!G9</f>
        <v>20000000</v>
      </c>
      <c r="F17" s="1782">
        <f>+'Proyección VTA 03-26'!H9</f>
        <v>20000000</v>
      </c>
      <c r="G17" s="1782">
        <f>+'Proyección VTA 03-26'!I9</f>
        <v>21000000</v>
      </c>
      <c r="H17" s="1782">
        <f>+'Proyección VTA 03-26'!J9</f>
        <v>21000000</v>
      </c>
      <c r="I17" s="1783">
        <f>SUM(C17:H17)</f>
        <v>268373799.06</v>
      </c>
      <c r="J17" s="370"/>
    </row>
    <row r="18" spans="2:13" ht="15.6" hidden="1">
      <c r="B18" s="681" t="s">
        <v>2097</v>
      </c>
      <c r="C18" s="1784"/>
      <c r="D18" s="1784">
        <f>+C17+D17</f>
        <v>186373799.06</v>
      </c>
      <c r="E18" s="1784">
        <f>+D18+E17</f>
        <v>206373799.06</v>
      </c>
      <c r="F18" s="1784">
        <f t="shared" ref="F18:H18" si="0">+E18+F17</f>
        <v>226373799.06</v>
      </c>
      <c r="G18" s="1784">
        <f t="shared" si="0"/>
        <v>247373799.06</v>
      </c>
      <c r="H18" s="1784">
        <f t="shared" si="0"/>
        <v>268373799.06</v>
      </c>
      <c r="I18" s="1785"/>
    </row>
    <row r="19" spans="2:13" ht="15.6" hidden="1">
      <c r="B19" s="681"/>
      <c r="C19" s="1784"/>
      <c r="D19" s="1784"/>
      <c r="E19" s="1784">
        <f>+E18+E27</f>
        <v>209694597.82706243</v>
      </c>
      <c r="F19" s="1784">
        <f>+F18+F27</f>
        <v>299485558.81837142</v>
      </c>
      <c r="G19" s="1784">
        <f>+G18+G27</f>
        <v>273006934.25412482</v>
      </c>
      <c r="H19" s="1784">
        <f>+H18+H27</f>
        <v>332180393.0232116</v>
      </c>
      <c r="I19" s="1785"/>
    </row>
    <row r="20" spans="2:13" ht="15.6">
      <c r="B20" s="681" t="s">
        <v>1616</v>
      </c>
      <c r="C20" s="1784">
        <v>330000000</v>
      </c>
      <c r="D20" s="1786"/>
      <c r="E20" s="1786"/>
      <c r="F20" s="1786"/>
      <c r="G20" s="1786"/>
      <c r="H20" s="1786"/>
      <c r="I20" s="1785">
        <f t="shared" ref="I20:I26" si="1">SUM(C20:H20)</f>
        <v>330000000</v>
      </c>
    </row>
    <row r="21" spans="2:13" ht="15.6" hidden="1">
      <c r="B21" s="1692" t="s">
        <v>2005</v>
      </c>
      <c r="C21" s="1787">
        <f>+'Préstamos 12-25'!H6</f>
        <v>100000000</v>
      </c>
      <c r="D21" s="1788"/>
      <c r="E21" s="1788"/>
      <c r="F21" s="1788"/>
      <c r="G21" s="1788"/>
      <c r="H21" s="1788"/>
      <c r="I21" s="1789">
        <f>SUM(C21:H21)</f>
        <v>100000000</v>
      </c>
    </row>
    <row r="22" spans="2:13" ht="15.6" hidden="1">
      <c r="B22" s="1730" t="s">
        <v>2359</v>
      </c>
      <c r="C22" s="1784">
        <v>-100000000</v>
      </c>
      <c r="D22" s="1786"/>
      <c r="E22" s="1786"/>
      <c r="F22" s="1786"/>
      <c r="G22" s="1786"/>
      <c r="H22" s="1786"/>
      <c r="I22" s="1785">
        <f>SUM(C22:H22)</f>
        <v>-100000000</v>
      </c>
    </row>
    <row r="23" spans="2:13" ht="15.6" hidden="1">
      <c r="B23" s="681" t="s">
        <v>1617</v>
      </c>
      <c r="C23" s="1784">
        <f>+'Préstamos 12-25'!H4+'Préstamos 12-25'!H5</f>
        <v>49200000</v>
      </c>
      <c r="D23" s="1786"/>
      <c r="E23" s="1786"/>
      <c r="F23" s="1786"/>
      <c r="G23" s="1784"/>
      <c r="H23" s="1786"/>
      <c r="I23" s="1785">
        <f t="shared" si="1"/>
        <v>49200000</v>
      </c>
    </row>
    <row r="24" spans="2:13" ht="15.6" hidden="1">
      <c r="B24" s="681" t="s">
        <v>2253</v>
      </c>
      <c r="C24" s="1784">
        <f>+'Préstamos 12-25'!J4+'Préstamos 12-25'!J5</f>
        <v>-49200000</v>
      </c>
      <c r="D24" s="1786"/>
      <c r="E24" s="1786"/>
      <c r="F24" s="1786"/>
      <c r="G24" s="1784"/>
      <c r="H24" s="1786"/>
      <c r="I24" s="1785">
        <f t="shared" si="1"/>
        <v>-49200000</v>
      </c>
    </row>
    <row r="25" spans="2:13" ht="15.6">
      <c r="B25" s="1730" t="s">
        <v>2612</v>
      </c>
      <c r="C25" s="1784"/>
      <c r="D25" s="1786"/>
      <c r="E25" s="1786"/>
      <c r="F25" s="1786">
        <f>4000000*60</f>
        <v>240000000</v>
      </c>
      <c r="G25" s="1784"/>
      <c r="H25" s="1786">
        <f>3000000*60</f>
        <v>180000000</v>
      </c>
      <c r="I25" s="1785">
        <f t="shared" si="1"/>
        <v>420000000</v>
      </c>
    </row>
    <row r="26" spans="2:13" ht="15.6">
      <c r="B26" s="1730" t="s">
        <v>2360</v>
      </c>
      <c r="C26" s="1784">
        <v>100000000</v>
      </c>
      <c r="D26" s="1786">
        <v>40000000</v>
      </c>
      <c r="E26" s="1786">
        <v>60000000</v>
      </c>
      <c r="F26" s="1786">
        <v>-75000000</v>
      </c>
      <c r="G26" s="1786"/>
      <c r="H26" s="1786">
        <v>-70000000</v>
      </c>
      <c r="I26" s="1785">
        <f t="shared" si="1"/>
        <v>55000000</v>
      </c>
    </row>
    <row r="27" spans="2:13" ht="15.6">
      <c r="B27" s="681" t="s">
        <v>266</v>
      </c>
      <c r="C27" s="1784">
        <f>+C20+C21+C23-C28+C24+C17+C26-C29+C22</f>
        <v>32829548.769999996</v>
      </c>
      <c r="D27" s="1786">
        <f>+C27+D21+D24-D28+D17+D26+D22</f>
        <v>6508961.6713089794</v>
      </c>
      <c r="E27" s="1786">
        <f>+D27+E21+E24-E28+E17+E26+E22</f>
        <v>3320798.7670624107</v>
      </c>
      <c r="F27" s="1786">
        <f>+E27+F21+F24-F28+F17+F26+F22+F25</f>
        <v>73111759.758371413</v>
      </c>
      <c r="G27" s="1786">
        <f t="shared" ref="G27:H27" si="2">+F27+G21+G24-G28+G17+G26+G22+G25</f>
        <v>25633135.194124833</v>
      </c>
      <c r="H27" s="1786">
        <f t="shared" si="2"/>
        <v>63806593.963211596</v>
      </c>
      <c r="I27" s="1785">
        <f>+H27</f>
        <v>63806593.963211596</v>
      </c>
      <c r="J27" s="1807"/>
      <c r="K27" s="1807"/>
      <c r="L27" s="1807"/>
      <c r="M27" s="1807"/>
    </row>
    <row r="28" spans="2:13" ht="15.6">
      <c r="B28" s="740" t="s">
        <v>2613</v>
      </c>
      <c r="C28" s="1790">
        <f>SUM(C31:C46)</f>
        <v>566267987.74000001</v>
      </c>
      <c r="D28" s="1790">
        <f>SUM(D31:D46)</f>
        <v>85320587.098691016</v>
      </c>
      <c r="E28" s="1790">
        <f>SUM(E31:E46)</f>
        <v>83188162.904246569</v>
      </c>
      <c r="F28" s="1790">
        <f t="shared" ref="F28:H28" si="3">SUM(F31:F46)</f>
        <v>115209039.00869101</v>
      </c>
      <c r="G28" s="1790">
        <f>SUM(G31:G46)</f>
        <v>68478624.56424658</v>
      </c>
      <c r="H28" s="1790">
        <f t="shared" si="3"/>
        <v>92826541.230913237</v>
      </c>
      <c r="I28" s="1791">
        <f>SUM(C28:H28)</f>
        <v>1011290942.5467885</v>
      </c>
      <c r="J28" s="732">
        <v>89831.24</v>
      </c>
      <c r="K28" s="732"/>
      <c r="L28" s="732"/>
      <c r="M28" s="732"/>
    </row>
    <row r="29" spans="2:13" ht="15.6" hidden="1">
      <c r="B29" s="1635" t="s">
        <v>2255</v>
      </c>
      <c r="C29" s="1784">
        <f>-'BCE Resumido 03-26'!F38</f>
        <v>-1723737.4499999997</v>
      </c>
      <c r="D29" s="1784"/>
      <c r="E29" s="1784"/>
      <c r="F29" s="1784"/>
      <c r="G29" s="1784"/>
      <c r="H29" s="1784"/>
      <c r="I29" s="1785"/>
      <c r="J29" s="1786"/>
    </row>
    <row r="30" spans="2:13" ht="15.6" hidden="1">
      <c r="B30" s="1635" t="s">
        <v>655</v>
      </c>
      <c r="C30" s="1784">
        <f>-'BCE Resumido 03-26'!C17-'BCE 03-26'!C37</f>
        <v>-1937695.3099999998</v>
      </c>
      <c r="D30" s="1784"/>
      <c r="E30" s="1784"/>
      <c r="F30" s="1784"/>
      <c r="G30" s="1784"/>
      <c r="H30" s="1784"/>
      <c r="I30" s="1785"/>
      <c r="J30" s="1786"/>
    </row>
    <row r="31" spans="2:13" ht="15.6">
      <c r="B31" s="694" t="s">
        <v>2614</v>
      </c>
      <c r="C31" s="1784">
        <f>+'BCE 03-26'!C20</f>
        <v>1981527.92</v>
      </c>
      <c r="D31" s="1786"/>
      <c r="E31" s="1784"/>
      <c r="F31" s="1784"/>
      <c r="G31" s="1784"/>
      <c r="H31" s="1784"/>
      <c r="I31" s="1785"/>
      <c r="J31" s="1786">
        <f>+J28*61</f>
        <v>5479705.6400000006</v>
      </c>
    </row>
    <row r="32" spans="2:13" ht="15.6">
      <c r="B32" s="694" t="s">
        <v>33</v>
      </c>
      <c r="C32" s="1792">
        <f>+'PRESENTACIÓN 03-26'!O5</f>
        <v>264445081.16</v>
      </c>
      <c r="D32" s="742">
        <v>0</v>
      </c>
      <c r="E32" s="742">
        <v>0</v>
      </c>
      <c r="F32" s="742">
        <v>0</v>
      </c>
      <c r="G32" s="742">
        <v>0</v>
      </c>
      <c r="H32" s="742">
        <v>0</v>
      </c>
      <c r="I32" s="1794">
        <f t="shared" ref="I32:I46" si="4">SUM(C32:H32)</f>
        <v>264445081.16</v>
      </c>
    </row>
    <row r="33" spans="2:11" ht="15.6">
      <c r="B33" s="697" t="s">
        <v>49</v>
      </c>
      <c r="C33" s="1784">
        <f>+'PRESENTACIÓN 03-26'!O20</f>
        <v>24426289.920000002</v>
      </c>
      <c r="D33" s="739">
        <v>0</v>
      </c>
      <c r="E33" s="739">
        <v>0</v>
      </c>
      <c r="F33" s="739">
        <v>0</v>
      </c>
      <c r="G33" s="739">
        <v>0</v>
      </c>
      <c r="H33" s="739">
        <v>0</v>
      </c>
      <c r="I33" s="1785">
        <f t="shared" si="4"/>
        <v>24426289.920000002</v>
      </c>
    </row>
    <row r="34" spans="2:11" ht="15.6">
      <c r="B34" s="697" t="s">
        <v>717</v>
      </c>
      <c r="C34" s="1792">
        <f>+'PRESENTACIÓN 03-26'!O19</f>
        <v>21390358.149999999</v>
      </c>
      <c r="D34" s="742">
        <f>+'Compromisos 03-26'!F192</f>
        <v>3748024.5100000002</v>
      </c>
      <c r="E34" s="742">
        <f>+'Compromisos 03-26'!G192</f>
        <v>0</v>
      </c>
      <c r="F34" s="742">
        <f>+'Compromisos 03-26'!H192</f>
        <v>742220</v>
      </c>
      <c r="G34" s="742">
        <f>+'Compromisos 03-26'!I192</f>
        <v>0</v>
      </c>
      <c r="H34" s="742">
        <f>+'Compromisos 03-26'!J192</f>
        <v>0</v>
      </c>
      <c r="I34" s="1794">
        <f t="shared" si="4"/>
        <v>25880602.66</v>
      </c>
      <c r="J34" s="1807"/>
    </row>
    <row r="35" spans="2:11" ht="15.6">
      <c r="B35" s="697" t="s">
        <v>1764</v>
      </c>
      <c r="C35" s="1784">
        <f>+'PRESENTACIÓN 03-26'!O6</f>
        <v>38238270.479999997</v>
      </c>
      <c r="D35" s="1786">
        <f>+'Compromisos 03-26'!F22</f>
        <v>6022325.0220000008</v>
      </c>
      <c r="E35" s="1786">
        <f>+'Compromisos 03-26'!G22</f>
        <v>4770000</v>
      </c>
      <c r="F35" s="1786">
        <f>+'Compromisos 03-26'!H22</f>
        <v>11370000</v>
      </c>
      <c r="G35" s="1786">
        <f>+'Compromisos 03-26'!I22</f>
        <v>2420000</v>
      </c>
      <c r="H35" s="1786">
        <f>+'Compromisos 03-26'!J22</f>
        <v>26070000</v>
      </c>
      <c r="I35" s="1785">
        <f t="shared" si="4"/>
        <v>88890595.502000004</v>
      </c>
      <c r="J35" s="370"/>
    </row>
    <row r="36" spans="2:11" ht="15.6">
      <c r="B36" s="697" t="s">
        <v>1765</v>
      </c>
      <c r="C36" s="1784">
        <f>+'PRESENTACIÓN 03-26'!O7</f>
        <v>16563764.849999994</v>
      </c>
      <c r="D36" s="1786">
        <f>+'Compromisos 03-26'!F100</f>
        <v>54690066.868000016</v>
      </c>
      <c r="E36" s="1786">
        <f>+'Compromisos 03-26'!G100</f>
        <v>50565598.259999998</v>
      </c>
      <c r="F36" s="1786">
        <f>+'Compromisos 03-26'!H100</f>
        <v>75780000</v>
      </c>
      <c r="G36" s="1786">
        <f>+'Compromisos 03-26'!I100</f>
        <v>42280000</v>
      </c>
      <c r="H36" s="1786">
        <f>+'Compromisos 03-26'!J100</f>
        <v>42280000</v>
      </c>
      <c r="I36" s="1785">
        <f t="shared" si="4"/>
        <v>282159429.97800004</v>
      </c>
      <c r="J36" s="370"/>
    </row>
    <row r="37" spans="2:11" ht="15.6">
      <c r="B37" s="697" t="s">
        <v>40</v>
      </c>
      <c r="C37" s="1792">
        <f>+'PRESENTACIÓN 03-26'!O10</f>
        <v>4719879.29</v>
      </c>
      <c r="D37" s="1793">
        <f>+'Compromisos 03-26'!F108+'Compromisos 03-26'!F112+'Compromisos 03-26'!F117</f>
        <v>1207404.9233333333</v>
      </c>
      <c r="E37" s="1793">
        <f>+'Compromisos 03-26'!G108+'Compromisos 03-26'!G112+'Compromisos 03-26'!G117</f>
        <v>1212627.3233333332</v>
      </c>
      <c r="F37" s="1793">
        <f>+'Compromisos 03-26'!H108+'Compromisos 03-26'!H112+'Compromisos 03-26'!H117</f>
        <v>1212627.3233333332</v>
      </c>
      <c r="G37" s="1793">
        <f>+'Compromisos 03-26'!I108+'Compromisos 03-26'!I112+'Compromisos 03-26'!I117</f>
        <v>1212627.3233333332</v>
      </c>
      <c r="H37" s="1793">
        <f>+'Compromisos 03-26'!J108+'Compromisos 03-26'!J112+'Compromisos 03-26'!J117</f>
        <v>1212627.3233333332</v>
      </c>
      <c r="I37" s="1794">
        <f t="shared" si="4"/>
        <v>10777793.506666668</v>
      </c>
      <c r="J37" s="370"/>
    </row>
    <row r="38" spans="2:11" ht="15.6">
      <c r="B38" s="697" t="s">
        <v>2016</v>
      </c>
      <c r="C38" s="1792">
        <f>+'PRESENTACIÓN 03-26'!O16</f>
        <v>27908655.420000002</v>
      </c>
      <c r="D38" s="1793">
        <f>'Compromisos 03-26'!F155+'Compromisos 03-26'!F163+'Compromisos 03-26'!F170+'Compromisos 03-26'!F179+'Compromisos 03-26'!F184</f>
        <v>2681857.6442465754</v>
      </c>
      <c r="E38" s="1793">
        <f>+'Compromisos 03-26'!G146+'Compromisos 03-26'!G151+'Compromisos 03-26'!G155+'Compromisos 03-26'!G163+'Compromisos 03-26'!G170+'Compromisos 03-26'!G179+'Compromisos 03-26'!G184</f>
        <v>2763553.0542465756</v>
      </c>
      <c r="F38" s="1793">
        <f>+'Compromisos 03-26'!H146+'Compromisos 03-26'!H151+'Compromisos 03-26'!H155+'Compromisos 03-26'!H163+'Compromisos 03-26'!H170+'Compromisos 03-26'!H179+'Compromisos 03-26'!H184</f>
        <v>5879553.0542465756</v>
      </c>
      <c r="G38" s="1793">
        <f>+'Compromisos 03-26'!I146+'Compromisos 03-26'!I151+'Compromisos 03-26'!I155+'Compromisos 03-26'!I163+'Compromisos 03-26'!I170+'Compromisos 03-26'!I179+'Compromisos 03-26'!I184</f>
        <v>2379553.0542465756</v>
      </c>
      <c r="H38" s="1793">
        <f>+'Compromisos 03-26'!J146+'Compromisos 03-26'!J151+'Compromisos 03-26'!J155+'Compromisos 03-26'!J163+'Compromisos 03-26'!J170+'Compromisos 03-26'!J179+'Compromisos 03-26'!J184</f>
        <v>2379553.0542465756</v>
      </c>
      <c r="I38" s="1794">
        <f t="shared" si="4"/>
        <v>43992725.281232879</v>
      </c>
      <c r="J38" s="367"/>
      <c r="K38" s="367"/>
    </row>
    <row r="39" spans="2:11" ht="15.6">
      <c r="B39" s="744" t="s">
        <v>672</v>
      </c>
      <c r="C39" s="1795">
        <f>+'PRESENTACIÓN 03-26'!O15</f>
        <v>4547748.63</v>
      </c>
      <c r="D39" s="1796">
        <f>+'Compromisos 03-26'!F151</f>
        <v>646301.02</v>
      </c>
      <c r="E39" s="1796">
        <f>+'Compromisos 03-26'!G151</f>
        <v>646301.02</v>
      </c>
      <c r="F39" s="1796">
        <f>+'Compromisos 03-26'!H151</f>
        <v>646301.02</v>
      </c>
      <c r="G39" s="1796">
        <f>+'Compromisos 03-26'!I151</f>
        <v>646301.02</v>
      </c>
      <c r="H39" s="1796">
        <f>+'Compromisos 03-26'!J151</f>
        <v>646301.02</v>
      </c>
      <c r="I39" s="1797">
        <f t="shared" si="4"/>
        <v>7779253.7299999986</v>
      </c>
      <c r="J39" s="370"/>
    </row>
    <row r="40" spans="2:11" s="747" customFormat="1" ht="15.6">
      <c r="B40" s="703" t="s">
        <v>767</v>
      </c>
      <c r="C40" s="1798">
        <f>+'PRESENTACIÓN 03-26'!O8</f>
        <v>33230051.390000001</v>
      </c>
      <c r="D40" s="1799">
        <f>+'Compromisos 03-26'!F104</f>
        <v>2360000</v>
      </c>
      <c r="E40" s="1799">
        <f>+'Compromisos 03-26'!G104</f>
        <v>2360000</v>
      </c>
      <c r="F40" s="1799">
        <f>+'Compromisos 03-26'!H104</f>
        <v>2360000</v>
      </c>
      <c r="G40" s="1799">
        <f>+'Compromisos 03-26'!I104</f>
        <v>2360000</v>
      </c>
      <c r="H40" s="1799">
        <f>+'Compromisos 03-26'!J104</f>
        <v>2360000</v>
      </c>
      <c r="I40" s="1800">
        <f t="shared" si="4"/>
        <v>45030051.390000001</v>
      </c>
    </row>
    <row r="41" spans="2:11" s="747" customFormat="1" ht="15.6">
      <c r="B41" s="703" t="s">
        <v>1607</v>
      </c>
      <c r="C41" s="1798">
        <f>+'PRESENTACIÓN 03-26'!O9</f>
        <v>3041785.8000000003</v>
      </c>
      <c r="D41" s="1799">
        <f>+'Compromisos 03-26'!F122</f>
        <v>506964.3</v>
      </c>
      <c r="E41" s="1799">
        <f>+'Compromisos 03-26'!G122</f>
        <v>506964.3</v>
      </c>
      <c r="F41" s="1799">
        <f>+'Compromisos 03-26'!H122</f>
        <v>506964.3</v>
      </c>
      <c r="G41" s="1799">
        <f>+'Compromisos 03-26'!I122</f>
        <v>506964.3</v>
      </c>
      <c r="H41" s="1799">
        <f>+'Compromisos 03-26'!J122</f>
        <v>506964.3</v>
      </c>
      <c r="I41" s="1801">
        <f t="shared" si="4"/>
        <v>5576607.2999999998</v>
      </c>
    </row>
    <row r="42" spans="2:11" s="747" customFormat="1" ht="15.6">
      <c r="B42" s="703" t="s">
        <v>768</v>
      </c>
      <c r="C42" s="1802">
        <f>+'PRESENTACIÓN 03-26'!O13</f>
        <v>21401175.969999999</v>
      </c>
      <c r="D42" s="1803">
        <f>+'Compromisos 03-26'!F126</f>
        <v>1770000</v>
      </c>
      <c r="E42" s="1803">
        <f>+'Compromisos 03-26'!G126</f>
        <v>1770000</v>
      </c>
      <c r="F42" s="1803">
        <f>+'Compromisos 03-26'!H126</f>
        <v>1770000</v>
      </c>
      <c r="G42" s="1803">
        <f>+'Compromisos 03-26'!I126</f>
        <v>1770000</v>
      </c>
      <c r="H42" s="1803">
        <f>+'Compromisos 03-26'!J126</f>
        <v>1770000</v>
      </c>
      <c r="I42" s="1801">
        <f t="shared" si="4"/>
        <v>30251175.969999999</v>
      </c>
    </row>
    <row r="43" spans="2:11" s="747" customFormat="1" ht="15.6">
      <c r="B43" s="703" t="s">
        <v>1451</v>
      </c>
      <c r="C43" s="1798">
        <f>+'Costos a Mar-26'!R29+'Costos a Mar-26'!R30-'CXP 03-26 RES'!H12</f>
        <v>14719808.619999997</v>
      </c>
      <c r="D43" s="1799">
        <f>+'Compromisos 03-26'!F140+'Compromisos 03-26'!F146</f>
        <v>1182421.8500000001</v>
      </c>
      <c r="E43" s="1799">
        <f>+'Compromisos 03-26'!G140+'Compromisos 03-26'!G146</f>
        <v>1455000</v>
      </c>
      <c r="F43" s="1799">
        <f>+'Compromisos 03-26'!H140+'Compromisos 03-26'!H146</f>
        <v>1455000</v>
      </c>
      <c r="G43" s="1799">
        <f>+'Compromisos 03-26'!I140+'Compromisos 03-26'!I146</f>
        <v>1455000</v>
      </c>
      <c r="H43" s="1799">
        <f>+'Compromisos 03-26'!J140+'Compromisos 03-26'!J146</f>
        <v>1455000</v>
      </c>
      <c r="I43" s="1800">
        <f t="shared" si="4"/>
        <v>21722230.469999999</v>
      </c>
    </row>
    <row r="44" spans="2:11" s="747" customFormat="1" ht="15.6">
      <c r="B44" s="752" t="s">
        <v>962</v>
      </c>
      <c r="C44" s="1802">
        <f>+'Costos a Mar-26'!R28</f>
        <v>9220295.8000000007</v>
      </c>
      <c r="D44" s="1803">
        <f>+'Compromisos 03-26'!F136</f>
        <v>767000</v>
      </c>
      <c r="E44" s="1803">
        <f>+'Compromisos 03-26'!G136</f>
        <v>767000</v>
      </c>
      <c r="F44" s="1803">
        <f>+'Compromisos 03-26'!H136</f>
        <v>767000</v>
      </c>
      <c r="G44" s="1803">
        <f>+'Compromisos 03-26'!I136</f>
        <v>767000</v>
      </c>
      <c r="H44" s="1803">
        <f>+'Compromisos 03-26'!J136</f>
        <v>767000</v>
      </c>
      <c r="I44" s="1801">
        <f t="shared" si="4"/>
        <v>13055295.800000001</v>
      </c>
      <c r="J44" s="583"/>
      <c r="K44" s="583"/>
    </row>
    <row r="45" spans="2:11" ht="15.6">
      <c r="B45" s="752" t="s">
        <v>770</v>
      </c>
      <c r="C45" s="1792">
        <f>+'Costos a Mar-26'!R27-'CXP 03-26 RES'!H11</f>
        <v>67545316.680000007</v>
      </c>
      <c r="D45" s="1793">
        <f>+'Compromisos 03-26'!F132</f>
        <v>8095859.8499999996</v>
      </c>
      <c r="E45" s="1793">
        <f>+'Compromisos 03-26'!G132</f>
        <v>14079452.279999999</v>
      </c>
      <c r="F45" s="1793">
        <f>+'Compromisos 03-26'!H132</f>
        <v>9248887.2000000011</v>
      </c>
      <c r="G45" s="1793">
        <f>+'Compromisos 03-26'!I132</f>
        <v>9248887.2000000011</v>
      </c>
      <c r="H45" s="1793">
        <f>+'Compromisos 03-26'!J132</f>
        <v>9248887.2000000011</v>
      </c>
      <c r="I45" s="1794">
        <f t="shared" si="4"/>
        <v>117467290.41000001</v>
      </c>
      <c r="J45" s="370"/>
    </row>
    <row r="46" spans="2:11" ht="16.2" thickBot="1">
      <c r="B46" s="756" t="s">
        <v>50</v>
      </c>
      <c r="C46" s="1804">
        <f>+'PRESENTACIÓN 03-26'!O21</f>
        <v>12887977.66</v>
      </c>
      <c r="D46" s="1805">
        <f>+'Compromisos 03-26'!F196</f>
        <v>1642361.1111111112</v>
      </c>
      <c r="E46" s="1805">
        <f>+'Compromisos 03-26'!G196</f>
        <v>2291666.666666667</v>
      </c>
      <c r="F46" s="1805">
        <f>+'Compromisos 03-26'!H196</f>
        <v>3470486.111111111</v>
      </c>
      <c r="G46" s="1805">
        <f>+'Compromisos 03-26'!I196</f>
        <v>3432291.666666667</v>
      </c>
      <c r="H46" s="1805">
        <f>+'Compromisos 03-26'!J196</f>
        <v>4130208.333333334</v>
      </c>
      <c r="I46" s="1806">
        <f t="shared" si="4"/>
        <v>27854991.548888892</v>
      </c>
    </row>
    <row r="50" spans="2:10">
      <c r="B50" t="s">
        <v>2465</v>
      </c>
      <c r="C50" s="731">
        <f>+C35+C36</f>
        <v>54802035.329999991</v>
      </c>
      <c r="D50" s="731">
        <f t="shared" ref="D50:H50" si="5">+D35+D36</f>
        <v>60712391.890000015</v>
      </c>
      <c r="E50" s="731">
        <f t="shared" si="5"/>
        <v>55335598.259999998</v>
      </c>
      <c r="F50" s="731">
        <f t="shared" si="5"/>
        <v>87150000</v>
      </c>
      <c r="G50" s="731">
        <f t="shared" si="5"/>
        <v>44700000</v>
      </c>
      <c r="H50" s="731">
        <f t="shared" si="5"/>
        <v>68350000</v>
      </c>
      <c r="J50" s="1808"/>
    </row>
    <row r="51" spans="2:10" ht="15" thickBot="1">
      <c r="D51" s="731"/>
      <c r="E51" s="731"/>
      <c r="F51" s="731"/>
      <c r="G51" s="731"/>
      <c r="H51" s="731"/>
      <c r="J51" s="1808"/>
    </row>
    <row r="52" spans="2:10">
      <c r="B52" s="1476" t="s">
        <v>2466</v>
      </c>
      <c r="C52" s="1809">
        <f>+C50*0.118</f>
        <v>6466640.1689399984</v>
      </c>
      <c r="D52" s="1809">
        <f t="shared" ref="D52:H52" si="6">+D50*0.118</f>
        <v>7164062.2430200018</v>
      </c>
      <c r="E52" s="1809">
        <f t="shared" si="6"/>
        <v>6529600.5946799992</v>
      </c>
      <c r="F52" s="1809">
        <f t="shared" si="6"/>
        <v>10283700</v>
      </c>
      <c r="G52" s="1809">
        <f t="shared" si="6"/>
        <v>5274600</v>
      </c>
      <c r="H52" s="1809">
        <f t="shared" si="6"/>
        <v>8065300</v>
      </c>
      <c r="I52" s="1810"/>
    </row>
    <row r="53" spans="2:10">
      <c r="B53" s="753" t="s">
        <v>2467</v>
      </c>
      <c r="C53" s="1811">
        <f>+C40</f>
        <v>33230051.390000001</v>
      </c>
      <c r="D53" s="1811">
        <f t="shared" ref="D53:H53" si="7">+D40</f>
        <v>2360000</v>
      </c>
      <c r="E53" s="1811">
        <f t="shared" si="7"/>
        <v>2360000</v>
      </c>
      <c r="F53" s="1811">
        <f t="shared" si="7"/>
        <v>2360000</v>
      </c>
      <c r="G53" s="1811">
        <f t="shared" si="7"/>
        <v>2360000</v>
      </c>
      <c r="H53" s="1811">
        <f t="shared" si="7"/>
        <v>2360000</v>
      </c>
      <c r="I53" s="1812"/>
    </row>
    <row r="54" spans="2:10">
      <c r="B54" s="753" t="s">
        <v>2468</v>
      </c>
      <c r="C54" s="1811">
        <f>-C53*0.2</f>
        <v>-6646010.2780000009</v>
      </c>
      <c r="D54" s="1811">
        <f t="shared" ref="D54:H54" si="8">-D53*0.2</f>
        <v>-472000</v>
      </c>
      <c r="E54" s="1811">
        <f t="shared" si="8"/>
        <v>-472000</v>
      </c>
      <c r="F54" s="1811">
        <f t="shared" si="8"/>
        <v>-472000</v>
      </c>
      <c r="G54" s="1811">
        <f t="shared" si="8"/>
        <v>-472000</v>
      </c>
      <c r="H54" s="1811">
        <f t="shared" si="8"/>
        <v>-472000</v>
      </c>
      <c r="I54" s="1812"/>
    </row>
    <row r="55" spans="2:10">
      <c r="B55" s="753"/>
      <c r="C55" s="1811">
        <f>+C53+C54</f>
        <v>26584041.112</v>
      </c>
      <c r="D55" s="1811">
        <f t="shared" ref="D55:H55" si="9">+D53+D54</f>
        <v>1888000</v>
      </c>
      <c r="E55" s="1811">
        <f t="shared" si="9"/>
        <v>1888000</v>
      </c>
      <c r="F55" s="1811">
        <f t="shared" si="9"/>
        <v>1888000</v>
      </c>
      <c r="G55" s="1811">
        <f t="shared" si="9"/>
        <v>1888000</v>
      </c>
      <c r="H55" s="1811">
        <f t="shared" si="9"/>
        <v>1888000</v>
      </c>
      <c r="I55" s="1812"/>
    </row>
    <row r="56" spans="2:10">
      <c r="B56" s="753" t="s">
        <v>2469</v>
      </c>
      <c r="C56" s="1811">
        <f>+C52-C55</f>
        <v>-20117400.943060003</v>
      </c>
      <c r="D56" s="1811">
        <f t="shared" ref="D56:H56" si="10">+D52-D55</f>
        <v>5276062.2430200018</v>
      </c>
      <c r="E56" s="1811">
        <f t="shared" si="10"/>
        <v>4641600.5946799992</v>
      </c>
      <c r="F56" s="1811">
        <f t="shared" si="10"/>
        <v>8395700</v>
      </c>
      <c r="G56" s="1811">
        <f t="shared" si="10"/>
        <v>3386600</v>
      </c>
      <c r="H56" s="1811">
        <f t="shared" si="10"/>
        <v>6177300</v>
      </c>
      <c r="I56" s="1812"/>
      <c r="J56" s="1814"/>
    </row>
    <row r="57" spans="2:10" ht="15" thickBot="1">
      <c r="B57" s="1477" t="s">
        <v>2470</v>
      </c>
      <c r="C57" s="1813">
        <f>+C56</f>
        <v>-20117400.943060003</v>
      </c>
      <c r="D57" s="1813">
        <f>+D56+C57</f>
        <v>-14841338.700040001</v>
      </c>
      <c r="E57" s="1813">
        <f t="shared" ref="E57:H57" si="11">+E56+D57</f>
        <v>-10199738.105360001</v>
      </c>
      <c r="F57" s="1813">
        <f t="shared" si="11"/>
        <v>-1804038.1053600013</v>
      </c>
      <c r="G57" s="1813">
        <f t="shared" si="11"/>
        <v>1582561.8946399987</v>
      </c>
      <c r="H57" s="1813">
        <f t="shared" si="11"/>
        <v>7759861.8946399987</v>
      </c>
      <c r="I57" s="767"/>
    </row>
    <row r="58" spans="2:10" ht="15" thickBot="1"/>
    <row r="59" spans="2:10">
      <c r="B59" s="1476" t="s">
        <v>2471</v>
      </c>
      <c r="C59" s="1809">
        <f>+C50*0.0944</f>
        <v>5173312.1351519991</v>
      </c>
      <c r="D59" s="1809">
        <f t="shared" ref="D59:H59" si="12">+D50*0.0944</f>
        <v>5731249.7944160011</v>
      </c>
      <c r="E59" s="1809">
        <f t="shared" si="12"/>
        <v>5223680.4757439997</v>
      </c>
      <c r="F59" s="1809">
        <f t="shared" si="12"/>
        <v>8226960</v>
      </c>
      <c r="G59" s="1809">
        <f t="shared" si="12"/>
        <v>4219680</v>
      </c>
      <c r="H59" s="1809">
        <f t="shared" si="12"/>
        <v>6452240</v>
      </c>
      <c r="I59" s="1810"/>
    </row>
    <row r="60" spans="2:10">
      <c r="B60" s="753" t="s">
        <v>2472</v>
      </c>
      <c r="C60" s="1811">
        <f>+C42</f>
        <v>21401175.969999999</v>
      </c>
      <c r="D60" s="1811">
        <f t="shared" ref="D60:H60" si="13">+D42</f>
        <v>1770000</v>
      </c>
      <c r="E60" s="1811">
        <f t="shared" si="13"/>
        <v>1770000</v>
      </c>
      <c r="F60" s="1811">
        <f t="shared" si="13"/>
        <v>1770000</v>
      </c>
      <c r="G60" s="1811">
        <f t="shared" si="13"/>
        <v>1770000</v>
      </c>
      <c r="H60" s="1811">
        <f t="shared" si="13"/>
        <v>1770000</v>
      </c>
      <c r="I60" s="1812"/>
    </row>
    <row r="61" spans="2:10">
      <c r="B61" s="753" t="s">
        <v>2469</v>
      </c>
      <c r="C61" s="1811">
        <f>+C59-C60</f>
        <v>-16227863.834848</v>
      </c>
      <c r="D61" s="1811">
        <f t="shared" ref="D61:H61" si="14">+D59-D60</f>
        <v>3961249.7944160011</v>
      </c>
      <c r="E61" s="1811">
        <f t="shared" si="14"/>
        <v>3453680.4757439997</v>
      </c>
      <c r="F61" s="1811">
        <f t="shared" si="14"/>
        <v>6456960</v>
      </c>
      <c r="G61" s="1811">
        <f t="shared" si="14"/>
        <v>2449680</v>
      </c>
      <c r="H61" s="1811">
        <f t="shared" si="14"/>
        <v>4682240</v>
      </c>
      <c r="I61" s="1812"/>
    </row>
    <row r="62" spans="2:10" ht="15" thickBot="1">
      <c r="B62" s="1477" t="s">
        <v>2470</v>
      </c>
      <c r="C62" s="1813">
        <f>+C61</f>
        <v>-16227863.834848</v>
      </c>
      <c r="D62" s="1813">
        <f>+D61+C62</f>
        <v>-12266614.040431999</v>
      </c>
      <c r="E62" s="1813">
        <f t="shared" ref="E62:H62" si="15">+E61+D62</f>
        <v>-8812933.564687999</v>
      </c>
      <c r="F62" s="1813">
        <f t="shared" si="15"/>
        <v>-2355973.564687999</v>
      </c>
      <c r="G62" s="1813">
        <f t="shared" si="15"/>
        <v>93706.435312001035</v>
      </c>
      <c r="H62" s="1813">
        <f t="shared" si="15"/>
        <v>4775946.435312001</v>
      </c>
      <c r="I62" s="767"/>
    </row>
  </sheetData>
  <pageMargins left="0.7" right="0.7" top="0.75" bottom="0.75" header="0.3" footer="0.3"/>
  <ignoredErrors>
    <ignoredError sqref="I27" formula="1"/>
  </ignoredErrors>
  <legacyDrawing r:id="rId1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D542A-241A-4FCA-9ECB-A05EC9F0864E}">
  <dimension ref="A1:M33"/>
  <sheetViews>
    <sheetView showGridLines="0" zoomScaleNormal="100" workbookViewId="0">
      <selection activeCell="F42" sqref="F42"/>
    </sheetView>
  </sheetViews>
  <sheetFormatPr baseColWidth="10" defaultColWidth="8" defaultRowHeight="11.4"/>
  <cols>
    <col min="1" max="1" width="13.88671875" style="408" customWidth="1"/>
    <col min="2" max="2" width="30.5546875" style="528" customWidth="1"/>
    <col min="3" max="3" width="12" style="408" bestFit="1" customWidth="1"/>
    <col min="4" max="4" width="12.6640625" style="1568" bestFit="1" customWidth="1"/>
    <col min="5" max="5" width="13.5546875" style="1568" bestFit="1" customWidth="1"/>
    <col min="6" max="6" width="29.33203125" style="408" bestFit="1" customWidth="1"/>
    <col min="7" max="7" width="13.44140625" style="408" bestFit="1" customWidth="1"/>
    <col min="8" max="8" width="11" style="408" bestFit="1" customWidth="1"/>
    <col min="9" max="9" width="11.33203125" style="408" bestFit="1" customWidth="1"/>
    <col min="10" max="10" width="13" style="408" bestFit="1" customWidth="1"/>
    <col min="11" max="11" width="11.6640625" style="408" bestFit="1" customWidth="1"/>
    <col min="12" max="12" width="8" style="408"/>
    <col min="13" max="13" width="9.6640625" style="408" bestFit="1" customWidth="1"/>
    <col min="14" max="16384" width="8" style="408"/>
  </cols>
  <sheetData>
    <row r="1" spans="1:13" s="405" customFormat="1" ht="16.649999999999999" customHeight="1">
      <c r="A1" s="404" t="s">
        <v>1771</v>
      </c>
      <c r="B1" s="526"/>
      <c r="C1" s="404"/>
      <c r="D1" s="1821"/>
      <c r="E1" s="1821"/>
      <c r="F1" s="1256" t="s">
        <v>1772</v>
      </c>
      <c r="G1" s="1249" t="s">
        <v>1773</v>
      </c>
      <c r="H1" s="1249" t="s">
        <v>1774</v>
      </c>
      <c r="I1" s="1249" t="s">
        <v>1775</v>
      </c>
      <c r="J1" s="1249" t="s">
        <v>1776</v>
      </c>
      <c r="K1" s="1249" t="s">
        <v>1777</v>
      </c>
      <c r="L1" s="1249" t="s">
        <v>1298</v>
      </c>
      <c r="M1" s="1249" t="s">
        <v>1778</v>
      </c>
    </row>
    <row r="2" spans="1:13" s="407" customFormat="1" ht="14.4" customHeight="1">
      <c r="A2" s="406" t="s">
        <v>236</v>
      </c>
      <c r="B2" s="527"/>
      <c r="C2" s="406"/>
      <c r="D2" s="1822"/>
      <c r="E2" s="1822"/>
      <c r="F2" s="1250" t="s">
        <v>1779</v>
      </c>
      <c r="G2" s="1251">
        <v>34200000</v>
      </c>
      <c r="H2" s="1251">
        <f>+E17+E18+E19</f>
        <v>34200000</v>
      </c>
      <c r="I2" s="1251">
        <f>+G2-H2</f>
        <v>0</v>
      </c>
      <c r="J2" s="1251">
        <f>-H2</f>
        <v>-34200000</v>
      </c>
      <c r="K2" s="1251">
        <f>+H2+J2</f>
        <v>0</v>
      </c>
      <c r="L2" s="1253">
        <v>0.1595</v>
      </c>
      <c r="M2" s="1254">
        <v>45923</v>
      </c>
    </row>
    <row r="3" spans="1:13" ht="13.35" customHeight="1">
      <c r="F3" s="1250" t="s">
        <v>1779</v>
      </c>
      <c r="G3" s="1251">
        <v>15000000</v>
      </c>
      <c r="H3" s="1251">
        <f>+E21+E22+E20</f>
        <v>15000000</v>
      </c>
      <c r="I3" s="1251"/>
      <c r="J3" s="1251">
        <f>-H3</f>
        <v>-15000000</v>
      </c>
      <c r="K3" s="1251">
        <f t="shared" ref="K3:K5" si="0">+H3+J3</f>
        <v>0</v>
      </c>
      <c r="L3" s="1253">
        <v>0.19</v>
      </c>
      <c r="M3" s="1254">
        <v>45939</v>
      </c>
    </row>
    <row r="4" spans="1:13" ht="13.35" customHeight="1">
      <c r="F4" s="1250" t="s">
        <v>1780</v>
      </c>
      <c r="G4" s="1251">
        <v>100000000</v>
      </c>
      <c r="H4" s="1251">
        <f>+E14</f>
        <v>100000000</v>
      </c>
      <c r="I4" s="1251">
        <f>+G4-H4</f>
        <v>0</v>
      </c>
      <c r="J4" s="1251">
        <f>-D14</f>
        <v>-100000000</v>
      </c>
      <c r="K4" s="1251">
        <f t="shared" si="0"/>
        <v>0</v>
      </c>
      <c r="L4" s="1253">
        <v>0.18</v>
      </c>
      <c r="M4" s="1254">
        <v>46274</v>
      </c>
    </row>
    <row r="5" spans="1:13" ht="13.35" customHeight="1">
      <c r="A5" s="410" t="s">
        <v>1485</v>
      </c>
      <c r="B5" s="529" t="s">
        <v>817</v>
      </c>
      <c r="C5" s="410" t="s">
        <v>691</v>
      </c>
      <c r="D5" s="1823" t="s">
        <v>665</v>
      </c>
      <c r="E5" s="1823" t="s">
        <v>666</v>
      </c>
      <c r="F5" s="1250" t="s">
        <v>2473</v>
      </c>
      <c r="G5" s="1251">
        <v>200000000</v>
      </c>
      <c r="H5" s="1251">
        <f>+E31</f>
        <v>140000000</v>
      </c>
      <c r="I5" s="1251">
        <f>+G5-H5</f>
        <v>60000000</v>
      </c>
      <c r="J5" s="1251">
        <f>+-D31</f>
        <v>0</v>
      </c>
      <c r="K5" s="1251">
        <f t="shared" si="0"/>
        <v>140000000</v>
      </c>
      <c r="L5" s="1253">
        <v>0.13750000000000001</v>
      </c>
      <c r="M5" s="1254">
        <v>46443</v>
      </c>
    </row>
    <row r="6" spans="1:13" ht="13.35" customHeight="1">
      <c r="F6" s="1248" t="s">
        <v>1781</v>
      </c>
      <c r="G6" s="1255">
        <f>SUM(G2:G5)</f>
        <v>349200000</v>
      </c>
      <c r="H6" s="1255">
        <f t="shared" ref="H6:K6" si="1">SUM(H2:H5)</f>
        <v>289200000</v>
      </c>
      <c r="I6" s="1255">
        <f t="shared" si="1"/>
        <v>60000000</v>
      </c>
      <c r="J6" s="1255">
        <f t="shared" si="1"/>
        <v>-149200000</v>
      </c>
      <c r="K6" s="1255">
        <f t="shared" si="1"/>
        <v>140000000</v>
      </c>
      <c r="L6" s="1255"/>
      <c r="M6" s="1255"/>
    </row>
    <row r="7" spans="1:13" ht="13.35" customHeight="1">
      <c r="A7" s="409" t="s">
        <v>1782</v>
      </c>
      <c r="B7" s="530"/>
      <c r="C7" s="409"/>
      <c r="D7" s="1569"/>
      <c r="E7" s="1569"/>
    </row>
    <row r="8" spans="1:13" ht="13.35" hidden="1" customHeight="1">
      <c r="A8" s="429">
        <v>45909</v>
      </c>
      <c r="B8" s="531" t="s">
        <v>1783</v>
      </c>
      <c r="C8" s="421" t="s">
        <v>1784</v>
      </c>
      <c r="D8" s="1570">
        <v>0</v>
      </c>
      <c r="E8" s="1570">
        <v>25000000</v>
      </c>
    </row>
    <row r="9" spans="1:13" s="412" customFormat="1" ht="12.15" hidden="1" customHeight="1">
      <c r="A9" s="430">
        <v>45926</v>
      </c>
      <c r="B9" s="533" t="s">
        <v>1783</v>
      </c>
      <c r="C9" s="414" t="s">
        <v>1784</v>
      </c>
      <c r="D9" s="1571">
        <v>0</v>
      </c>
      <c r="E9" s="1571">
        <v>30184227.399999999</v>
      </c>
      <c r="F9" s="408"/>
      <c r="G9" s="408"/>
      <c r="H9" s="408"/>
      <c r="I9" s="408"/>
      <c r="J9" s="1623"/>
      <c r="K9" s="408"/>
      <c r="L9" s="408"/>
      <c r="M9" s="408"/>
    </row>
    <row r="10" spans="1:13" ht="13.35" hidden="1" customHeight="1">
      <c r="A10" s="430">
        <v>45966</v>
      </c>
      <c r="B10" s="533" t="s">
        <v>1783</v>
      </c>
      <c r="C10" s="414" t="s">
        <v>1784</v>
      </c>
      <c r="D10" s="1571">
        <v>0</v>
      </c>
      <c r="E10" s="1571">
        <v>22000000</v>
      </c>
      <c r="J10" s="1623"/>
    </row>
    <row r="11" spans="1:13" s="412" customFormat="1" ht="12.15" hidden="1" customHeight="1">
      <c r="A11" s="430">
        <v>45989</v>
      </c>
      <c r="B11" s="533" t="s">
        <v>1783</v>
      </c>
      <c r="C11" s="414" t="s">
        <v>1784</v>
      </c>
      <c r="D11" s="1571">
        <v>0</v>
      </c>
      <c r="E11" s="1571">
        <v>22815772.600000001</v>
      </c>
      <c r="F11" s="408"/>
      <c r="G11" s="408"/>
      <c r="H11" s="408"/>
      <c r="I11" s="408"/>
      <c r="J11" s="408"/>
      <c r="K11" s="408"/>
      <c r="L11" s="408"/>
      <c r="M11" s="408"/>
    </row>
    <row r="12" spans="1:13" s="412" customFormat="1" ht="12.15" hidden="1" customHeight="1">
      <c r="A12" s="430">
        <v>46098</v>
      </c>
      <c r="B12" s="533" t="s">
        <v>1783</v>
      </c>
      <c r="C12" s="414" t="s">
        <v>1784</v>
      </c>
      <c r="D12" s="1571">
        <v>99975000</v>
      </c>
      <c r="E12" s="1571">
        <v>0</v>
      </c>
    </row>
    <row r="13" spans="1:13" s="412" customFormat="1" ht="12.15" hidden="1" customHeight="1">
      <c r="A13" s="430">
        <v>46105</v>
      </c>
      <c r="B13" s="533" t="s">
        <v>1783</v>
      </c>
      <c r="C13" s="414" t="s">
        <v>1784</v>
      </c>
      <c r="D13" s="1571">
        <v>25000</v>
      </c>
      <c r="E13" s="1571">
        <v>0</v>
      </c>
    </row>
    <row r="14" spans="1:13" ht="13.2">
      <c r="A14" s="416" t="s">
        <v>1785</v>
      </c>
      <c r="B14" s="532"/>
      <c r="C14" s="416"/>
      <c r="D14" s="1572">
        <f>SUM(D8:D13)</f>
        <v>100000000</v>
      </c>
      <c r="E14" s="1572">
        <f>SUM(E8:E13)</f>
        <v>100000000</v>
      </c>
      <c r="F14" s="412"/>
      <c r="G14" s="412"/>
      <c r="H14" s="412"/>
      <c r="I14" s="412"/>
      <c r="J14" s="412"/>
      <c r="K14" s="412"/>
      <c r="L14" s="412"/>
      <c r="M14" s="412"/>
    </row>
    <row r="16" spans="1:13" ht="13.2">
      <c r="A16" s="409" t="s">
        <v>1786</v>
      </c>
      <c r="B16" s="530"/>
      <c r="C16" s="409"/>
      <c r="D16" s="1569"/>
      <c r="E16" s="1569"/>
      <c r="F16" s="412"/>
      <c r="G16" s="412"/>
      <c r="H16" s="412"/>
      <c r="I16" s="412"/>
      <c r="J16" s="412"/>
      <c r="K16" s="412"/>
      <c r="L16" s="412"/>
      <c r="M16" s="412"/>
    </row>
    <row r="17" spans="1:13" ht="13.2" hidden="1">
      <c r="A17" s="429">
        <v>45761</v>
      </c>
      <c r="B17" s="531" t="s">
        <v>1787</v>
      </c>
      <c r="C17" s="414" t="s">
        <v>1788</v>
      </c>
      <c r="D17" s="1570">
        <v>0</v>
      </c>
      <c r="E17" s="1570">
        <v>15000000</v>
      </c>
      <c r="F17" s="412"/>
      <c r="G17" s="412"/>
      <c r="H17" s="412"/>
      <c r="I17" s="412"/>
      <c r="J17" s="412"/>
      <c r="K17" s="412"/>
      <c r="L17" s="412"/>
      <c r="M17" s="412"/>
    </row>
    <row r="18" spans="1:13" ht="10.95" hidden="1" customHeight="1">
      <c r="A18" s="430">
        <v>45792</v>
      </c>
      <c r="B18" s="531" t="s">
        <v>1787</v>
      </c>
      <c r="C18" s="414" t="s">
        <v>1788</v>
      </c>
      <c r="D18" s="1571">
        <v>0</v>
      </c>
      <c r="E18" s="1571">
        <v>7200000</v>
      </c>
      <c r="F18" s="412"/>
      <c r="G18" s="412"/>
      <c r="H18" s="412"/>
      <c r="I18" s="412"/>
      <c r="J18" s="412"/>
      <c r="K18" s="412"/>
      <c r="L18" s="412"/>
      <c r="M18" s="412"/>
    </row>
    <row r="19" spans="1:13" ht="13.35" hidden="1" customHeight="1">
      <c r="A19" s="430">
        <v>45820</v>
      </c>
      <c r="B19" s="531" t="s">
        <v>1787</v>
      </c>
      <c r="C19" s="414" t="s">
        <v>1788</v>
      </c>
      <c r="D19" s="1571">
        <v>0</v>
      </c>
      <c r="E19" s="1571">
        <v>12000000</v>
      </c>
    </row>
    <row r="20" spans="1:13" s="412" customFormat="1" ht="34.200000000000003" hidden="1">
      <c r="A20" s="430">
        <v>45853</v>
      </c>
      <c r="B20" s="533" t="s">
        <v>1789</v>
      </c>
      <c r="C20" s="414" t="s">
        <v>1788</v>
      </c>
      <c r="D20" s="1571">
        <v>0</v>
      </c>
      <c r="E20" s="1571">
        <v>1185000</v>
      </c>
      <c r="F20" s="408"/>
      <c r="G20" s="408"/>
      <c r="H20" s="408"/>
      <c r="I20" s="408"/>
      <c r="J20" s="408"/>
      <c r="K20" s="408"/>
      <c r="L20" s="408"/>
      <c r="M20" s="408"/>
    </row>
    <row r="21" spans="1:13" ht="10.95" hidden="1" customHeight="1">
      <c r="A21" s="430">
        <v>45854</v>
      </c>
      <c r="B21" s="531" t="s">
        <v>1787</v>
      </c>
      <c r="C21" s="414" t="s">
        <v>1788</v>
      </c>
      <c r="D21" s="1571">
        <v>0</v>
      </c>
      <c r="E21" s="1571">
        <v>11000000</v>
      </c>
      <c r="F21" s="412"/>
      <c r="G21" s="412"/>
      <c r="H21" s="412"/>
      <c r="I21" s="412"/>
      <c r="J21" s="412"/>
      <c r="K21" s="412"/>
      <c r="L21" s="412"/>
      <c r="M21" s="412"/>
    </row>
    <row r="22" spans="1:13" ht="10.95" hidden="1" customHeight="1">
      <c r="A22" s="430">
        <v>45862</v>
      </c>
      <c r="B22" s="531" t="s">
        <v>1787</v>
      </c>
      <c r="C22" s="414" t="s">
        <v>1788</v>
      </c>
      <c r="D22" s="1571">
        <v>0</v>
      </c>
      <c r="E22" s="1571">
        <v>2815000</v>
      </c>
    </row>
    <row r="23" spans="1:13" ht="10.95" hidden="1" customHeight="1">
      <c r="A23" s="430">
        <v>45937</v>
      </c>
      <c r="B23" s="531" t="s">
        <v>2017</v>
      </c>
      <c r="C23" s="414" t="s">
        <v>1788</v>
      </c>
      <c r="D23" s="1571">
        <v>5000000</v>
      </c>
      <c r="E23" s="1571">
        <v>0</v>
      </c>
    </row>
    <row r="24" spans="1:13" ht="22.8" hidden="1">
      <c r="A24" s="430">
        <v>46020</v>
      </c>
      <c r="B24" s="531" t="s">
        <v>2201</v>
      </c>
      <c r="C24" s="414" t="s">
        <v>1788</v>
      </c>
      <c r="D24" s="1571">
        <v>44200000</v>
      </c>
      <c r="E24" s="1571">
        <v>0</v>
      </c>
    </row>
    <row r="25" spans="1:13" ht="10.95" customHeight="1">
      <c r="A25" s="416" t="s">
        <v>1790</v>
      </c>
      <c r="B25" s="532"/>
      <c r="C25" s="416"/>
      <c r="D25" s="1572">
        <f>SUM(D17:D24)</f>
        <v>49200000</v>
      </c>
      <c r="E25" s="1572">
        <f>SUM(E17:E23)</f>
        <v>49200000</v>
      </c>
    </row>
    <row r="26" spans="1:13" ht="10.95" customHeight="1">
      <c r="B26" s="1567"/>
      <c r="C26" s="413"/>
      <c r="D26" s="1824"/>
      <c r="E26" s="1824"/>
    </row>
    <row r="27" spans="1:13" ht="10.95" customHeight="1">
      <c r="B27" s="1567"/>
      <c r="C27" s="413"/>
      <c r="D27" s="1824"/>
      <c r="E27" s="1824"/>
    </row>
    <row r="28" spans="1:13" ht="10.95" customHeight="1">
      <c r="A28" s="416" t="s">
        <v>2474</v>
      </c>
      <c r="B28" s="1567"/>
      <c r="C28" s="413"/>
      <c r="D28" s="1824"/>
      <c r="E28" s="1824"/>
    </row>
    <row r="29" spans="1:13" ht="10.95" customHeight="1">
      <c r="A29" s="430">
        <v>46087</v>
      </c>
      <c r="B29" s="528" t="s">
        <v>2475</v>
      </c>
      <c r="C29" s="408" t="s">
        <v>2476</v>
      </c>
      <c r="D29" s="1568">
        <v>0</v>
      </c>
      <c r="E29" s="1568">
        <v>100000000</v>
      </c>
    </row>
    <row r="30" spans="1:13" ht="10.95" customHeight="1">
      <c r="A30" s="430">
        <v>46136</v>
      </c>
      <c r="B30" s="528" t="s">
        <v>2475</v>
      </c>
      <c r="C30" s="408" t="s">
        <v>2476</v>
      </c>
      <c r="D30" s="1568">
        <v>0</v>
      </c>
      <c r="E30" s="1568">
        <v>40000000</v>
      </c>
    </row>
    <row r="31" spans="1:13" ht="12">
      <c r="A31" s="416" t="s">
        <v>2477</v>
      </c>
      <c r="B31" s="532"/>
      <c r="C31" s="416"/>
      <c r="D31" s="1572">
        <f>SUM(D29:D30)</f>
        <v>0</v>
      </c>
      <c r="E31" s="1572">
        <f>SUM(E29:E30)</f>
        <v>140000000</v>
      </c>
    </row>
    <row r="32" spans="1:13" ht="10.95" customHeight="1">
      <c r="A32" s="429"/>
      <c r="B32" s="531"/>
      <c r="C32" s="414"/>
      <c r="D32" s="1570"/>
      <c r="E32" s="1570"/>
      <c r="F32" s="412"/>
      <c r="G32" s="412"/>
      <c r="H32" s="412"/>
      <c r="I32" s="412"/>
      <c r="J32" s="412"/>
      <c r="K32" s="412"/>
      <c r="L32" s="412"/>
      <c r="M32" s="412"/>
    </row>
    <row r="33" spans="1:6" ht="12">
      <c r="A33" s="419" t="s">
        <v>164</v>
      </c>
      <c r="B33" s="534"/>
      <c r="C33" s="419"/>
      <c r="D33" s="1575">
        <f>SUM(D14,D25,D31)</f>
        <v>149200000</v>
      </c>
      <c r="E33" s="1575">
        <f>SUM(E14,E25,E31)</f>
        <v>289200000</v>
      </c>
      <c r="F33" s="2022"/>
    </row>
  </sheetData>
  <pageMargins left="0.7" right="0.7" top="0.75" bottom="0.75" header="0.3" footer="0.3"/>
  <pageSetup paperSize="9" fitToWidth="0" fitToHeight="0" orientation="portrait" r:id="rId1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AC4DF-EF88-4A7B-B719-219C8127F6F6}">
  <dimension ref="A1:G18"/>
  <sheetViews>
    <sheetView workbookViewId="0">
      <selection activeCell="I15" sqref="I15"/>
    </sheetView>
  </sheetViews>
  <sheetFormatPr baseColWidth="10" defaultColWidth="11.44140625" defaultRowHeight="14.4"/>
  <cols>
    <col min="1" max="1" width="26" bestFit="1" customWidth="1"/>
    <col min="2" max="2" width="11" bestFit="1" customWidth="1"/>
    <col min="3" max="3" width="14" style="370" bestFit="1" customWidth="1"/>
    <col min="4" max="4" width="14.5546875" style="370" customWidth="1"/>
    <col min="5" max="5" width="32.5546875" customWidth="1"/>
    <col min="6" max="6" width="20" bestFit="1" customWidth="1"/>
    <col min="7" max="7" width="28.6640625" bestFit="1" customWidth="1"/>
  </cols>
  <sheetData>
    <row r="1" spans="1:7">
      <c r="A1" t="s">
        <v>707</v>
      </c>
      <c r="B1" t="s">
        <v>708</v>
      </c>
      <c r="C1" s="370" t="s">
        <v>164</v>
      </c>
      <c r="D1" s="370" t="s">
        <v>709</v>
      </c>
      <c r="E1" t="s">
        <v>817</v>
      </c>
      <c r="F1" t="s">
        <v>710</v>
      </c>
      <c r="G1" t="s">
        <v>852</v>
      </c>
    </row>
    <row r="2" spans="1:7">
      <c r="A2" t="s">
        <v>369</v>
      </c>
      <c r="B2" s="193">
        <v>45266</v>
      </c>
      <c r="C2" s="370">
        <v>273000</v>
      </c>
      <c r="D2" s="370">
        <v>273000</v>
      </c>
      <c r="E2" t="s">
        <v>911</v>
      </c>
      <c r="F2" t="s">
        <v>853</v>
      </c>
      <c r="G2" t="s">
        <v>853</v>
      </c>
    </row>
    <row r="3" spans="1:7">
      <c r="B3" s="193"/>
      <c r="C3" s="432">
        <f>SUM(C2)</f>
        <v>273000</v>
      </c>
      <c r="D3" s="432">
        <f>SUM(D2)</f>
        <v>273000</v>
      </c>
    </row>
    <row r="4" spans="1:7">
      <c r="A4" s="459" t="s">
        <v>2406</v>
      </c>
      <c r="B4" s="193">
        <v>46094</v>
      </c>
      <c r="C4" s="370">
        <v>55050</v>
      </c>
      <c r="D4" s="370">
        <v>2519.2399999999998</v>
      </c>
      <c r="E4" t="s">
        <v>2478</v>
      </c>
      <c r="F4" t="s">
        <v>1794</v>
      </c>
      <c r="G4" t="s">
        <v>1795</v>
      </c>
    </row>
    <row r="5" spans="1:7">
      <c r="A5" s="459" t="s">
        <v>2479</v>
      </c>
      <c r="B5" s="193">
        <v>46094</v>
      </c>
      <c r="C5" s="370">
        <v>60180</v>
      </c>
      <c r="D5" s="370">
        <v>60180</v>
      </c>
      <c r="E5" t="s">
        <v>2480</v>
      </c>
      <c r="F5" t="s">
        <v>1794</v>
      </c>
      <c r="G5" t="s">
        <v>1795</v>
      </c>
    </row>
    <row r="6" spans="1:7">
      <c r="A6" s="455" t="s">
        <v>2642</v>
      </c>
      <c r="B6" s="193">
        <v>46139</v>
      </c>
      <c r="C6" s="370">
        <v>28556</v>
      </c>
      <c r="D6" s="370">
        <v>28556</v>
      </c>
      <c r="E6" t="s">
        <v>2643</v>
      </c>
      <c r="F6" t="s">
        <v>1794</v>
      </c>
      <c r="G6" t="s">
        <v>1795</v>
      </c>
    </row>
    <row r="7" spans="1:7">
      <c r="B7" s="193"/>
      <c r="C7" s="432">
        <f>SUM(C4:C6)</f>
        <v>143786</v>
      </c>
      <c r="D7" s="432">
        <f>SUM(D4:D6)</f>
        <v>91255.239999999991</v>
      </c>
    </row>
    <row r="8" spans="1:7">
      <c r="A8" t="s">
        <v>1821</v>
      </c>
      <c r="B8" s="193">
        <v>45936</v>
      </c>
      <c r="C8" s="370">
        <v>6671.88</v>
      </c>
      <c r="D8" s="370">
        <v>6671.88</v>
      </c>
      <c r="E8" t="s">
        <v>2018</v>
      </c>
      <c r="F8" t="s">
        <v>1822</v>
      </c>
      <c r="G8" t="s">
        <v>1660</v>
      </c>
    </row>
    <row r="9" spans="1:7">
      <c r="A9" s="459" t="s">
        <v>2259</v>
      </c>
      <c r="B9" s="193">
        <v>46042</v>
      </c>
      <c r="C9" s="370">
        <v>8500</v>
      </c>
      <c r="D9" s="370">
        <v>8500</v>
      </c>
      <c r="E9" t="s">
        <v>2260</v>
      </c>
      <c r="F9" t="s">
        <v>1822</v>
      </c>
      <c r="G9" t="s">
        <v>1660</v>
      </c>
    </row>
    <row r="10" spans="1:7">
      <c r="A10" s="459" t="s">
        <v>2259</v>
      </c>
      <c r="B10" s="193">
        <v>46073</v>
      </c>
      <c r="C10" s="370">
        <v>47500</v>
      </c>
      <c r="D10" s="370">
        <v>47500</v>
      </c>
      <c r="E10" t="s">
        <v>2363</v>
      </c>
      <c r="F10" t="s">
        <v>1822</v>
      </c>
      <c r="G10" t="s">
        <v>1660</v>
      </c>
    </row>
    <row r="11" spans="1:7">
      <c r="A11" s="459" t="s">
        <v>735</v>
      </c>
      <c r="B11" s="193">
        <v>46078</v>
      </c>
      <c r="C11" s="370">
        <v>22500</v>
      </c>
      <c r="D11" s="370">
        <v>22500</v>
      </c>
      <c r="E11" t="s">
        <v>2364</v>
      </c>
      <c r="F11" t="s">
        <v>1822</v>
      </c>
      <c r="G11" t="s">
        <v>1660</v>
      </c>
    </row>
    <row r="12" spans="1:7">
      <c r="A12" s="455" t="s">
        <v>400</v>
      </c>
      <c r="B12" s="193">
        <v>46135</v>
      </c>
      <c r="C12" s="370">
        <v>1628532.75</v>
      </c>
      <c r="D12" s="370">
        <v>1628532.75</v>
      </c>
      <c r="E12" t="s">
        <v>2640</v>
      </c>
      <c r="F12" t="s">
        <v>1822</v>
      </c>
      <c r="G12" t="s">
        <v>1660</v>
      </c>
    </row>
    <row r="13" spans="1:7">
      <c r="B13" s="193"/>
      <c r="C13" s="432">
        <f>SUM(C8:C12)</f>
        <v>1713704.63</v>
      </c>
      <c r="D13" s="432">
        <f>SUM(D8:D12)</f>
        <v>1713704.63</v>
      </c>
    </row>
    <row r="14" spans="1:7">
      <c r="C14" s="1178">
        <f>+C3+C7+C13</f>
        <v>2130490.63</v>
      </c>
      <c r="D14" s="1178">
        <f>+D3+D7+D13</f>
        <v>2077959.8699999999</v>
      </c>
    </row>
    <row r="17" spans="3:4">
      <c r="C17" s="370" t="s">
        <v>2641</v>
      </c>
      <c r="D17" s="370">
        <v>15277.78</v>
      </c>
    </row>
    <row r="18" spans="3:4">
      <c r="D18" s="370">
        <f>+D14+D17</f>
        <v>2093237.65</v>
      </c>
    </row>
  </sheetData>
  <autoFilter ref="A1:G1" xr:uid="{8F833D8D-E3A2-49C0-BA28-FAE8897AAB0B}">
    <sortState xmlns:xlrd2="http://schemas.microsoft.com/office/spreadsheetml/2017/richdata2" ref="A2:G11">
      <sortCondition ref="G1"/>
    </sortState>
  </autoFilter>
  <pageMargins left="0.7" right="0.7" top="0.75" bottom="0.75" header="0.3" footer="0.3"/>
  <pageSetup orientation="portrait" r:id="rId1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A99F1-DB0F-4301-A270-FA878C589373}">
  <dimension ref="A1:J149"/>
  <sheetViews>
    <sheetView showGridLines="0" topLeftCell="A14" zoomScaleNormal="100" workbookViewId="0">
      <selection activeCell="J142" sqref="J142"/>
    </sheetView>
  </sheetViews>
  <sheetFormatPr baseColWidth="10" defaultColWidth="8" defaultRowHeight="11.4"/>
  <cols>
    <col min="1" max="1" width="56.44140625" style="1440" customWidth="1"/>
    <col min="2" max="2" width="12.77734375" style="1440" customWidth="1"/>
    <col min="3" max="3" width="11.5546875" style="1440" customWidth="1"/>
    <col min="4" max="4" width="28.33203125" style="1440" customWidth="1"/>
    <col min="5" max="5" width="12.109375" style="400" bestFit="1" customWidth="1"/>
    <col min="6" max="7" width="11.21875" style="400" bestFit="1" customWidth="1"/>
    <col min="8" max="8" width="4.77734375" style="400" bestFit="1" customWidth="1"/>
    <col min="9" max="9" width="12.109375" style="400" bestFit="1" customWidth="1"/>
    <col min="10" max="10" width="9.88671875" style="1440" bestFit="1" customWidth="1"/>
    <col min="11" max="16384" width="8" style="1440"/>
  </cols>
  <sheetData>
    <row r="1" spans="1:9" s="1437" customFormat="1" ht="16.649999999999999" customHeight="1">
      <c r="A1" s="1436" t="s">
        <v>771</v>
      </c>
      <c r="B1" s="1436"/>
      <c r="C1" s="1436"/>
      <c r="D1" s="1436"/>
      <c r="E1" s="1777"/>
      <c r="F1" s="1777"/>
      <c r="G1" s="1777"/>
      <c r="H1" s="1777"/>
      <c r="I1" s="1777"/>
    </row>
    <row r="2" spans="1:9" s="1439" customFormat="1" ht="14.4" customHeight="1">
      <c r="A2" s="1438" t="s">
        <v>236</v>
      </c>
      <c r="B2" s="1438"/>
      <c r="C2" s="1438"/>
      <c r="D2" s="1438"/>
      <c r="E2" s="1775"/>
      <c r="F2" s="1775"/>
      <c r="G2" s="1775"/>
      <c r="H2" s="1775"/>
      <c r="I2" s="1775"/>
    </row>
    <row r="3" spans="1:9" s="1439" customFormat="1" ht="14.4" customHeight="1">
      <c r="A3" s="1438" t="s">
        <v>2729</v>
      </c>
      <c r="B3" s="1438"/>
      <c r="C3" s="1438"/>
      <c r="D3" s="1438"/>
      <c r="E3" s="1775"/>
      <c r="F3" s="1775"/>
      <c r="G3" s="1775"/>
      <c r="H3" s="1775"/>
      <c r="I3" s="1775"/>
    </row>
    <row r="4" spans="1:9" s="1439" customFormat="1" ht="14.4" customHeight="1">
      <c r="A4" s="1438" t="s">
        <v>724</v>
      </c>
      <c r="B4" s="1438"/>
      <c r="C4" s="1438"/>
      <c r="D4" s="1438"/>
      <c r="E4" s="1775"/>
      <c r="F4" s="1775"/>
      <c r="G4" s="1775"/>
      <c r="H4" s="1775"/>
      <c r="I4" s="1775"/>
    </row>
    <row r="5" spans="1:9" ht="13.35" customHeight="1"/>
    <row r="6" spans="1:9" s="1444" customFormat="1" ht="12.15" customHeight="1">
      <c r="A6" s="1441" t="s">
        <v>690</v>
      </c>
      <c r="B6" s="1441" t="s">
        <v>689</v>
      </c>
      <c r="C6" s="1441" t="s">
        <v>823</v>
      </c>
      <c r="D6" s="1441" t="s">
        <v>773</v>
      </c>
      <c r="E6" s="2023" t="s">
        <v>861</v>
      </c>
      <c r="F6" s="2023" t="s">
        <v>824</v>
      </c>
      <c r="G6" s="2023" t="s">
        <v>828</v>
      </c>
      <c r="H6" s="2023"/>
      <c r="I6" s="2023" t="s">
        <v>164</v>
      </c>
    </row>
    <row r="7" spans="1:9" ht="13.35" customHeight="1"/>
    <row r="8" spans="1:9" s="1444" customFormat="1" ht="12.15" customHeight="1">
      <c r="A8" s="1445" t="s">
        <v>1030</v>
      </c>
      <c r="B8" s="1445"/>
      <c r="C8" s="1445"/>
      <c r="D8" s="1445"/>
      <c r="E8" s="1974"/>
      <c r="F8" s="1974"/>
      <c r="G8" s="1974"/>
      <c r="H8" s="1974"/>
      <c r="I8" s="1974"/>
    </row>
    <row r="9" spans="1:9" ht="10.95" customHeight="1">
      <c r="A9" s="1446" t="s">
        <v>1031</v>
      </c>
      <c r="B9" s="1447">
        <v>46126</v>
      </c>
      <c r="C9" s="1447">
        <v>46143</v>
      </c>
      <c r="D9" s="1446" t="s">
        <v>2728</v>
      </c>
      <c r="E9" s="1975">
        <v>55481</v>
      </c>
      <c r="F9" s="1975">
        <v>0</v>
      </c>
      <c r="G9" s="1975">
        <v>0</v>
      </c>
      <c r="H9" s="2024"/>
      <c r="I9" s="1975">
        <v>55481</v>
      </c>
    </row>
    <row r="10" spans="1:9" ht="10.95" customHeight="1">
      <c r="A10" s="1450" t="s">
        <v>2361</v>
      </c>
      <c r="B10" s="1451">
        <v>46128</v>
      </c>
      <c r="C10" s="1451">
        <v>46143</v>
      </c>
      <c r="D10" s="1450" t="s">
        <v>2727</v>
      </c>
      <c r="E10" s="1980">
        <v>484815.93</v>
      </c>
      <c r="F10" s="1980">
        <v>0</v>
      </c>
      <c r="G10" s="1980">
        <v>0</v>
      </c>
      <c r="H10" s="1949"/>
      <c r="I10" s="1980">
        <v>484815.93</v>
      </c>
    </row>
    <row r="11" spans="1:9" ht="10.95" customHeight="1">
      <c r="A11" s="1450" t="s">
        <v>1116</v>
      </c>
      <c r="B11" s="1451">
        <v>46129</v>
      </c>
      <c r="C11" s="1451">
        <v>46159</v>
      </c>
      <c r="D11" s="1450" t="s">
        <v>2726</v>
      </c>
      <c r="E11" s="1980">
        <v>516</v>
      </c>
      <c r="F11" s="1980">
        <v>0</v>
      </c>
      <c r="G11" s="1980">
        <v>0</v>
      </c>
      <c r="H11" s="1949"/>
      <c r="I11" s="1980">
        <v>516</v>
      </c>
    </row>
    <row r="12" spans="1:9" ht="10.95" customHeight="1">
      <c r="A12" s="1450" t="s">
        <v>1116</v>
      </c>
      <c r="B12" s="1451">
        <v>46134</v>
      </c>
      <c r="C12" s="1451">
        <v>46164</v>
      </c>
      <c r="D12" s="1450" t="s">
        <v>2725</v>
      </c>
      <c r="E12" s="1980">
        <v>76750</v>
      </c>
      <c r="F12" s="1980">
        <v>0</v>
      </c>
      <c r="G12" s="1980">
        <v>0</v>
      </c>
      <c r="H12" s="1949"/>
      <c r="I12" s="1980">
        <v>76750</v>
      </c>
    </row>
    <row r="13" spans="1:9" ht="10.95" customHeight="1">
      <c r="A13" s="1450" t="s">
        <v>1116</v>
      </c>
      <c r="B13" s="1451">
        <v>46135</v>
      </c>
      <c r="C13" s="1451">
        <v>46165</v>
      </c>
      <c r="D13" s="1450" t="s">
        <v>2724</v>
      </c>
      <c r="E13" s="1980">
        <v>67744</v>
      </c>
      <c r="F13" s="1980">
        <v>0</v>
      </c>
      <c r="G13" s="1980">
        <v>0</v>
      </c>
      <c r="H13" s="1949"/>
      <c r="I13" s="1980">
        <v>67744</v>
      </c>
    </row>
    <row r="14" spans="1:9" ht="10.95" customHeight="1">
      <c r="A14" s="1450" t="s">
        <v>2361</v>
      </c>
      <c r="B14" s="1451">
        <v>46136</v>
      </c>
      <c r="C14" s="1451">
        <v>46143</v>
      </c>
      <c r="D14" s="1450" t="s">
        <v>2723</v>
      </c>
      <c r="E14" s="1980">
        <v>36000</v>
      </c>
      <c r="F14" s="1980">
        <v>0</v>
      </c>
      <c r="G14" s="1980">
        <v>0</v>
      </c>
      <c r="H14" s="1949"/>
      <c r="I14" s="1980">
        <v>36000</v>
      </c>
    </row>
    <row r="15" spans="1:9" ht="10.95" customHeight="1">
      <c r="A15" s="1450" t="s">
        <v>2361</v>
      </c>
      <c r="B15" s="1451">
        <v>46136</v>
      </c>
      <c r="C15" s="1451">
        <v>46143</v>
      </c>
      <c r="D15" s="1450" t="s">
        <v>2722</v>
      </c>
      <c r="E15" s="1980">
        <v>64000</v>
      </c>
      <c r="F15" s="1980">
        <v>0</v>
      </c>
      <c r="G15" s="1980">
        <v>0</v>
      </c>
      <c r="H15" s="1949"/>
      <c r="I15" s="1980">
        <v>64000</v>
      </c>
    </row>
    <row r="16" spans="1:9" ht="10.95" customHeight="1">
      <c r="A16" s="1450" t="s">
        <v>2220</v>
      </c>
      <c r="B16" s="1451">
        <v>46139</v>
      </c>
      <c r="C16" s="1451">
        <v>46169</v>
      </c>
      <c r="D16" s="1450" t="s">
        <v>2721</v>
      </c>
      <c r="E16" s="1980">
        <v>91649.89</v>
      </c>
      <c r="F16" s="1980">
        <v>0</v>
      </c>
      <c r="G16" s="1980">
        <v>0</v>
      </c>
      <c r="H16" s="1949"/>
      <c r="I16" s="1980">
        <v>91649.89</v>
      </c>
    </row>
    <row r="17" spans="1:9" ht="10.95" customHeight="1">
      <c r="A17" s="1450" t="s">
        <v>1084</v>
      </c>
      <c r="B17" s="1451">
        <v>46140</v>
      </c>
      <c r="C17" s="1451">
        <v>46157</v>
      </c>
      <c r="D17" s="1450" t="s">
        <v>2720</v>
      </c>
      <c r="E17" s="1980">
        <v>38157</v>
      </c>
      <c r="F17" s="1980">
        <v>0</v>
      </c>
      <c r="G17" s="1980">
        <v>0</v>
      </c>
      <c r="H17" s="1949"/>
      <c r="I17" s="1980">
        <v>38157</v>
      </c>
    </row>
    <row r="18" spans="1:9" ht="10.95" customHeight="1">
      <c r="A18" s="1450" t="s">
        <v>1116</v>
      </c>
      <c r="B18" s="1451">
        <v>46141</v>
      </c>
      <c r="C18" s="1451">
        <v>46171</v>
      </c>
      <c r="D18" s="1450" t="s">
        <v>2719</v>
      </c>
      <c r="E18" s="1980">
        <v>572.26</v>
      </c>
      <c r="F18" s="1980">
        <v>0</v>
      </c>
      <c r="G18" s="1980">
        <v>0</v>
      </c>
      <c r="H18" s="1949"/>
      <c r="I18" s="1980">
        <v>572.26</v>
      </c>
    </row>
    <row r="19" spans="1:9" ht="10.95" customHeight="1">
      <c r="A19" s="1450" t="s">
        <v>2210</v>
      </c>
      <c r="B19" s="1451">
        <v>46128</v>
      </c>
      <c r="C19" s="1451">
        <v>46158</v>
      </c>
      <c r="D19" s="1450" t="s">
        <v>2718</v>
      </c>
      <c r="E19" s="1980">
        <v>9926.6200000000008</v>
      </c>
      <c r="F19" s="1980">
        <v>0</v>
      </c>
      <c r="G19" s="1980">
        <v>0</v>
      </c>
      <c r="H19" s="1949"/>
      <c r="I19" s="1980">
        <v>9926.6200000000008</v>
      </c>
    </row>
    <row r="20" spans="1:9" ht="10.95" customHeight="1">
      <c r="A20" s="1450" t="s">
        <v>2210</v>
      </c>
      <c r="B20" s="1451">
        <v>46128</v>
      </c>
      <c r="C20" s="1451">
        <v>46158</v>
      </c>
      <c r="D20" s="1450" t="s">
        <v>2717</v>
      </c>
      <c r="E20" s="1980">
        <v>49042.45</v>
      </c>
      <c r="F20" s="1980">
        <v>0</v>
      </c>
      <c r="G20" s="1980">
        <v>0</v>
      </c>
      <c r="H20" s="1949"/>
      <c r="I20" s="1980">
        <v>49042.45</v>
      </c>
    </row>
    <row r="21" spans="1:9" ht="10.95" customHeight="1">
      <c r="A21" s="1450" t="s">
        <v>2210</v>
      </c>
      <c r="B21" s="1451">
        <v>46129</v>
      </c>
      <c r="C21" s="1451">
        <v>46159</v>
      </c>
      <c r="D21" s="1450" t="s">
        <v>2716</v>
      </c>
      <c r="E21" s="1980">
        <v>5629.78</v>
      </c>
      <c r="F21" s="1980">
        <v>0</v>
      </c>
      <c r="G21" s="1980">
        <v>0</v>
      </c>
      <c r="H21" s="1949"/>
      <c r="I21" s="1980">
        <v>5629.78</v>
      </c>
    </row>
    <row r="22" spans="1:9" ht="10.95" customHeight="1">
      <c r="A22" s="1450" t="s">
        <v>2210</v>
      </c>
      <c r="B22" s="1451">
        <v>46132</v>
      </c>
      <c r="C22" s="1451">
        <v>46162</v>
      </c>
      <c r="D22" s="1450" t="s">
        <v>2715</v>
      </c>
      <c r="E22" s="1980">
        <v>1815</v>
      </c>
      <c r="F22" s="1980">
        <v>0</v>
      </c>
      <c r="G22" s="1980">
        <v>0</v>
      </c>
      <c r="H22" s="1949"/>
      <c r="I22" s="1980">
        <v>1815</v>
      </c>
    </row>
    <row r="23" spans="1:9" ht="10.95" customHeight="1">
      <c r="A23" s="1450" t="s">
        <v>2210</v>
      </c>
      <c r="B23" s="1451">
        <v>46133</v>
      </c>
      <c r="C23" s="1451">
        <v>46163</v>
      </c>
      <c r="D23" s="1450" t="s">
        <v>2714</v>
      </c>
      <c r="E23" s="1980">
        <v>136.25</v>
      </c>
      <c r="F23" s="1980">
        <v>0</v>
      </c>
      <c r="G23" s="1980">
        <v>0</v>
      </c>
      <c r="H23" s="1949"/>
      <c r="I23" s="1980">
        <v>136.25</v>
      </c>
    </row>
    <row r="24" spans="1:9" ht="10.95" customHeight="1">
      <c r="A24" s="1450" t="s">
        <v>1116</v>
      </c>
      <c r="B24" s="1451">
        <v>46134</v>
      </c>
      <c r="C24" s="1451">
        <v>46164</v>
      </c>
      <c r="D24" s="1450" t="s">
        <v>2713</v>
      </c>
      <c r="E24" s="1980">
        <v>4130</v>
      </c>
      <c r="F24" s="1980">
        <v>0</v>
      </c>
      <c r="G24" s="1980">
        <v>0</v>
      </c>
      <c r="H24" s="1949"/>
      <c r="I24" s="1980">
        <v>4130</v>
      </c>
    </row>
    <row r="25" spans="1:9" ht="10.95" customHeight="1">
      <c r="A25" s="1450" t="s">
        <v>1116</v>
      </c>
      <c r="B25" s="1451">
        <v>46135</v>
      </c>
      <c r="C25" s="1451">
        <v>46165</v>
      </c>
      <c r="D25" s="1450" t="s">
        <v>2712</v>
      </c>
      <c r="E25" s="1980">
        <v>44664</v>
      </c>
      <c r="F25" s="1980">
        <v>0</v>
      </c>
      <c r="G25" s="1980">
        <v>0</v>
      </c>
      <c r="H25" s="1949"/>
      <c r="I25" s="1980">
        <v>44664</v>
      </c>
    </row>
    <row r="26" spans="1:9" ht="10.95" customHeight="1">
      <c r="A26" s="1450" t="s">
        <v>1116</v>
      </c>
      <c r="B26" s="1451">
        <v>46136</v>
      </c>
      <c r="C26" s="1451">
        <v>46166</v>
      </c>
      <c r="D26" s="1450" t="s">
        <v>2711</v>
      </c>
      <c r="E26" s="1980">
        <v>33498</v>
      </c>
      <c r="F26" s="1980">
        <v>0</v>
      </c>
      <c r="G26" s="1980">
        <v>0</v>
      </c>
      <c r="H26" s="1949"/>
      <c r="I26" s="1980">
        <v>33498</v>
      </c>
    </row>
    <row r="27" spans="1:9" ht="10.95" customHeight="1">
      <c r="A27" s="1454" t="s">
        <v>1831</v>
      </c>
      <c r="B27" s="1454"/>
      <c r="C27" s="1454"/>
      <c r="D27" s="1454"/>
      <c r="E27" s="1976">
        <f>SUM(E9:E26)</f>
        <v>1064528.18</v>
      </c>
      <c r="F27" s="1976">
        <f t="shared" ref="F27:I27" si="0">SUM(F9:F26)</f>
        <v>0</v>
      </c>
      <c r="G27" s="1976">
        <f t="shared" si="0"/>
        <v>0</v>
      </c>
      <c r="H27" s="1976">
        <f t="shared" si="0"/>
        <v>0</v>
      </c>
      <c r="I27" s="1976">
        <f t="shared" si="0"/>
        <v>1064528.18</v>
      </c>
    </row>
    <row r="28" spans="1:9" ht="13.35" customHeight="1"/>
    <row r="29" spans="1:9" s="1444" customFormat="1" ht="12.15" customHeight="1">
      <c r="A29" s="1445" t="s">
        <v>2056</v>
      </c>
      <c r="B29" s="1445"/>
      <c r="C29" s="1445"/>
      <c r="D29" s="1445"/>
      <c r="E29" s="1974"/>
      <c r="F29" s="1974"/>
      <c r="G29" s="1974"/>
      <c r="H29" s="1974"/>
      <c r="I29" s="1974"/>
    </row>
    <row r="30" spans="1:9" ht="10.95" customHeight="1">
      <c r="A30" s="1450" t="s">
        <v>2210</v>
      </c>
      <c r="B30" s="1451">
        <v>46128</v>
      </c>
      <c r="C30" s="1451">
        <v>46158</v>
      </c>
      <c r="D30" s="1450" t="s">
        <v>2718</v>
      </c>
      <c r="E30" s="1980">
        <v>3360.64</v>
      </c>
      <c r="F30" s="1980">
        <v>0</v>
      </c>
      <c r="G30" s="1980">
        <v>0</v>
      </c>
      <c r="H30" s="1949"/>
      <c r="I30" s="1980">
        <v>3360.64</v>
      </c>
    </row>
    <row r="31" spans="1:9" ht="10.95" customHeight="1">
      <c r="A31" s="1450" t="s">
        <v>2210</v>
      </c>
      <c r="B31" s="1451">
        <v>46128</v>
      </c>
      <c r="C31" s="1451">
        <v>46158</v>
      </c>
      <c r="D31" s="1450" t="s">
        <v>2717</v>
      </c>
      <c r="E31" s="1980">
        <v>9000.1</v>
      </c>
      <c r="F31" s="1980">
        <v>0</v>
      </c>
      <c r="G31" s="1980">
        <v>0</v>
      </c>
      <c r="H31" s="1949"/>
      <c r="I31" s="1980">
        <v>9000.1</v>
      </c>
    </row>
    <row r="32" spans="1:9" ht="10.95" customHeight="1">
      <c r="A32" s="1450" t="s">
        <v>2210</v>
      </c>
      <c r="B32" s="1451">
        <v>46129</v>
      </c>
      <c r="C32" s="1451">
        <v>46159</v>
      </c>
      <c r="D32" s="1450" t="s">
        <v>2716</v>
      </c>
      <c r="E32" s="1980">
        <v>14542.26</v>
      </c>
      <c r="F32" s="1980">
        <v>0</v>
      </c>
      <c r="G32" s="1980">
        <v>0</v>
      </c>
      <c r="H32" s="1949"/>
      <c r="I32" s="1980">
        <v>14542.26</v>
      </c>
    </row>
    <row r="33" spans="1:9" ht="10.95" customHeight="1">
      <c r="A33" s="1450" t="s">
        <v>2210</v>
      </c>
      <c r="B33" s="1451">
        <v>46132</v>
      </c>
      <c r="C33" s="1451">
        <v>46162</v>
      </c>
      <c r="D33" s="1450" t="s">
        <v>2715</v>
      </c>
      <c r="E33" s="1980">
        <v>109778.94</v>
      </c>
      <c r="F33" s="1980">
        <v>0</v>
      </c>
      <c r="G33" s="1980">
        <v>0</v>
      </c>
      <c r="H33" s="1949"/>
      <c r="I33" s="1980">
        <v>109778.94</v>
      </c>
    </row>
    <row r="34" spans="1:9" ht="10.95" customHeight="1">
      <c r="A34" s="1450" t="s">
        <v>2210</v>
      </c>
      <c r="B34" s="1451">
        <v>46133</v>
      </c>
      <c r="C34" s="1451">
        <v>46163</v>
      </c>
      <c r="D34" s="1450" t="s">
        <v>2714</v>
      </c>
      <c r="E34" s="1980">
        <v>2382.35</v>
      </c>
      <c r="F34" s="1980">
        <v>0</v>
      </c>
      <c r="G34" s="1980">
        <v>0</v>
      </c>
      <c r="H34" s="1949"/>
      <c r="I34" s="1980">
        <v>2382.35</v>
      </c>
    </row>
    <row r="35" spans="1:9" ht="10.95" customHeight="1">
      <c r="A35" s="1450" t="s">
        <v>1116</v>
      </c>
      <c r="B35" s="1451">
        <v>46134</v>
      </c>
      <c r="C35" s="1451">
        <v>46164</v>
      </c>
      <c r="D35" s="1450" t="s">
        <v>2713</v>
      </c>
      <c r="E35" s="1980">
        <v>2806.33</v>
      </c>
      <c r="F35" s="1980">
        <v>0</v>
      </c>
      <c r="G35" s="1980">
        <v>0</v>
      </c>
      <c r="H35" s="1949"/>
      <c r="I35" s="1980">
        <v>2806.33</v>
      </c>
    </row>
    <row r="36" spans="1:9" ht="10.95" customHeight="1">
      <c r="A36" s="1450" t="s">
        <v>1116</v>
      </c>
      <c r="B36" s="1451">
        <v>46135</v>
      </c>
      <c r="C36" s="1451">
        <v>46165</v>
      </c>
      <c r="D36" s="1450" t="s">
        <v>2712</v>
      </c>
      <c r="E36" s="1980">
        <v>22785</v>
      </c>
      <c r="F36" s="1980">
        <v>0</v>
      </c>
      <c r="G36" s="1980">
        <v>0</v>
      </c>
      <c r="H36" s="1949"/>
      <c r="I36" s="1980">
        <v>22785</v>
      </c>
    </row>
    <row r="37" spans="1:9" s="1444" customFormat="1" ht="12.15" customHeight="1">
      <c r="A37" s="1450" t="s">
        <v>1116</v>
      </c>
      <c r="B37" s="1451">
        <v>46136</v>
      </c>
      <c r="C37" s="1451">
        <v>46166</v>
      </c>
      <c r="D37" s="1450" t="s">
        <v>2711</v>
      </c>
      <c r="E37" s="1679">
        <v>465</v>
      </c>
      <c r="F37" s="1679">
        <v>0</v>
      </c>
      <c r="G37" s="1679">
        <v>0</v>
      </c>
      <c r="H37" s="2025"/>
      <c r="I37" s="1679">
        <v>465</v>
      </c>
    </row>
    <row r="38" spans="1:9" ht="10.95" customHeight="1">
      <c r="A38" s="1446" t="s">
        <v>2220</v>
      </c>
      <c r="B38" s="1447">
        <v>46078</v>
      </c>
      <c r="C38" s="1447">
        <v>46108</v>
      </c>
      <c r="D38" s="1446" t="s">
        <v>2418</v>
      </c>
      <c r="E38" s="1975">
        <v>0</v>
      </c>
      <c r="F38" s="1975">
        <v>0</v>
      </c>
      <c r="G38" s="1975">
        <v>49.4</v>
      </c>
      <c r="H38" s="2024"/>
      <c r="I38" s="1975">
        <v>49.4</v>
      </c>
    </row>
    <row r="39" spans="1:9" ht="10.95" customHeight="1">
      <c r="A39" s="1450" t="s">
        <v>2406</v>
      </c>
      <c r="B39" s="1451">
        <v>46086</v>
      </c>
      <c r="C39" s="1451">
        <v>46094</v>
      </c>
      <c r="D39" s="1450" t="s">
        <v>2496</v>
      </c>
      <c r="E39" s="1980">
        <v>0</v>
      </c>
      <c r="F39" s="1980">
        <v>0</v>
      </c>
      <c r="G39" s="1980">
        <v>43956.18</v>
      </c>
      <c r="H39" s="1949"/>
      <c r="I39" s="1980">
        <v>43956.18</v>
      </c>
    </row>
    <row r="40" spans="1:9" ht="10.95" customHeight="1">
      <c r="A40" s="1450" t="s">
        <v>2265</v>
      </c>
      <c r="B40" s="1451">
        <v>46108</v>
      </c>
      <c r="C40" s="1451">
        <v>46138</v>
      </c>
      <c r="D40" s="1450" t="s">
        <v>2542</v>
      </c>
      <c r="E40" s="1980">
        <v>0</v>
      </c>
      <c r="F40" s="1980">
        <v>240640.42</v>
      </c>
      <c r="G40" s="1980">
        <v>0</v>
      </c>
      <c r="H40" s="1949"/>
      <c r="I40" s="1980">
        <v>240640.42</v>
      </c>
    </row>
    <row r="41" spans="1:9" ht="10.95" customHeight="1">
      <c r="A41" s="1450" t="s">
        <v>2265</v>
      </c>
      <c r="B41" s="1451">
        <v>46111</v>
      </c>
      <c r="C41" s="1451">
        <v>46141</v>
      </c>
      <c r="D41" s="1450" t="s">
        <v>2543</v>
      </c>
      <c r="E41" s="1980">
        <v>0</v>
      </c>
      <c r="F41" s="1980">
        <v>495436.45</v>
      </c>
      <c r="G41" s="1980">
        <v>0</v>
      </c>
      <c r="H41" s="1949"/>
      <c r="I41" s="1980">
        <v>495436.45</v>
      </c>
    </row>
    <row r="42" spans="1:9" ht="10.95" customHeight="1">
      <c r="A42" s="1450" t="s">
        <v>2506</v>
      </c>
      <c r="B42" s="1451">
        <v>46111</v>
      </c>
      <c r="C42" s="1451">
        <v>46172</v>
      </c>
      <c r="D42" s="1450" t="s">
        <v>2546</v>
      </c>
      <c r="E42" s="1980">
        <v>175200</v>
      </c>
      <c r="F42" s="1980">
        <v>0</v>
      </c>
      <c r="G42" s="1980">
        <v>0</v>
      </c>
      <c r="H42" s="1949"/>
      <c r="I42" s="1980">
        <v>175200</v>
      </c>
    </row>
    <row r="43" spans="1:9" ht="10.95" customHeight="1">
      <c r="A43" s="1450" t="s">
        <v>2220</v>
      </c>
      <c r="B43" s="1451">
        <v>46111</v>
      </c>
      <c r="C43" s="1451">
        <v>46142</v>
      </c>
      <c r="D43" s="1450" t="s">
        <v>2547</v>
      </c>
      <c r="E43" s="1980">
        <v>0</v>
      </c>
      <c r="F43" s="1980">
        <v>70.8</v>
      </c>
      <c r="G43" s="1980">
        <v>0</v>
      </c>
      <c r="H43" s="1949"/>
      <c r="I43" s="1980">
        <v>70.8</v>
      </c>
    </row>
    <row r="44" spans="1:9" ht="10.95" customHeight="1">
      <c r="A44" s="1450" t="s">
        <v>2220</v>
      </c>
      <c r="B44" s="1451">
        <v>46111</v>
      </c>
      <c r="C44" s="1451">
        <v>46141</v>
      </c>
      <c r="D44" s="1450" t="s">
        <v>2548</v>
      </c>
      <c r="E44" s="1980">
        <v>0</v>
      </c>
      <c r="F44" s="1980">
        <v>212320.06</v>
      </c>
      <c r="G44" s="1980">
        <v>0</v>
      </c>
      <c r="H44" s="1949"/>
      <c r="I44" s="1980">
        <v>212320.06</v>
      </c>
    </row>
    <row r="45" spans="1:9" ht="10.95" customHeight="1">
      <c r="A45" s="1450" t="s">
        <v>2265</v>
      </c>
      <c r="B45" s="1451">
        <v>46112</v>
      </c>
      <c r="C45" s="1451">
        <v>46142</v>
      </c>
      <c r="D45" s="1450" t="s">
        <v>2551</v>
      </c>
      <c r="E45" s="1980">
        <v>0</v>
      </c>
      <c r="F45" s="1980">
        <v>240640.56</v>
      </c>
      <c r="G45" s="1980">
        <v>0</v>
      </c>
      <c r="H45" s="1949"/>
      <c r="I45" s="1980">
        <v>240640.56</v>
      </c>
    </row>
    <row r="46" spans="1:9" ht="10.95" customHeight="1">
      <c r="A46" s="1450" t="s">
        <v>2265</v>
      </c>
      <c r="B46" s="1451">
        <v>46112</v>
      </c>
      <c r="C46" s="1451">
        <v>46142</v>
      </c>
      <c r="D46" s="1450" t="s">
        <v>2550</v>
      </c>
      <c r="E46" s="1980">
        <v>0</v>
      </c>
      <c r="F46" s="1980">
        <v>1338262.28</v>
      </c>
      <c r="G46" s="1980">
        <v>0</v>
      </c>
      <c r="H46" s="1949"/>
      <c r="I46" s="1980">
        <v>1338262.28</v>
      </c>
    </row>
    <row r="47" spans="1:9" ht="10.95" customHeight="1">
      <c r="A47" s="1450" t="s">
        <v>2220</v>
      </c>
      <c r="B47" s="1451">
        <v>46118</v>
      </c>
      <c r="C47" s="1451">
        <v>46147</v>
      </c>
      <c r="D47" s="1450" t="s">
        <v>2710</v>
      </c>
      <c r="E47" s="1980">
        <v>45174.93</v>
      </c>
      <c r="F47" s="1980">
        <v>0</v>
      </c>
      <c r="G47" s="1980">
        <v>0</v>
      </c>
      <c r="H47" s="1949"/>
      <c r="I47" s="1980">
        <v>45174.93</v>
      </c>
    </row>
    <row r="48" spans="1:9" ht="10.95" customHeight="1">
      <c r="A48" s="1450" t="s">
        <v>1116</v>
      </c>
      <c r="B48" s="1451">
        <v>46120</v>
      </c>
      <c r="C48" s="1451">
        <v>46165</v>
      </c>
      <c r="D48" s="1450" t="s">
        <v>2709</v>
      </c>
      <c r="E48" s="1980">
        <v>1144982.48</v>
      </c>
      <c r="F48" s="1980">
        <v>0</v>
      </c>
      <c r="G48" s="1980">
        <v>0</v>
      </c>
      <c r="H48" s="1949"/>
      <c r="I48" s="1980">
        <v>1144982.48</v>
      </c>
    </row>
    <row r="49" spans="1:9" ht="10.95" customHeight="1">
      <c r="A49" s="1450" t="s">
        <v>2265</v>
      </c>
      <c r="B49" s="1451">
        <v>46120</v>
      </c>
      <c r="C49" s="1451">
        <v>46150</v>
      </c>
      <c r="D49" s="1450" t="s">
        <v>2708</v>
      </c>
      <c r="E49" s="1980">
        <v>1226275.77</v>
      </c>
      <c r="F49" s="1980">
        <v>0</v>
      </c>
      <c r="G49" s="1980">
        <v>0</v>
      </c>
      <c r="H49" s="1949"/>
      <c r="I49" s="1980">
        <v>1226275.77</v>
      </c>
    </row>
    <row r="50" spans="1:9" ht="10.95" customHeight="1">
      <c r="A50" s="1450" t="s">
        <v>2220</v>
      </c>
      <c r="B50" s="1451">
        <v>46121</v>
      </c>
      <c r="C50" s="1451">
        <v>46151</v>
      </c>
      <c r="D50" s="1450" t="s">
        <v>2707</v>
      </c>
      <c r="E50" s="1980">
        <v>36282.67</v>
      </c>
      <c r="F50" s="1980">
        <v>0</v>
      </c>
      <c r="G50" s="1980">
        <v>0</v>
      </c>
      <c r="H50" s="1949"/>
      <c r="I50" s="1980">
        <v>36282.67</v>
      </c>
    </row>
    <row r="51" spans="1:9" ht="10.95" customHeight="1">
      <c r="A51" s="1450" t="s">
        <v>2220</v>
      </c>
      <c r="B51" s="1451">
        <v>46121</v>
      </c>
      <c r="C51" s="1451">
        <v>45051</v>
      </c>
      <c r="D51" s="1450" t="s">
        <v>2706</v>
      </c>
      <c r="E51" s="1980">
        <v>0</v>
      </c>
      <c r="F51" s="1980">
        <v>0</v>
      </c>
      <c r="G51" s="1980">
        <v>34908.58</v>
      </c>
      <c r="H51" s="1949"/>
      <c r="I51" s="1980">
        <v>34908.58</v>
      </c>
    </row>
    <row r="52" spans="1:9" ht="10.95" customHeight="1">
      <c r="A52" s="1450" t="s">
        <v>2220</v>
      </c>
      <c r="B52" s="1451">
        <v>46121</v>
      </c>
      <c r="C52" s="1451">
        <v>46151</v>
      </c>
      <c r="D52" s="1450" t="s">
        <v>2705</v>
      </c>
      <c r="E52" s="1980">
        <v>19624</v>
      </c>
      <c r="F52" s="1980">
        <v>0</v>
      </c>
      <c r="G52" s="1980">
        <v>0</v>
      </c>
      <c r="H52" s="1949"/>
      <c r="I52" s="1980">
        <v>19624</v>
      </c>
    </row>
    <row r="53" spans="1:9" ht="10.95" customHeight="1">
      <c r="A53" s="1450" t="s">
        <v>1116</v>
      </c>
      <c r="B53" s="1451">
        <v>46122</v>
      </c>
      <c r="C53" s="1451">
        <v>46150</v>
      </c>
      <c r="D53" s="1450" t="s">
        <v>2704</v>
      </c>
      <c r="E53" s="1980">
        <v>4314</v>
      </c>
      <c r="F53" s="1980">
        <v>0</v>
      </c>
      <c r="G53" s="1980">
        <v>0</v>
      </c>
      <c r="H53" s="1949"/>
      <c r="I53" s="1980">
        <v>4314</v>
      </c>
    </row>
    <row r="54" spans="1:9" ht="10.95" customHeight="1">
      <c r="A54" s="1450" t="s">
        <v>1116</v>
      </c>
      <c r="B54" s="1451">
        <v>46122</v>
      </c>
      <c r="C54" s="1451">
        <v>46152</v>
      </c>
      <c r="D54" s="1450" t="s">
        <v>2703</v>
      </c>
      <c r="E54" s="1980">
        <v>27842.1</v>
      </c>
      <c r="F54" s="1980">
        <v>0</v>
      </c>
      <c r="G54" s="1980">
        <v>0</v>
      </c>
      <c r="H54" s="1949"/>
      <c r="I54" s="1980">
        <v>27842.1</v>
      </c>
    </row>
    <row r="55" spans="1:9" ht="10.95" customHeight="1">
      <c r="A55" s="1450" t="s">
        <v>1116</v>
      </c>
      <c r="B55" s="1451">
        <v>46122</v>
      </c>
      <c r="C55" s="1451">
        <v>46152</v>
      </c>
      <c r="D55" s="1450" t="s">
        <v>2702</v>
      </c>
      <c r="E55" s="1980">
        <v>225</v>
      </c>
      <c r="F55" s="1980">
        <v>0</v>
      </c>
      <c r="G55" s="1980">
        <v>0</v>
      </c>
      <c r="H55" s="1949"/>
      <c r="I55" s="1980">
        <v>225</v>
      </c>
    </row>
    <row r="56" spans="1:9" ht="10.95" customHeight="1">
      <c r="A56" s="1450" t="s">
        <v>1116</v>
      </c>
      <c r="B56" s="1451">
        <v>46122</v>
      </c>
      <c r="C56" s="1451">
        <v>46150</v>
      </c>
      <c r="D56" s="1450" t="s">
        <v>2701</v>
      </c>
      <c r="E56" s="1980">
        <v>24826</v>
      </c>
      <c r="F56" s="1980">
        <v>0</v>
      </c>
      <c r="G56" s="1980">
        <v>0</v>
      </c>
      <c r="H56" s="1949"/>
      <c r="I56" s="1980">
        <v>24826</v>
      </c>
    </row>
    <row r="57" spans="1:9" ht="10.95" customHeight="1">
      <c r="A57" s="1450" t="s">
        <v>2265</v>
      </c>
      <c r="B57" s="1451">
        <v>46122</v>
      </c>
      <c r="C57" s="1451">
        <v>46152</v>
      </c>
      <c r="D57" s="1450" t="s">
        <v>2700</v>
      </c>
      <c r="E57" s="1980">
        <v>28310.65</v>
      </c>
      <c r="F57" s="1980">
        <v>0</v>
      </c>
      <c r="G57" s="1980">
        <v>0</v>
      </c>
      <c r="H57" s="1949"/>
      <c r="I57" s="1980">
        <v>28310.65</v>
      </c>
    </row>
    <row r="58" spans="1:9" ht="10.95" customHeight="1">
      <c r="A58" s="1450" t="s">
        <v>2265</v>
      </c>
      <c r="B58" s="1451">
        <v>46122</v>
      </c>
      <c r="C58" s="1451">
        <v>46152</v>
      </c>
      <c r="D58" s="1450" t="s">
        <v>2699</v>
      </c>
      <c r="E58" s="1980">
        <v>79228.5</v>
      </c>
      <c r="F58" s="1980">
        <v>0</v>
      </c>
      <c r="G58" s="1980">
        <v>0</v>
      </c>
      <c r="H58" s="1949"/>
      <c r="I58" s="1980">
        <v>79228.5</v>
      </c>
    </row>
    <row r="59" spans="1:9" ht="10.95" customHeight="1">
      <c r="A59" s="1450" t="s">
        <v>950</v>
      </c>
      <c r="B59" s="1451">
        <v>46122</v>
      </c>
      <c r="C59" s="1451">
        <v>46129</v>
      </c>
      <c r="D59" s="1450" t="s">
        <v>2698</v>
      </c>
      <c r="E59" s="1980">
        <v>0</v>
      </c>
      <c r="F59" s="1980">
        <v>42500</v>
      </c>
      <c r="G59" s="1980">
        <v>0</v>
      </c>
      <c r="H59" s="1949"/>
      <c r="I59" s="1980">
        <v>42500</v>
      </c>
    </row>
    <row r="60" spans="1:9" ht="10.95" customHeight="1">
      <c r="A60" s="1450" t="s">
        <v>2265</v>
      </c>
      <c r="B60" s="1451">
        <v>46125</v>
      </c>
      <c r="C60" s="1451">
        <v>46155</v>
      </c>
      <c r="D60" s="1450" t="s">
        <v>2697</v>
      </c>
      <c r="E60" s="1980">
        <v>556776.19999999995</v>
      </c>
      <c r="F60" s="1980">
        <v>0</v>
      </c>
      <c r="G60" s="1980">
        <v>0</v>
      </c>
      <c r="H60" s="1949"/>
      <c r="I60" s="1980">
        <v>556776.19999999995</v>
      </c>
    </row>
    <row r="61" spans="1:9" ht="10.95" customHeight="1">
      <c r="A61" s="1450" t="s">
        <v>1116</v>
      </c>
      <c r="B61" s="1451">
        <v>46126</v>
      </c>
      <c r="C61" s="1451">
        <v>46156</v>
      </c>
      <c r="D61" s="1450" t="s">
        <v>2696</v>
      </c>
      <c r="E61" s="1980">
        <v>43226.3</v>
      </c>
      <c r="F61" s="1980">
        <v>0</v>
      </c>
      <c r="G61" s="1980">
        <v>0</v>
      </c>
      <c r="H61" s="1949"/>
      <c r="I61" s="1980">
        <v>43226.3</v>
      </c>
    </row>
    <row r="62" spans="1:9" ht="10.95" customHeight="1">
      <c r="A62" s="1450" t="s">
        <v>2220</v>
      </c>
      <c r="B62" s="1451">
        <v>46126</v>
      </c>
      <c r="C62" s="1451">
        <v>46156</v>
      </c>
      <c r="D62" s="1450" t="s">
        <v>2695</v>
      </c>
      <c r="E62" s="1980">
        <v>874.91</v>
      </c>
      <c r="F62" s="1980">
        <v>0</v>
      </c>
      <c r="G62" s="1980">
        <v>0</v>
      </c>
      <c r="H62" s="1949"/>
      <c r="I62" s="1980">
        <v>874.91</v>
      </c>
    </row>
    <row r="63" spans="1:9" ht="10.95" customHeight="1">
      <c r="A63" s="1450" t="s">
        <v>2220</v>
      </c>
      <c r="B63" s="1451">
        <v>46126</v>
      </c>
      <c r="C63" s="1451">
        <v>46156</v>
      </c>
      <c r="D63" s="1450" t="s">
        <v>2694</v>
      </c>
      <c r="E63" s="1980">
        <v>7552.38</v>
      </c>
      <c r="F63" s="1980">
        <v>0</v>
      </c>
      <c r="G63" s="1980">
        <v>0</v>
      </c>
      <c r="H63" s="1949"/>
      <c r="I63" s="1980">
        <v>7552.38</v>
      </c>
    </row>
    <row r="64" spans="1:9" ht="10.95" customHeight="1">
      <c r="A64" s="1450" t="s">
        <v>2265</v>
      </c>
      <c r="B64" s="1451">
        <v>46128</v>
      </c>
      <c r="C64" s="1451">
        <v>46158</v>
      </c>
      <c r="D64" s="1450" t="s">
        <v>2693</v>
      </c>
      <c r="E64" s="1980">
        <v>537902.43999999994</v>
      </c>
      <c r="F64" s="1980">
        <v>0</v>
      </c>
      <c r="G64" s="1980">
        <v>0</v>
      </c>
      <c r="H64" s="1949"/>
      <c r="I64" s="1980">
        <v>537902.43999999994</v>
      </c>
    </row>
    <row r="65" spans="1:9" ht="10.95" customHeight="1">
      <c r="A65" s="1450" t="s">
        <v>1116</v>
      </c>
      <c r="B65" s="1451">
        <v>46129</v>
      </c>
      <c r="C65" s="1451">
        <v>46159</v>
      </c>
      <c r="D65" s="1450" t="s">
        <v>2692</v>
      </c>
      <c r="E65" s="1980">
        <v>3829</v>
      </c>
      <c r="F65" s="1980">
        <v>0</v>
      </c>
      <c r="G65" s="1980">
        <v>0</v>
      </c>
      <c r="H65" s="1949"/>
      <c r="I65" s="1980">
        <v>3829</v>
      </c>
    </row>
    <row r="66" spans="1:9" ht="10.95" customHeight="1">
      <c r="A66" s="1450" t="s">
        <v>2685</v>
      </c>
      <c r="B66" s="1451">
        <v>46129</v>
      </c>
      <c r="C66" s="1451">
        <v>46144</v>
      </c>
      <c r="D66" s="1450" t="s">
        <v>2691</v>
      </c>
      <c r="E66" s="1980">
        <v>318870.44</v>
      </c>
      <c r="F66" s="1980">
        <v>0</v>
      </c>
      <c r="G66" s="1980">
        <v>0</v>
      </c>
      <c r="H66" s="1949"/>
      <c r="I66" s="1980">
        <v>318870.44</v>
      </c>
    </row>
    <row r="67" spans="1:9" ht="10.95" customHeight="1">
      <c r="A67" s="1450" t="s">
        <v>2685</v>
      </c>
      <c r="B67" s="1451">
        <v>46129</v>
      </c>
      <c r="C67" s="1451">
        <v>46144</v>
      </c>
      <c r="D67" s="1450" t="s">
        <v>2690</v>
      </c>
      <c r="E67" s="1980">
        <v>318870.44</v>
      </c>
      <c r="F67" s="1980">
        <v>0</v>
      </c>
      <c r="G67" s="1980">
        <v>0</v>
      </c>
      <c r="H67" s="1949"/>
      <c r="I67" s="1980">
        <v>318870.44</v>
      </c>
    </row>
    <row r="68" spans="1:9" ht="10.95" customHeight="1">
      <c r="A68" s="1450" t="s">
        <v>2685</v>
      </c>
      <c r="B68" s="1451">
        <v>46129</v>
      </c>
      <c r="C68" s="1451">
        <v>46144</v>
      </c>
      <c r="D68" s="1450" t="s">
        <v>2689</v>
      </c>
      <c r="E68" s="1980">
        <v>318870.44</v>
      </c>
      <c r="F68" s="1980">
        <v>0</v>
      </c>
      <c r="G68" s="1980">
        <v>0</v>
      </c>
      <c r="H68" s="1949"/>
      <c r="I68" s="1980">
        <v>318870.44</v>
      </c>
    </row>
    <row r="69" spans="1:9" ht="10.95" customHeight="1">
      <c r="A69" s="1450" t="s">
        <v>1116</v>
      </c>
      <c r="B69" s="1451">
        <v>46130</v>
      </c>
      <c r="C69" s="1451">
        <v>46160</v>
      </c>
      <c r="D69" s="1450" t="s">
        <v>2688</v>
      </c>
      <c r="E69" s="1980">
        <v>3609.2</v>
      </c>
      <c r="F69" s="1980">
        <v>0</v>
      </c>
      <c r="G69" s="1980">
        <v>0</v>
      </c>
      <c r="H69" s="1949"/>
      <c r="I69" s="1980">
        <v>3609.2</v>
      </c>
    </row>
    <row r="70" spans="1:9" ht="10.95" customHeight="1">
      <c r="A70" s="1450" t="s">
        <v>2220</v>
      </c>
      <c r="B70" s="1451">
        <v>46132</v>
      </c>
      <c r="C70" s="1451">
        <v>46162</v>
      </c>
      <c r="D70" s="1450" t="s">
        <v>2687</v>
      </c>
      <c r="E70" s="1980">
        <v>8368.5499999999993</v>
      </c>
      <c r="F70" s="1980">
        <v>0</v>
      </c>
      <c r="G70" s="1980">
        <v>0</v>
      </c>
      <c r="H70" s="1949"/>
      <c r="I70" s="1980">
        <v>8368.5499999999993</v>
      </c>
    </row>
    <row r="71" spans="1:9" ht="10.95" customHeight="1">
      <c r="A71" s="1450" t="s">
        <v>2265</v>
      </c>
      <c r="B71" s="1451">
        <v>46133</v>
      </c>
      <c r="C71" s="1451">
        <v>46163</v>
      </c>
      <c r="D71" s="1450" t="s">
        <v>2686</v>
      </c>
      <c r="E71" s="1980">
        <v>1346637.85</v>
      </c>
      <c r="F71" s="1980">
        <v>0</v>
      </c>
      <c r="G71" s="1980">
        <v>0</v>
      </c>
      <c r="H71" s="1949"/>
      <c r="I71" s="1980">
        <v>1346637.85</v>
      </c>
    </row>
    <row r="72" spans="1:9" ht="10.95" customHeight="1">
      <c r="A72" s="1450" t="s">
        <v>2685</v>
      </c>
      <c r="B72" s="1451">
        <v>46133</v>
      </c>
      <c r="C72" s="1451">
        <v>46148</v>
      </c>
      <c r="D72" s="1450" t="s">
        <v>2684</v>
      </c>
      <c r="E72" s="1980">
        <v>413789.08</v>
      </c>
      <c r="F72" s="1980">
        <v>0</v>
      </c>
      <c r="G72" s="1980">
        <v>0</v>
      </c>
      <c r="H72" s="1949"/>
      <c r="I72" s="1980">
        <v>413789.08</v>
      </c>
    </row>
    <row r="73" spans="1:9" ht="10.95" customHeight="1">
      <c r="A73" s="1450" t="s">
        <v>2534</v>
      </c>
      <c r="B73" s="1451">
        <v>46133</v>
      </c>
      <c r="C73" s="1451">
        <v>46143</v>
      </c>
      <c r="D73" s="1450" t="s">
        <v>2683</v>
      </c>
      <c r="E73" s="1980">
        <v>116800</v>
      </c>
      <c r="F73" s="1980">
        <v>0</v>
      </c>
      <c r="G73" s="1980">
        <v>0</v>
      </c>
      <c r="H73" s="1949"/>
      <c r="I73" s="1980">
        <v>116800</v>
      </c>
    </row>
    <row r="74" spans="1:9" ht="10.95" customHeight="1">
      <c r="A74" s="1450" t="s">
        <v>1116</v>
      </c>
      <c r="B74" s="1451">
        <v>46134</v>
      </c>
      <c r="C74" s="1451">
        <v>46164</v>
      </c>
      <c r="D74" s="1450" t="s">
        <v>2682</v>
      </c>
      <c r="E74" s="1980">
        <v>3461</v>
      </c>
      <c r="F74" s="1980">
        <v>0</v>
      </c>
      <c r="G74" s="1980">
        <v>0</v>
      </c>
      <c r="H74" s="1949"/>
      <c r="I74" s="1980">
        <v>3461</v>
      </c>
    </row>
    <row r="75" spans="1:9" ht="10.95" customHeight="1">
      <c r="A75" s="1450" t="s">
        <v>1116</v>
      </c>
      <c r="B75" s="1451">
        <v>46134</v>
      </c>
      <c r="C75" s="1451">
        <v>46164</v>
      </c>
      <c r="D75" s="1450" t="s">
        <v>2681</v>
      </c>
      <c r="E75" s="1980">
        <v>26250</v>
      </c>
      <c r="F75" s="1980">
        <v>0</v>
      </c>
      <c r="G75" s="1980">
        <v>0</v>
      </c>
      <c r="H75" s="1949"/>
      <c r="I75" s="1980">
        <v>26250</v>
      </c>
    </row>
    <row r="76" spans="1:9" ht="10.95" customHeight="1">
      <c r="A76" s="1450" t="s">
        <v>2265</v>
      </c>
      <c r="B76" s="1451">
        <v>46134</v>
      </c>
      <c r="C76" s="1451">
        <v>46162</v>
      </c>
      <c r="D76" s="1450" t="s">
        <v>2680</v>
      </c>
      <c r="E76" s="1980">
        <v>632800.30000000005</v>
      </c>
      <c r="F76" s="1980">
        <v>0</v>
      </c>
      <c r="G76" s="1980">
        <v>0</v>
      </c>
      <c r="H76" s="1949"/>
      <c r="I76" s="1980">
        <v>632800.30000000005</v>
      </c>
    </row>
    <row r="77" spans="1:9" ht="10.95" customHeight="1">
      <c r="A77" s="1450" t="s">
        <v>2220</v>
      </c>
      <c r="B77" s="1451">
        <v>46134</v>
      </c>
      <c r="C77" s="1451">
        <v>46164</v>
      </c>
      <c r="D77" s="1450" t="s">
        <v>2679</v>
      </c>
      <c r="E77" s="1980">
        <v>18290</v>
      </c>
      <c r="F77" s="1980">
        <v>0</v>
      </c>
      <c r="G77" s="1980">
        <v>0</v>
      </c>
      <c r="H77" s="1949"/>
      <c r="I77" s="1980">
        <v>18290</v>
      </c>
    </row>
    <row r="78" spans="1:9" ht="10.95" customHeight="1">
      <c r="A78" s="1450" t="s">
        <v>1116</v>
      </c>
      <c r="B78" s="1451">
        <v>46136</v>
      </c>
      <c r="C78" s="1451">
        <v>46166</v>
      </c>
      <c r="D78" s="1450" t="s">
        <v>2678</v>
      </c>
      <c r="E78" s="1980">
        <v>5240</v>
      </c>
      <c r="F78" s="1980">
        <v>0</v>
      </c>
      <c r="G78" s="1980">
        <v>0</v>
      </c>
      <c r="H78" s="1949"/>
      <c r="I78" s="1980">
        <v>5240</v>
      </c>
    </row>
    <row r="79" spans="1:9" ht="10.95" customHeight="1">
      <c r="A79" s="1450" t="s">
        <v>1116</v>
      </c>
      <c r="B79" s="1451">
        <v>46136</v>
      </c>
      <c r="C79" s="1451">
        <v>46166</v>
      </c>
      <c r="D79" s="1450" t="s">
        <v>2677</v>
      </c>
      <c r="E79" s="1980">
        <v>5240</v>
      </c>
      <c r="F79" s="1980">
        <v>0</v>
      </c>
      <c r="G79" s="1980">
        <v>0</v>
      </c>
      <c r="H79" s="1949"/>
      <c r="I79" s="1980">
        <v>5240</v>
      </c>
    </row>
    <row r="80" spans="1:9" ht="10.95" customHeight="1">
      <c r="A80" s="1450" t="s">
        <v>1116</v>
      </c>
      <c r="B80" s="1451">
        <v>46136</v>
      </c>
      <c r="C80" s="1451">
        <v>46166</v>
      </c>
      <c r="D80" s="1450" t="s">
        <v>2676</v>
      </c>
      <c r="E80" s="1980">
        <v>142997.6</v>
      </c>
      <c r="F80" s="1980">
        <v>0</v>
      </c>
      <c r="G80" s="1980">
        <v>0</v>
      </c>
      <c r="H80" s="1949"/>
      <c r="I80" s="1980">
        <v>142997.6</v>
      </c>
    </row>
    <row r="81" spans="1:9" ht="10.95" customHeight="1">
      <c r="A81" s="1450" t="s">
        <v>2265</v>
      </c>
      <c r="B81" s="1451">
        <v>46136</v>
      </c>
      <c r="C81" s="1451">
        <v>46166</v>
      </c>
      <c r="D81" s="1450" t="s">
        <v>2675</v>
      </c>
      <c r="E81" s="1980">
        <v>552057.76</v>
      </c>
      <c r="F81" s="1980">
        <v>0</v>
      </c>
      <c r="G81" s="1980">
        <v>0</v>
      </c>
      <c r="H81" s="1949"/>
      <c r="I81" s="1980">
        <v>552057.76</v>
      </c>
    </row>
    <row r="82" spans="1:9" ht="10.95" customHeight="1">
      <c r="A82" s="1450" t="s">
        <v>2265</v>
      </c>
      <c r="B82" s="1451">
        <v>46136</v>
      </c>
      <c r="C82" s="1451">
        <v>46166</v>
      </c>
      <c r="D82" s="1450" t="s">
        <v>2674</v>
      </c>
      <c r="E82" s="1980">
        <v>90640.99</v>
      </c>
      <c r="F82" s="1980">
        <v>0</v>
      </c>
      <c r="G82" s="1980">
        <v>0</v>
      </c>
      <c r="H82" s="1949"/>
      <c r="I82" s="1980">
        <v>90640.99</v>
      </c>
    </row>
    <row r="83" spans="1:9" ht="10.95" customHeight="1">
      <c r="A83" s="1450" t="s">
        <v>2506</v>
      </c>
      <c r="B83" s="1451">
        <v>46136</v>
      </c>
      <c r="C83" s="1451">
        <v>46151</v>
      </c>
      <c r="D83" s="1450" t="s">
        <v>2673</v>
      </c>
      <c r="E83" s="1980">
        <v>435000</v>
      </c>
      <c r="F83" s="1980">
        <v>0</v>
      </c>
      <c r="G83" s="1980">
        <v>0</v>
      </c>
      <c r="H83" s="1949"/>
      <c r="I83" s="1980">
        <v>435000</v>
      </c>
    </row>
    <row r="84" spans="1:9" ht="10.95" customHeight="1">
      <c r="A84" s="1450" t="s">
        <v>1116</v>
      </c>
      <c r="B84" s="1451">
        <v>46137</v>
      </c>
      <c r="C84" s="1451">
        <v>46167</v>
      </c>
      <c r="D84" s="1450" t="s">
        <v>2672</v>
      </c>
      <c r="E84" s="1980">
        <v>6360</v>
      </c>
      <c r="F84" s="1980">
        <v>0</v>
      </c>
      <c r="G84" s="1980">
        <v>0</v>
      </c>
      <c r="H84" s="1949"/>
      <c r="I84" s="1980">
        <v>6360</v>
      </c>
    </row>
    <row r="85" spans="1:9" ht="10.95" customHeight="1">
      <c r="A85" s="1450" t="s">
        <v>2280</v>
      </c>
      <c r="B85" s="1451">
        <v>46137</v>
      </c>
      <c r="C85" s="1451">
        <v>46167</v>
      </c>
      <c r="D85" s="1450" t="s">
        <v>2671</v>
      </c>
      <c r="E85" s="1980">
        <v>75673.399999999994</v>
      </c>
      <c r="F85" s="1980">
        <v>0</v>
      </c>
      <c r="G85" s="1980">
        <v>0</v>
      </c>
      <c r="H85" s="1949"/>
      <c r="I85" s="1980">
        <v>75673.399999999994</v>
      </c>
    </row>
    <row r="86" spans="1:9" ht="10.95" customHeight="1">
      <c r="A86" s="1450" t="s">
        <v>1116</v>
      </c>
      <c r="B86" s="1451">
        <v>46139</v>
      </c>
      <c r="C86" s="1451">
        <v>46169</v>
      </c>
      <c r="D86" s="1450" t="s">
        <v>2670</v>
      </c>
      <c r="E86" s="1980">
        <v>786486.8</v>
      </c>
      <c r="F86" s="1980">
        <v>0</v>
      </c>
      <c r="G86" s="1980">
        <v>0</v>
      </c>
      <c r="H86" s="1949"/>
      <c r="I86" s="1980">
        <v>786486.8</v>
      </c>
    </row>
    <row r="87" spans="1:9" ht="10.95" customHeight="1">
      <c r="A87" s="1450" t="s">
        <v>1116</v>
      </c>
      <c r="B87" s="1451">
        <v>46139</v>
      </c>
      <c r="C87" s="1451">
        <v>46169</v>
      </c>
      <c r="D87" s="1450" t="s">
        <v>2669</v>
      </c>
      <c r="E87" s="1980">
        <v>106334</v>
      </c>
      <c r="F87" s="1980">
        <v>0</v>
      </c>
      <c r="G87" s="1980">
        <v>0</v>
      </c>
      <c r="H87" s="1949"/>
      <c r="I87" s="1980">
        <v>106334</v>
      </c>
    </row>
    <row r="88" spans="1:9" ht="10.95" customHeight="1">
      <c r="A88" s="1450" t="s">
        <v>1116</v>
      </c>
      <c r="B88" s="1451">
        <v>46140</v>
      </c>
      <c r="C88" s="1451">
        <v>46170</v>
      </c>
      <c r="D88" s="1450" t="s">
        <v>2668</v>
      </c>
      <c r="E88" s="1980">
        <v>1422.72</v>
      </c>
      <c r="F88" s="1980">
        <v>0</v>
      </c>
      <c r="G88" s="1980">
        <v>0</v>
      </c>
      <c r="H88" s="1949"/>
      <c r="I88" s="1980">
        <v>1422.72</v>
      </c>
    </row>
    <row r="89" spans="1:9" ht="10.95" customHeight="1">
      <c r="A89" s="1450" t="s">
        <v>1116</v>
      </c>
      <c r="B89" s="1451">
        <v>46140</v>
      </c>
      <c r="C89" s="1451">
        <v>46170</v>
      </c>
      <c r="D89" s="1450" t="s">
        <v>2667</v>
      </c>
      <c r="E89" s="1980">
        <v>73633.919999999998</v>
      </c>
      <c r="F89" s="1980">
        <v>0</v>
      </c>
      <c r="G89" s="1980">
        <v>0</v>
      </c>
      <c r="H89" s="1949"/>
      <c r="I89" s="1980">
        <v>73633.919999999998</v>
      </c>
    </row>
    <row r="90" spans="1:9" ht="10.95" customHeight="1">
      <c r="A90" s="1450" t="s">
        <v>1116</v>
      </c>
      <c r="B90" s="1451">
        <v>46140</v>
      </c>
      <c r="C90" s="1451">
        <v>46170</v>
      </c>
      <c r="D90" s="1450" t="s">
        <v>2666</v>
      </c>
      <c r="E90" s="1980">
        <v>21450</v>
      </c>
      <c r="F90" s="1980">
        <v>0</v>
      </c>
      <c r="G90" s="1980">
        <v>0</v>
      </c>
      <c r="H90" s="1949"/>
      <c r="I90" s="1980">
        <v>21450</v>
      </c>
    </row>
    <row r="91" spans="1:9" ht="10.95" customHeight="1">
      <c r="A91" s="1450" t="s">
        <v>1116</v>
      </c>
      <c r="B91" s="1451">
        <v>46140</v>
      </c>
      <c r="C91" s="1451">
        <v>46170</v>
      </c>
      <c r="D91" s="1450" t="s">
        <v>2665</v>
      </c>
      <c r="E91" s="1980">
        <v>11461.68</v>
      </c>
      <c r="F91" s="1980">
        <v>0</v>
      </c>
      <c r="G91" s="1980">
        <v>0</v>
      </c>
      <c r="H91" s="1949"/>
      <c r="I91" s="1980">
        <v>11461.68</v>
      </c>
    </row>
    <row r="92" spans="1:9" ht="10.95" customHeight="1">
      <c r="A92" s="1450" t="s">
        <v>1116</v>
      </c>
      <c r="B92" s="1451">
        <v>46140</v>
      </c>
      <c r="C92" s="1451">
        <v>46170</v>
      </c>
      <c r="D92" s="1450" t="s">
        <v>2664</v>
      </c>
      <c r="E92" s="1980">
        <v>63239.35</v>
      </c>
      <c r="F92" s="1980">
        <v>0</v>
      </c>
      <c r="G92" s="1980">
        <v>0</v>
      </c>
      <c r="H92" s="1949"/>
      <c r="I92" s="1980">
        <v>63239.35</v>
      </c>
    </row>
    <row r="93" spans="1:9" ht="10.95" customHeight="1">
      <c r="A93" s="1450" t="s">
        <v>2265</v>
      </c>
      <c r="B93" s="1451">
        <v>46140</v>
      </c>
      <c r="C93" s="1451">
        <v>46170</v>
      </c>
      <c r="D93" s="1450" t="s">
        <v>2663</v>
      </c>
      <c r="E93" s="1980">
        <v>785143.21</v>
      </c>
      <c r="F93" s="1980">
        <v>0</v>
      </c>
      <c r="G93" s="1980">
        <v>0</v>
      </c>
      <c r="H93" s="1949"/>
      <c r="I93" s="1980">
        <v>785143.21</v>
      </c>
    </row>
    <row r="94" spans="1:9" ht="10.95" customHeight="1">
      <c r="A94" s="1450" t="s">
        <v>2220</v>
      </c>
      <c r="B94" s="1451">
        <v>46140</v>
      </c>
      <c r="C94" s="1451">
        <v>46170</v>
      </c>
      <c r="D94" s="1450" t="s">
        <v>2662</v>
      </c>
      <c r="E94" s="1980">
        <v>153055</v>
      </c>
      <c r="F94" s="1980">
        <v>0</v>
      </c>
      <c r="G94" s="1980">
        <v>0</v>
      </c>
      <c r="H94" s="1949"/>
      <c r="I94" s="1980">
        <v>153055</v>
      </c>
    </row>
    <row r="95" spans="1:9" ht="10.95" customHeight="1">
      <c r="A95" s="1450" t="s">
        <v>2220</v>
      </c>
      <c r="B95" s="1451">
        <v>46140</v>
      </c>
      <c r="C95" s="1451">
        <v>46170</v>
      </c>
      <c r="D95" s="1450" t="s">
        <v>2661</v>
      </c>
      <c r="E95" s="1980">
        <v>33560.910000000003</v>
      </c>
      <c r="F95" s="1980">
        <v>0</v>
      </c>
      <c r="G95" s="1980">
        <v>0</v>
      </c>
      <c r="H95" s="1949"/>
      <c r="I95" s="1980">
        <v>33560.910000000003</v>
      </c>
    </row>
    <row r="96" spans="1:9" ht="10.95" customHeight="1">
      <c r="A96" s="1450" t="s">
        <v>1116</v>
      </c>
      <c r="B96" s="1451">
        <v>46141</v>
      </c>
      <c r="C96" s="1451">
        <v>46171</v>
      </c>
      <c r="D96" s="1450" t="s">
        <v>2660</v>
      </c>
      <c r="E96" s="1980">
        <v>3712.08</v>
      </c>
      <c r="F96" s="1980">
        <v>0</v>
      </c>
      <c r="G96" s="1980">
        <v>0</v>
      </c>
      <c r="H96" s="1949"/>
      <c r="I96" s="1980">
        <v>3712.08</v>
      </c>
    </row>
    <row r="97" spans="1:9" ht="10.95" customHeight="1">
      <c r="A97" s="1450" t="s">
        <v>1116</v>
      </c>
      <c r="B97" s="1451">
        <v>46141</v>
      </c>
      <c r="C97" s="1451">
        <v>46171</v>
      </c>
      <c r="D97" s="1450" t="s">
        <v>2659</v>
      </c>
      <c r="E97" s="1980">
        <v>8227</v>
      </c>
      <c r="F97" s="1980">
        <v>0</v>
      </c>
      <c r="G97" s="1980">
        <v>0</v>
      </c>
      <c r="H97" s="1949"/>
      <c r="I97" s="1980">
        <v>8227</v>
      </c>
    </row>
    <row r="98" spans="1:9" ht="10.95" customHeight="1">
      <c r="A98" s="1450" t="s">
        <v>1116</v>
      </c>
      <c r="B98" s="1451">
        <v>46141</v>
      </c>
      <c r="C98" s="1451">
        <v>46170</v>
      </c>
      <c r="D98" s="1450" t="s">
        <v>2658</v>
      </c>
      <c r="E98" s="1980">
        <v>15379.41</v>
      </c>
      <c r="F98" s="1980">
        <v>0</v>
      </c>
      <c r="G98" s="1980">
        <v>0</v>
      </c>
      <c r="H98" s="1949"/>
      <c r="I98" s="1980">
        <v>15379.41</v>
      </c>
    </row>
    <row r="99" spans="1:9" ht="10.95" customHeight="1">
      <c r="A99" s="1450" t="s">
        <v>1116</v>
      </c>
      <c r="B99" s="1451">
        <v>46141</v>
      </c>
      <c r="C99" s="1451">
        <v>46170</v>
      </c>
      <c r="D99" s="1450" t="s">
        <v>2657</v>
      </c>
      <c r="E99" s="1980">
        <v>33200</v>
      </c>
      <c r="F99" s="1980">
        <v>0</v>
      </c>
      <c r="G99" s="1980">
        <v>0</v>
      </c>
      <c r="H99" s="1949"/>
      <c r="I99" s="1980">
        <v>33200</v>
      </c>
    </row>
    <row r="100" spans="1:9" ht="10.95" customHeight="1">
      <c r="A100" s="1450" t="s">
        <v>1116</v>
      </c>
      <c r="B100" s="1451">
        <v>46142</v>
      </c>
      <c r="C100" s="1451">
        <v>46172</v>
      </c>
      <c r="D100" s="1450" t="s">
        <v>2656</v>
      </c>
      <c r="E100" s="1980">
        <v>3230</v>
      </c>
      <c r="F100" s="1980">
        <v>0</v>
      </c>
      <c r="G100" s="1980">
        <v>0</v>
      </c>
      <c r="H100" s="1949"/>
      <c r="I100" s="1980">
        <v>3230</v>
      </c>
    </row>
    <row r="101" spans="1:9" ht="10.95" customHeight="1">
      <c r="A101" s="1450" t="s">
        <v>2210</v>
      </c>
      <c r="B101" s="1451">
        <v>46142</v>
      </c>
      <c r="C101" s="1451">
        <v>46172</v>
      </c>
      <c r="D101" s="1450" t="s">
        <v>2655</v>
      </c>
      <c r="E101" s="1980">
        <v>75349.97</v>
      </c>
      <c r="F101" s="1980">
        <v>0</v>
      </c>
      <c r="G101" s="1980">
        <v>0</v>
      </c>
      <c r="H101" s="1949"/>
      <c r="I101" s="1980">
        <v>75349.97</v>
      </c>
    </row>
    <row r="102" spans="1:9" ht="10.95" customHeight="1">
      <c r="A102" s="1454" t="s">
        <v>2057</v>
      </c>
      <c r="B102" s="1454"/>
      <c r="C102" s="1454"/>
      <c r="D102" s="1454"/>
      <c r="E102" s="1976">
        <f>SUM(E30:E101)</f>
        <v>11142281.050000001</v>
      </c>
      <c r="F102" s="1976">
        <f t="shared" ref="F102:I102" si="1">SUM(F30:F101)</f>
        <v>2569870.5700000003</v>
      </c>
      <c r="G102" s="1976">
        <f t="shared" si="1"/>
        <v>78914.16</v>
      </c>
      <c r="H102" s="1976">
        <f t="shared" si="1"/>
        <v>0</v>
      </c>
      <c r="I102" s="1976">
        <f t="shared" si="1"/>
        <v>13791065.780000005</v>
      </c>
    </row>
    <row r="103" spans="1:9" ht="13.35" customHeight="1"/>
    <row r="104" spans="1:9" s="1444" customFormat="1" ht="12.15" customHeight="1">
      <c r="A104" s="1445" t="s">
        <v>1308</v>
      </c>
      <c r="B104" s="1445"/>
      <c r="C104" s="1445"/>
      <c r="D104" s="1445"/>
      <c r="E104" s="1974"/>
      <c r="F104" s="1974"/>
      <c r="G104" s="1974"/>
      <c r="H104" s="1974"/>
      <c r="I104" s="1974"/>
    </row>
    <row r="105" spans="1:9" ht="10.95" customHeight="1">
      <c r="A105" s="1446" t="s">
        <v>1045</v>
      </c>
      <c r="B105" s="1447">
        <v>46113</v>
      </c>
      <c r="C105" s="1447">
        <v>46142</v>
      </c>
      <c r="D105" s="1446" t="s">
        <v>2654</v>
      </c>
      <c r="E105" s="1975">
        <v>0</v>
      </c>
      <c r="F105" s="1975">
        <v>94777.600000000006</v>
      </c>
      <c r="G105" s="1975">
        <v>0</v>
      </c>
      <c r="H105" s="2024"/>
      <c r="I105" s="1975">
        <v>94777.600000000006</v>
      </c>
    </row>
    <row r="106" spans="1:9" ht="10.95" customHeight="1">
      <c r="A106" s="1454" t="s">
        <v>1835</v>
      </c>
      <c r="B106" s="1454"/>
      <c r="C106" s="1454"/>
      <c r="D106" s="1454"/>
      <c r="E106" s="1976">
        <f>E105</f>
        <v>0</v>
      </c>
      <c r="F106" s="1976">
        <f>F105</f>
        <v>94777.600000000006</v>
      </c>
      <c r="G106" s="1976">
        <f>G105</f>
        <v>0</v>
      </c>
      <c r="H106" s="1948"/>
      <c r="I106" s="1976">
        <f>I105</f>
        <v>94777.600000000006</v>
      </c>
    </row>
    <row r="107" spans="1:9" ht="13.35" customHeight="1"/>
    <row r="108" spans="1:9" s="1444" customFormat="1" ht="12.15" customHeight="1">
      <c r="A108" s="1445" t="s">
        <v>2557</v>
      </c>
      <c r="B108" s="1445"/>
      <c r="C108" s="1445"/>
      <c r="D108" s="1445"/>
      <c r="E108" s="1974"/>
      <c r="F108" s="1974"/>
      <c r="G108" s="1974"/>
      <c r="H108" s="1974"/>
      <c r="I108" s="1974"/>
    </row>
    <row r="109" spans="1:9" ht="10.95" customHeight="1">
      <c r="A109" s="1446" t="s">
        <v>2558</v>
      </c>
      <c r="B109" s="1447">
        <v>46086</v>
      </c>
      <c r="C109" s="1447">
        <v>46109</v>
      </c>
      <c r="D109" s="1446" t="s">
        <v>2559</v>
      </c>
      <c r="E109" s="1975">
        <v>0</v>
      </c>
      <c r="F109" s="1975">
        <v>0</v>
      </c>
      <c r="G109" s="1975">
        <v>1040911.48</v>
      </c>
      <c r="H109" s="2024"/>
      <c r="I109" s="1975">
        <v>1040911.48</v>
      </c>
    </row>
    <row r="110" spans="1:9" ht="10.95" customHeight="1">
      <c r="A110" s="1454" t="s">
        <v>2560</v>
      </c>
      <c r="B110" s="1454"/>
      <c r="C110" s="1454"/>
      <c r="D110" s="1454"/>
      <c r="E110" s="1976">
        <f>E109</f>
        <v>0</v>
      </c>
      <c r="F110" s="1976">
        <f>F109</f>
        <v>0</v>
      </c>
      <c r="G110" s="1976">
        <f>G109</f>
        <v>1040911.48</v>
      </c>
      <c r="H110" s="1948"/>
      <c r="I110" s="1976">
        <f>I109</f>
        <v>1040911.48</v>
      </c>
    </row>
    <row r="111" spans="1:9" ht="13.35" customHeight="1"/>
    <row r="112" spans="1:9" s="1444" customFormat="1" ht="12.15" customHeight="1">
      <c r="A112" s="1445" t="s">
        <v>2022</v>
      </c>
      <c r="B112" s="1445"/>
      <c r="C112" s="1445"/>
      <c r="D112" s="1445"/>
      <c r="E112" s="1974"/>
      <c r="F112" s="1974"/>
      <c r="G112" s="1974"/>
      <c r="H112" s="1974"/>
      <c r="I112" s="1974"/>
    </row>
    <row r="113" spans="1:9" ht="10.95" customHeight="1">
      <c r="A113" s="1446" t="s">
        <v>2023</v>
      </c>
      <c r="B113" s="1447">
        <v>46140</v>
      </c>
      <c r="C113" s="1447">
        <v>46170</v>
      </c>
      <c r="D113" s="1446" t="s">
        <v>2036</v>
      </c>
      <c r="E113" s="1975">
        <v>506964.3</v>
      </c>
      <c r="F113" s="1975">
        <v>0</v>
      </c>
      <c r="G113" s="1975">
        <v>0</v>
      </c>
      <c r="H113" s="2024"/>
      <c r="I113" s="1975">
        <v>506964.3</v>
      </c>
    </row>
    <row r="114" spans="1:9" ht="10.95" customHeight="1">
      <c r="A114" s="1454" t="s">
        <v>2024</v>
      </c>
      <c r="B114" s="1454"/>
      <c r="C114" s="1454"/>
      <c r="D114" s="1454"/>
      <c r="E114" s="1976">
        <f>E113</f>
        <v>506964.3</v>
      </c>
      <c r="F114" s="1976">
        <f>F113</f>
        <v>0</v>
      </c>
      <c r="G114" s="1976">
        <f>G113</f>
        <v>0</v>
      </c>
      <c r="H114" s="1948"/>
      <c r="I114" s="1976">
        <f>I113</f>
        <v>506964.3</v>
      </c>
    </row>
    <row r="115" spans="1:9" ht="13.35" customHeight="1"/>
    <row r="116" spans="1:9" s="1444" customFormat="1" ht="12.15" customHeight="1">
      <c r="A116" s="1445" t="s">
        <v>1475</v>
      </c>
      <c r="B116" s="1445"/>
      <c r="C116" s="1445"/>
      <c r="D116" s="1445"/>
      <c r="E116" s="1974"/>
      <c r="F116" s="1974"/>
      <c r="G116" s="1974"/>
      <c r="H116" s="1974"/>
      <c r="I116" s="1974"/>
    </row>
    <row r="117" spans="1:9" ht="10.95" customHeight="1">
      <c r="A117" s="1446" t="s">
        <v>389</v>
      </c>
      <c r="B117" s="1447">
        <v>46120</v>
      </c>
      <c r="C117" s="1447">
        <v>46137</v>
      </c>
      <c r="D117" s="1446" t="s">
        <v>2653</v>
      </c>
      <c r="E117" s="1975">
        <v>0</v>
      </c>
      <c r="F117" s="1975">
        <v>1847822.94</v>
      </c>
      <c r="G117" s="1975">
        <v>0</v>
      </c>
      <c r="H117" s="2024"/>
      <c r="I117" s="1975">
        <v>1847822.94</v>
      </c>
    </row>
    <row r="118" spans="1:9" ht="10.95" customHeight="1">
      <c r="A118" s="1454" t="s">
        <v>1841</v>
      </c>
      <c r="B118" s="1454"/>
      <c r="C118" s="1454"/>
      <c r="D118" s="1454"/>
      <c r="E118" s="1976">
        <f>E117</f>
        <v>0</v>
      </c>
      <c r="F118" s="1976">
        <f>F117</f>
        <v>1847822.94</v>
      </c>
      <c r="G118" s="1976">
        <f>G117</f>
        <v>0</v>
      </c>
      <c r="H118" s="1948"/>
      <c r="I118" s="1976">
        <f>I117</f>
        <v>1847822.94</v>
      </c>
    </row>
    <row r="119" spans="1:9" ht="13.35" customHeight="1"/>
    <row r="120" spans="1:9" s="1444" customFormat="1" ht="12.15" customHeight="1">
      <c r="A120" s="1445" t="s">
        <v>1847</v>
      </c>
      <c r="B120" s="1445"/>
      <c r="C120" s="1445"/>
      <c r="D120" s="1445"/>
      <c r="E120" s="1974"/>
      <c r="F120" s="1974"/>
      <c r="G120" s="1974"/>
      <c r="H120" s="1974"/>
      <c r="I120" s="1974"/>
    </row>
    <row r="121" spans="1:9" ht="10.95" customHeight="1">
      <c r="A121" s="1446" t="s">
        <v>1043</v>
      </c>
      <c r="B121" s="1447">
        <v>46129</v>
      </c>
      <c r="C121" s="1447">
        <v>46159</v>
      </c>
      <c r="D121" s="1446" t="s">
        <v>2652</v>
      </c>
      <c r="E121" s="1975">
        <v>14789.94</v>
      </c>
      <c r="F121" s="1975">
        <v>0</v>
      </c>
      <c r="G121" s="1975">
        <v>0</v>
      </c>
      <c r="H121" s="2024"/>
      <c r="I121" s="1975">
        <v>14789.94</v>
      </c>
    </row>
    <row r="122" spans="1:9" ht="10.95" customHeight="1">
      <c r="A122" s="1450" t="s">
        <v>1045</v>
      </c>
      <c r="B122" s="1451">
        <v>46142</v>
      </c>
      <c r="C122" s="1451">
        <v>46142</v>
      </c>
      <c r="D122" s="1450" t="s">
        <v>2651</v>
      </c>
      <c r="E122" s="1980">
        <v>0</v>
      </c>
      <c r="F122" s="1980">
        <v>70233.600000000006</v>
      </c>
      <c r="G122" s="1980">
        <v>0</v>
      </c>
      <c r="H122" s="1949"/>
      <c r="I122" s="1980">
        <v>70233.600000000006</v>
      </c>
    </row>
    <row r="123" spans="1:9" ht="10.95" customHeight="1">
      <c r="A123" s="1454" t="s">
        <v>1850</v>
      </c>
      <c r="B123" s="1454"/>
      <c r="C123" s="1454"/>
      <c r="D123" s="1454"/>
      <c r="E123" s="1976">
        <f>SUM(E121:E122)</f>
        <v>14789.94</v>
      </c>
      <c r="F123" s="1976">
        <f>SUM(F121:F122)</f>
        <v>70233.600000000006</v>
      </c>
      <c r="G123" s="1976">
        <f>SUM(G121:G122)</f>
        <v>0</v>
      </c>
      <c r="H123" s="1948"/>
      <c r="I123" s="1976">
        <f>SUM(I121:I122)</f>
        <v>85023.540000000008</v>
      </c>
    </row>
    <row r="124" spans="1:9" ht="13.35" customHeight="1"/>
    <row r="125" spans="1:9" s="1444" customFormat="1" ht="12.15" customHeight="1">
      <c r="A125" s="1445" t="s">
        <v>2650</v>
      </c>
      <c r="B125" s="1445"/>
      <c r="C125" s="1445"/>
      <c r="D125" s="1445"/>
      <c r="E125" s="1974"/>
      <c r="F125" s="1974"/>
      <c r="G125" s="1974"/>
      <c r="H125" s="1974"/>
      <c r="I125" s="1974"/>
    </row>
    <row r="126" spans="1:9" ht="10.95" customHeight="1">
      <c r="A126" s="1446" t="s">
        <v>740</v>
      </c>
      <c r="B126" s="1447">
        <v>46119</v>
      </c>
      <c r="C126" s="1447">
        <v>46129</v>
      </c>
      <c r="D126" s="1446" t="s">
        <v>2649</v>
      </c>
      <c r="E126" s="1975">
        <v>0</v>
      </c>
      <c r="F126" s="1975">
        <v>9528.5</v>
      </c>
      <c r="G126" s="1975">
        <v>0</v>
      </c>
      <c r="H126" s="2024"/>
      <c r="I126" s="1975">
        <v>9528.5</v>
      </c>
    </row>
    <row r="127" spans="1:9" ht="10.95" customHeight="1">
      <c r="A127" s="1454" t="s">
        <v>2648</v>
      </c>
      <c r="B127" s="1454"/>
      <c r="C127" s="1454"/>
      <c r="D127" s="1454"/>
      <c r="E127" s="1976">
        <f>E126</f>
        <v>0</v>
      </c>
      <c r="F127" s="1976">
        <f>F126</f>
        <v>9528.5</v>
      </c>
      <c r="G127" s="1976">
        <f>G126</f>
        <v>0</v>
      </c>
      <c r="H127" s="1948"/>
      <c r="I127" s="1976">
        <f>I126</f>
        <v>9528.5</v>
      </c>
    </row>
    <row r="128" spans="1:9" ht="13.35" customHeight="1"/>
    <row r="129" spans="1:10" s="1444" customFormat="1" ht="12.15" customHeight="1">
      <c r="A129" s="1445" t="s">
        <v>2160</v>
      </c>
      <c r="B129" s="1445"/>
      <c r="C129" s="1445"/>
      <c r="D129" s="1445"/>
      <c r="E129" s="1974"/>
      <c r="F129" s="1974"/>
      <c r="G129" s="1974"/>
      <c r="H129" s="1974"/>
      <c r="I129" s="1974"/>
    </row>
    <row r="130" spans="1:10" ht="10.95" customHeight="1">
      <c r="A130" s="1446" t="s">
        <v>1631</v>
      </c>
      <c r="B130" s="1447">
        <v>46132</v>
      </c>
      <c r="C130" s="1447">
        <v>46162</v>
      </c>
      <c r="D130" s="1446" t="s">
        <v>2647</v>
      </c>
      <c r="E130" s="1975">
        <v>71154</v>
      </c>
      <c r="F130" s="1975">
        <v>0</v>
      </c>
      <c r="G130" s="1975">
        <v>0</v>
      </c>
      <c r="H130" s="2024"/>
      <c r="I130" s="1975">
        <v>71154</v>
      </c>
    </row>
    <row r="131" spans="1:10" ht="10.95" customHeight="1">
      <c r="A131" s="1454" t="s">
        <v>2164</v>
      </c>
      <c r="B131" s="1454"/>
      <c r="C131" s="1454"/>
      <c r="D131" s="1454"/>
      <c r="E131" s="1976">
        <f>E130</f>
        <v>71154</v>
      </c>
      <c r="F131" s="1976">
        <f>F130</f>
        <v>0</v>
      </c>
      <c r="G131" s="1976">
        <f>G130</f>
        <v>0</v>
      </c>
      <c r="H131" s="1948"/>
      <c r="I131" s="1976">
        <f>I130</f>
        <v>71154</v>
      </c>
    </row>
    <row r="132" spans="1:10" ht="13.35" customHeight="1"/>
    <row r="133" spans="1:10" s="1444" customFormat="1" ht="12.15" customHeight="1">
      <c r="A133" s="1445" t="s">
        <v>2031</v>
      </c>
      <c r="B133" s="1445"/>
      <c r="C133" s="1445"/>
      <c r="D133" s="1445"/>
      <c r="E133" s="1974"/>
      <c r="F133" s="1974"/>
      <c r="G133" s="1974"/>
      <c r="H133" s="1974"/>
      <c r="I133" s="1974"/>
    </row>
    <row r="134" spans="1:10" ht="10.95" customHeight="1">
      <c r="A134" s="1446" t="s">
        <v>2230</v>
      </c>
      <c r="B134" s="1447">
        <v>46122</v>
      </c>
      <c r="C134" s="1447">
        <v>46152</v>
      </c>
      <c r="D134" s="1446" t="s">
        <v>2646</v>
      </c>
      <c r="E134" s="1975">
        <v>101960</v>
      </c>
      <c r="F134" s="1975">
        <v>0</v>
      </c>
      <c r="G134" s="1975">
        <v>0</v>
      </c>
      <c r="H134" s="2024"/>
      <c r="I134" s="1975">
        <v>101960</v>
      </c>
    </row>
    <row r="135" spans="1:10" ht="10.95" customHeight="1">
      <c r="A135" s="1450" t="s">
        <v>746</v>
      </c>
      <c r="B135" s="1451">
        <v>46122</v>
      </c>
      <c r="C135" s="1451">
        <v>46152</v>
      </c>
      <c r="D135" s="1450" t="s">
        <v>2645</v>
      </c>
      <c r="E135" s="1980">
        <v>42480</v>
      </c>
      <c r="F135" s="1980">
        <v>0</v>
      </c>
      <c r="G135" s="1980">
        <v>0</v>
      </c>
      <c r="H135" s="1949"/>
      <c r="I135" s="1980">
        <v>42480</v>
      </c>
    </row>
    <row r="136" spans="1:10" ht="10.95" customHeight="1">
      <c r="A136" s="1450" t="s">
        <v>2228</v>
      </c>
      <c r="B136" s="1451">
        <v>46127</v>
      </c>
      <c r="C136" s="1451">
        <v>46157</v>
      </c>
      <c r="D136" s="1450" t="s">
        <v>2644</v>
      </c>
      <c r="E136" s="1980">
        <v>88269.5</v>
      </c>
      <c r="F136" s="1980">
        <v>0</v>
      </c>
      <c r="G136" s="1980">
        <v>0</v>
      </c>
      <c r="H136" s="1949"/>
      <c r="I136" s="1980">
        <v>88269.5</v>
      </c>
    </row>
    <row r="137" spans="1:10" ht="10.95" customHeight="1">
      <c r="A137" s="1454" t="s">
        <v>2032</v>
      </c>
      <c r="B137" s="1454"/>
      <c r="C137" s="1454"/>
      <c r="D137" s="1454"/>
      <c r="E137" s="1976">
        <f>SUM(E134:E136)</f>
        <v>232709.5</v>
      </c>
      <c r="F137" s="1976">
        <f>SUM(F134:F136)</f>
        <v>0</v>
      </c>
      <c r="G137" s="1976">
        <f>SUM(G134:G136)</f>
        <v>0</v>
      </c>
      <c r="H137" s="1948"/>
      <c r="I137" s="1976">
        <f>SUM(I134:I136)</f>
        <v>232709.5</v>
      </c>
    </row>
    <row r="138" spans="1:10" ht="13.35" customHeight="1"/>
    <row r="139" spans="1:10" s="1444" customFormat="1" ht="12.15" customHeight="1">
      <c r="A139" s="1445" t="s">
        <v>2033</v>
      </c>
      <c r="B139" s="1445"/>
      <c r="C139" s="1445"/>
      <c r="D139" s="1445"/>
      <c r="E139" s="1974"/>
      <c r="F139" s="1974"/>
      <c r="G139" s="1974"/>
      <c r="H139" s="1974"/>
      <c r="I139" s="1974"/>
    </row>
    <row r="140" spans="1:10" ht="10.95" customHeight="1">
      <c r="A140" s="1446" t="s">
        <v>935</v>
      </c>
      <c r="B140" s="1447">
        <v>46119</v>
      </c>
      <c r="C140" s="1447">
        <v>46133</v>
      </c>
      <c r="D140" s="1446" t="s">
        <v>1653</v>
      </c>
      <c r="E140" s="1975">
        <v>0</v>
      </c>
      <c r="F140" s="1975">
        <v>140420</v>
      </c>
      <c r="G140" s="1975">
        <v>0</v>
      </c>
      <c r="H140" s="2024"/>
      <c r="I140" s="1975">
        <v>140420</v>
      </c>
    </row>
    <row r="141" spans="1:10" ht="10.95" customHeight="1">
      <c r="A141" s="1454" t="s">
        <v>2037</v>
      </c>
      <c r="B141" s="1454"/>
      <c r="C141" s="1454"/>
      <c r="D141" s="1454"/>
      <c r="E141" s="1976">
        <f>E140</f>
        <v>0</v>
      </c>
      <c r="F141" s="1976">
        <f>F140</f>
        <v>140420</v>
      </c>
      <c r="G141" s="1976">
        <f>G140</f>
        <v>0</v>
      </c>
      <c r="H141" s="1948"/>
      <c r="I141" s="1976">
        <f>I140</f>
        <v>140420</v>
      </c>
      <c r="J141" s="1857"/>
    </row>
    <row r="142" spans="1:10" ht="13.35" customHeight="1"/>
    <row r="143" spans="1:10" s="1444" customFormat="1" ht="12.15" customHeight="1">
      <c r="A143" s="1445" t="s">
        <v>919</v>
      </c>
      <c r="B143" s="1445"/>
      <c r="C143" s="1445"/>
      <c r="D143" s="1445"/>
      <c r="E143" s="1974"/>
      <c r="F143" s="1974"/>
      <c r="G143" s="1974"/>
      <c r="H143" s="1974"/>
      <c r="I143" s="1974"/>
    </row>
    <row r="144" spans="1:10" ht="10.95" customHeight="1">
      <c r="A144" s="1446" t="s">
        <v>2570</v>
      </c>
      <c r="B144" s="1447">
        <v>46100</v>
      </c>
      <c r="C144" s="1447">
        <v>46112</v>
      </c>
      <c r="D144" s="1446" t="s">
        <v>2571</v>
      </c>
      <c r="E144" s="1975">
        <v>0</v>
      </c>
      <c r="F144" s="1975">
        <v>0</v>
      </c>
      <c r="G144" s="1975">
        <v>4755</v>
      </c>
      <c r="H144" s="2024"/>
      <c r="I144" s="1975">
        <v>4755</v>
      </c>
    </row>
    <row r="145" spans="1:9" ht="10.95" customHeight="1">
      <c r="A145" s="1450" t="s">
        <v>2572</v>
      </c>
      <c r="B145" s="1451">
        <v>46112</v>
      </c>
      <c r="C145" s="1451">
        <v>46112</v>
      </c>
      <c r="D145" s="1450" t="s">
        <v>2573</v>
      </c>
      <c r="E145" s="1980">
        <v>0</v>
      </c>
      <c r="F145" s="1980">
        <v>0</v>
      </c>
      <c r="G145" s="1980">
        <v>111300.56</v>
      </c>
      <c r="H145" s="1949"/>
      <c r="I145" s="1980">
        <v>111300.56</v>
      </c>
    </row>
    <row r="146" spans="1:9" ht="10.95" customHeight="1">
      <c r="A146" s="1454" t="s">
        <v>1864</v>
      </c>
      <c r="B146" s="1454"/>
      <c r="C146" s="1454"/>
      <c r="D146" s="1454"/>
      <c r="E146" s="1976">
        <f>SUM(E144:E145)</f>
        <v>0</v>
      </c>
      <c r="F146" s="1976">
        <f>SUM(F144:F145)</f>
        <v>0</v>
      </c>
      <c r="G146" s="1976">
        <f>SUM(G144:G145)</f>
        <v>116055.56</v>
      </c>
      <c r="H146" s="1948"/>
      <c r="I146" s="1976">
        <f>SUM(I144:I145)</f>
        <v>116055.56</v>
      </c>
    </row>
    <row r="147" spans="1:9" ht="13.35" customHeight="1"/>
    <row r="148" spans="1:9" ht="10.95" customHeight="1">
      <c r="A148" s="1461" t="s">
        <v>164</v>
      </c>
      <c r="B148" s="1461"/>
      <c r="C148" s="1461"/>
      <c r="D148" s="1461"/>
      <c r="E148" s="1981">
        <f>SUM(E27,E102,E106,E110,E114,E118,E123,E127,E131,E137,E141,E146)</f>
        <v>13032426.970000001</v>
      </c>
      <c r="F148" s="1981">
        <f>SUM(F27,F102,F106,F110,F114,F118,F123,F127,F131,F137,F141,F146)</f>
        <v>4732653.21</v>
      </c>
      <c r="G148" s="1981">
        <f>SUM(G27,G102,G106,G110,G114,G118,G123,G127,G131,G137,G141,G146)</f>
        <v>1235881.2</v>
      </c>
      <c r="H148" s="2026"/>
      <c r="I148" s="1981">
        <f>SUM(I27,I102,I106,I110,I114,I118,I123,I127,I131,I137,I141,I146)</f>
        <v>19000961.380000003</v>
      </c>
    </row>
    <row r="149" spans="1:9" ht="13.35" customHeight="1"/>
  </sheetData>
  <pageMargins left="0.7" right="0.7" top="0.75" bottom="0.75" header="0.3" footer="0.3"/>
  <pageSetup paperSize="9" fitToWidth="0" fitToHeight="0" orientation="portrait" horizontalDpi="0" verticalDpi="0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056C1-7D75-4D7E-9B64-276D925DAF1A}">
  <sheetPr>
    <pageSetUpPr fitToPage="1"/>
  </sheetPr>
  <dimension ref="A1:E15"/>
  <sheetViews>
    <sheetView showGridLines="0" zoomScaleNormal="100" workbookViewId="0">
      <selection activeCell="G30" sqref="G30"/>
    </sheetView>
  </sheetViews>
  <sheetFormatPr baseColWidth="10" defaultColWidth="8" defaultRowHeight="11.4"/>
  <cols>
    <col min="1" max="1" width="20.6640625" style="408" customWidth="1"/>
    <col min="2" max="2" width="14.109375" style="408" bestFit="1" customWidth="1"/>
    <col min="3" max="3" width="52.33203125" style="528" bestFit="1" customWidth="1"/>
    <col min="4" max="4" width="32.33203125" style="408" customWidth="1"/>
    <col min="5" max="5" width="10" style="408" bestFit="1" customWidth="1"/>
    <col min="6" max="7" width="9.33203125" style="408" bestFit="1" customWidth="1"/>
    <col min="8" max="16384" width="8" style="408"/>
  </cols>
  <sheetData>
    <row r="1" spans="1:5" s="405" customFormat="1" ht="17.399999999999999">
      <c r="A1" s="2173" t="s">
        <v>1865</v>
      </c>
      <c r="B1" s="2173"/>
      <c r="C1" s="2173"/>
      <c r="D1" s="2173"/>
      <c r="E1" s="2173"/>
    </row>
    <row r="2" spans="1:5" s="407" customFormat="1" ht="15">
      <c r="A2" s="2151" t="s">
        <v>236</v>
      </c>
      <c r="B2" s="2151"/>
      <c r="C2" s="2151"/>
      <c r="D2" s="2152"/>
      <c r="E2" s="2151"/>
    </row>
    <row r="4" spans="1:5" s="412" customFormat="1" ht="13.2">
      <c r="A4" s="410" t="s">
        <v>1485</v>
      </c>
      <c r="B4" s="410" t="s">
        <v>1867</v>
      </c>
      <c r="C4" s="529" t="s">
        <v>817</v>
      </c>
      <c r="D4" s="410" t="s">
        <v>691</v>
      </c>
      <c r="E4" s="411" t="s">
        <v>1869</v>
      </c>
    </row>
    <row r="6" spans="1:5" ht="13.2">
      <c r="A6" s="1988" t="s">
        <v>2043</v>
      </c>
      <c r="B6" s="409"/>
      <c r="C6" s="530"/>
      <c r="D6" s="409"/>
      <c r="E6" s="409"/>
    </row>
    <row r="7" spans="1:5">
      <c r="A7" s="430">
        <v>45731</v>
      </c>
      <c r="B7" s="414" t="s">
        <v>1870</v>
      </c>
      <c r="C7" s="414" t="s">
        <v>2044</v>
      </c>
      <c r="D7" s="414" t="s">
        <v>1318</v>
      </c>
      <c r="E7" s="415">
        <v>826</v>
      </c>
    </row>
    <row r="8" spans="1:5" ht="12">
      <c r="A8" s="416" t="s">
        <v>2049</v>
      </c>
      <c r="B8" s="416"/>
      <c r="C8" s="532"/>
      <c r="D8" s="416"/>
      <c r="E8" s="417">
        <f>SUM(E7:E7)</f>
        <v>826</v>
      </c>
    </row>
    <row r="10" spans="1:5" ht="13.2">
      <c r="A10" s="1988" t="s">
        <v>860</v>
      </c>
      <c r="B10" s="409"/>
      <c r="C10" s="530"/>
      <c r="D10" s="409"/>
      <c r="E10" s="409"/>
    </row>
    <row r="11" spans="1:5">
      <c r="A11" s="430">
        <v>46042</v>
      </c>
      <c r="B11" s="414" t="s">
        <v>1870</v>
      </c>
      <c r="C11" s="414" t="s">
        <v>2312</v>
      </c>
      <c r="D11" s="414" t="s">
        <v>2260</v>
      </c>
      <c r="E11" s="415">
        <v>8500</v>
      </c>
    </row>
    <row r="12" spans="1:5">
      <c r="A12" s="430">
        <v>46073</v>
      </c>
      <c r="B12" s="414" t="s">
        <v>1870</v>
      </c>
      <c r="C12" s="414" t="s">
        <v>2312</v>
      </c>
      <c r="D12" s="414" t="s">
        <v>2436</v>
      </c>
      <c r="E12" s="415">
        <v>47500</v>
      </c>
    </row>
    <row r="13" spans="1:5" ht="12">
      <c r="A13" s="416" t="s">
        <v>1890</v>
      </c>
      <c r="B13" s="416"/>
      <c r="C13" s="532"/>
      <c r="D13" s="416"/>
      <c r="E13" s="417">
        <f>SUM(E11:E12)</f>
        <v>56000</v>
      </c>
    </row>
    <row r="14" spans="1:5" ht="12">
      <c r="A14" s="413"/>
      <c r="B14" s="413"/>
      <c r="C14" s="1567"/>
      <c r="D14" s="413"/>
      <c r="E14" s="428"/>
    </row>
    <row r="15" spans="1:5" ht="12">
      <c r="A15" s="419" t="s">
        <v>164</v>
      </c>
      <c r="B15" s="419"/>
      <c r="C15" s="534"/>
      <c r="D15" s="419"/>
      <c r="E15" s="420">
        <f>+E8+E13</f>
        <v>56826</v>
      </c>
    </row>
  </sheetData>
  <mergeCells count="2">
    <mergeCell ref="A1:E1"/>
    <mergeCell ref="A2:E2"/>
  </mergeCells>
  <pageMargins left="0.7" right="0.7" top="0.75" bottom="0.75" header="0.3" footer="0.3"/>
  <pageSetup scale="75" orientation="portrait" r:id="rId1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83D94-9A93-45ED-893C-06CB2FCDCF6A}">
  <dimension ref="A1:F21"/>
  <sheetViews>
    <sheetView workbookViewId="0">
      <selection sqref="A1:E5"/>
    </sheetView>
  </sheetViews>
  <sheetFormatPr baseColWidth="10" defaultColWidth="11.44140625" defaultRowHeight="14.4"/>
  <cols>
    <col min="1" max="1" width="38.6640625" bestFit="1" customWidth="1"/>
    <col min="2" max="2" width="19.109375" style="730" hidden="1" customWidth="1"/>
    <col min="3" max="3" width="14.33203125" style="730" hidden="1" customWidth="1"/>
    <col min="4" max="4" width="16.44140625" style="730" customWidth="1"/>
    <col min="5" max="5" width="11.44140625" bestFit="1" customWidth="1"/>
    <col min="6" max="6" width="10" bestFit="1" customWidth="1"/>
    <col min="7" max="7" width="13.109375" bestFit="1" customWidth="1"/>
  </cols>
  <sheetData>
    <row r="1" spans="1:6" s="546" customFormat="1" ht="29.4" customHeight="1">
      <c r="A1" s="2035" t="s">
        <v>2313</v>
      </c>
      <c r="B1" s="2033" t="s">
        <v>849</v>
      </c>
      <c r="C1" s="2033" t="s">
        <v>850</v>
      </c>
      <c r="D1" s="2033" t="s">
        <v>851</v>
      </c>
    </row>
    <row r="2" spans="1:6" ht="15" hidden="1">
      <c r="A2" s="1651" t="s">
        <v>2314</v>
      </c>
      <c r="B2" s="731">
        <v>106933000</v>
      </c>
      <c r="C2" s="731">
        <v>264445080.16</v>
      </c>
      <c r="D2" s="731">
        <v>264445081.16</v>
      </c>
      <c r="E2" s="732"/>
      <c r="F2" s="732"/>
    </row>
    <row r="3" spans="1:6" ht="15" hidden="1">
      <c r="A3" s="1650" t="s">
        <v>2315</v>
      </c>
      <c r="B3" s="730">
        <v>25000000</v>
      </c>
      <c r="C3" s="730">
        <v>24431389.440000001</v>
      </c>
      <c r="D3" s="730">
        <v>24431389.440000001</v>
      </c>
      <c r="E3" s="732"/>
      <c r="F3" s="732"/>
    </row>
    <row r="4" spans="1:6" ht="15">
      <c r="A4" s="1699" t="s">
        <v>2316</v>
      </c>
      <c r="B4" s="1700">
        <v>469787395.50999999</v>
      </c>
      <c r="C4" s="2034">
        <v>56213101.659999996</v>
      </c>
      <c r="D4" s="2034">
        <v>41071110.189999998</v>
      </c>
      <c r="E4" s="2183">
        <f>+D4+D5</f>
        <v>91807943.359999999</v>
      </c>
      <c r="F4" s="732"/>
    </row>
    <row r="5" spans="1:6" ht="15">
      <c r="A5" s="1699" t="s">
        <v>2317</v>
      </c>
      <c r="B5" s="1700">
        <v>1517615075.75</v>
      </c>
      <c r="C5" s="2034">
        <v>137066624.18000001</v>
      </c>
      <c r="D5" s="2034">
        <v>50736833.170000002</v>
      </c>
      <c r="E5" s="2183"/>
      <c r="F5" s="732"/>
    </row>
    <row r="6" spans="1:6" ht="15">
      <c r="A6" s="1650" t="s">
        <v>2318</v>
      </c>
      <c r="B6" s="730">
        <v>198740247.96000001</v>
      </c>
      <c r="C6" s="732">
        <v>47077468.759999998</v>
      </c>
      <c r="D6" s="732">
        <v>35577230.969999999</v>
      </c>
      <c r="E6" s="732"/>
      <c r="F6" s="732"/>
    </row>
    <row r="7" spans="1:6" ht="15">
      <c r="A7" s="1650" t="s">
        <v>2319</v>
      </c>
      <c r="B7" s="730">
        <v>47896399.740000002</v>
      </c>
      <c r="C7" s="732">
        <v>26336863.059999999</v>
      </c>
      <c r="D7" s="732">
        <v>6837691.7300000004</v>
      </c>
      <c r="E7" s="732"/>
      <c r="F7" s="732"/>
    </row>
    <row r="8" spans="1:6" ht="15">
      <c r="A8" s="1650" t="s">
        <v>2320</v>
      </c>
      <c r="B8" s="730">
        <v>39748049.590000004</v>
      </c>
      <c r="C8" s="730">
        <v>0</v>
      </c>
      <c r="D8" s="730">
        <v>0</v>
      </c>
      <c r="E8" s="732"/>
      <c r="F8" s="732"/>
    </row>
    <row r="9" spans="1:6" ht="15">
      <c r="A9" s="1650" t="s">
        <v>2321</v>
      </c>
      <c r="B9" s="730">
        <v>17866748.260000002</v>
      </c>
      <c r="C9" s="730">
        <v>8618393.0999999996</v>
      </c>
      <c r="D9" s="732">
        <v>4055714.4</v>
      </c>
      <c r="E9" s="732"/>
      <c r="F9" s="732"/>
    </row>
    <row r="10" spans="1:6" ht="15">
      <c r="A10" s="1651" t="s">
        <v>2322</v>
      </c>
      <c r="B10" s="731">
        <f>SUM(B3:B9)</f>
        <v>2316653916.8099999</v>
      </c>
      <c r="C10" s="731">
        <f t="shared" ref="C10" si="0">SUM(C3:C9)</f>
        <v>299743840.19999999</v>
      </c>
      <c r="D10" s="731">
        <f>SUM(D3:D9)</f>
        <v>162709969.89999998</v>
      </c>
      <c r="E10" s="732"/>
      <c r="F10" s="732"/>
    </row>
    <row r="11" spans="1:6" ht="15">
      <c r="A11" s="1650" t="s">
        <v>2323</v>
      </c>
      <c r="B11" s="730">
        <v>158992198.37</v>
      </c>
      <c r="C11" s="732">
        <v>39101175.969999999</v>
      </c>
      <c r="D11" s="732">
        <v>23234233.989999998</v>
      </c>
      <c r="E11" s="732"/>
      <c r="F11" s="732"/>
    </row>
    <row r="12" spans="1:6" ht="15">
      <c r="A12" s="1650" t="s">
        <v>2324</v>
      </c>
      <c r="B12" s="730">
        <v>329908811.24000001</v>
      </c>
      <c r="C12" s="732">
        <v>122048063.45999999</v>
      </c>
      <c r="D12" s="732">
        <v>100161803.56999999</v>
      </c>
      <c r="E12" s="732"/>
      <c r="F12" s="732"/>
    </row>
    <row r="13" spans="1:6" ht="15">
      <c r="A13" s="1650" t="s">
        <v>2325</v>
      </c>
      <c r="B13" s="730">
        <v>80207886.760000005</v>
      </c>
      <c r="C13" s="732">
        <v>21447732.739999998</v>
      </c>
      <c r="D13" s="732">
        <v>5143751.0999999996</v>
      </c>
      <c r="E13" s="732"/>
      <c r="F13" s="732"/>
    </row>
    <row r="14" spans="1:6" ht="15">
      <c r="A14" s="1650" t="s">
        <v>2326</v>
      </c>
      <c r="B14" s="730">
        <v>69559086.769999996</v>
      </c>
      <c r="C14" s="732">
        <v>32305916.890000001</v>
      </c>
      <c r="D14" s="732">
        <v>30024185.109999999</v>
      </c>
      <c r="E14" s="732"/>
      <c r="F14" s="732"/>
    </row>
    <row r="15" spans="1:6" ht="15">
      <c r="A15" s="1650" t="s">
        <v>2327</v>
      </c>
      <c r="B15" s="730">
        <v>19874021.48</v>
      </c>
      <c r="C15" s="730">
        <v>0</v>
      </c>
      <c r="D15" s="730">
        <v>0</v>
      </c>
      <c r="E15" s="732"/>
      <c r="F15" s="732"/>
    </row>
    <row r="16" spans="1:6" ht="15">
      <c r="A16" s="1651" t="s">
        <v>2328</v>
      </c>
      <c r="B16" s="731">
        <f>SUM(B11:B15)</f>
        <v>658542004.62</v>
      </c>
      <c r="C16" s="731">
        <f t="shared" ref="C16:D16" si="1">SUM(C11:C15)</f>
        <v>214902889.06</v>
      </c>
      <c r="D16" s="731">
        <f t="shared" si="1"/>
        <v>158563973.76999998</v>
      </c>
      <c r="E16" s="732"/>
      <c r="F16" s="732"/>
    </row>
    <row r="17" spans="1:6" ht="15">
      <c r="A17" s="1650" t="s">
        <v>2329</v>
      </c>
      <c r="B17" s="730">
        <v>30500000</v>
      </c>
      <c r="C17" s="730">
        <v>27110367.699999999</v>
      </c>
      <c r="D17" s="732">
        <v>22844645.809999999</v>
      </c>
      <c r="E17" s="732">
        <f>+'Costos a Mar-26'!R47</f>
        <v>21470724.399999995</v>
      </c>
      <c r="F17" s="730">
        <f>+D17-E17</f>
        <v>1373921.4100000039</v>
      </c>
    </row>
    <row r="18" spans="1:6" ht="15">
      <c r="A18" s="1650" t="s">
        <v>2330</v>
      </c>
      <c r="B18" s="730">
        <v>229165392.31</v>
      </c>
      <c r="C18" s="732">
        <v>18617144.329999998</v>
      </c>
      <c r="D18" s="732">
        <v>12878255.439999999</v>
      </c>
      <c r="E18" s="732"/>
      <c r="F18" s="732"/>
    </row>
    <row r="19" spans="1:6" ht="15">
      <c r="A19" s="1650" t="s">
        <v>2331</v>
      </c>
      <c r="B19" s="730">
        <v>19874021.48</v>
      </c>
      <c r="C19" s="730">
        <v>0</v>
      </c>
      <c r="D19" s="730">
        <v>0</v>
      </c>
      <c r="E19" s="732"/>
      <c r="F19" s="732"/>
    </row>
    <row r="20" spans="1:6" ht="15">
      <c r="A20" s="1651" t="s">
        <v>2332</v>
      </c>
      <c r="B20" s="731">
        <f>SUM(B17:B19)</f>
        <v>279539413.79000002</v>
      </c>
      <c r="C20" s="731">
        <f t="shared" ref="C20:D20" si="2">SUM(C17:C19)</f>
        <v>45727512.030000001</v>
      </c>
      <c r="D20" s="731">
        <f t="shared" si="2"/>
        <v>35722901.25</v>
      </c>
      <c r="E20" s="732"/>
      <c r="F20" s="732"/>
    </row>
    <row r="21" spans="1:6" ht="16.8">
      <c r="A21" s="1654" t="s">
        <v>2333</v>
      </c>
      <c r="B21" s="1655">
        <f>+B10+B16+B20+B2</f>
        <v>3361668335.2199998</v>
      </c>
      <c r="C21" s="1655">
        <f>+C10+C16+C20+C2</f>
        <v>824819321.44999993</v>
      </c>
      <c r="D21" s="1655">
        <f>+D10+D16+D20+D2</f>
        <v>621441926.07999992</v>
      </c>
      <c r="E21" s="732"/>
      <c r="F21" s="732"/>
    </row>
  </sheetData>
  <mergeCells count="1">
    <mergeCell ref="E4:E5"/>
  </mergeCells>
  <pageMargins left="0.7" right="0.7" top="0.75" bottom="0.75" header="0.3" footer="0.3"/>
  <pageSetup paperSize="9" orientation="portrait" r:id="rId1"/>
  <ignoredErrors>
    <ignoredError sqref="B10:D10" formulaRange="1"/>
  </ignoredErrors>
  <drawing r:id="rId2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C5D75-CC57-43DB-BC9E-0DA7D74F13B7}">
  <sheetPr>
    <pageSetUpPr autoPageBreaks="0" fitToPage="1"/>
  </sheetPr>
  <dimension ref="B1:AB36"/>
  <sheetViews>
    <sheetView showGridLines="0" zoomScale="120" zoomScaleNormal="120" zoomScalePageLayoutView="125" workbookViewId="0">
      <selection activeCell="I30" sqref="I30"/>
    </sheetView>
  </sheetViews>
  <sheetFormatPr baseColWidth="10" defaultColWidth="2.6640625" defaultRowHeight="13.8"/>
  <cols>
    <col min="1" max="1" width="1.33203125" style="1173" customWidth="1"/>
    <col min="2" max="2" width="22.6640625" style="1173" customWidth="1"/>
    <col min="3" max="3" width="15" style="1177" bestFit="1" customWidth="1"/>
    <col min="4" max="4" width="15.5546875" style="1173" customWidth="1"/>
    <col min="5" max="5" width="15.33203125" style="1173" customWidth="1"/>
    <col min="6" max="7" width="13.6640625" style="1173" customWidth="1"/>
    <col min="8" max="8" width="13.6640625" style="1173" hidden="1" customWidth="1"/>
    <col min="9" max="9" width="12.6640625" style="1173" customWidth="1"/>
    <col min="10" max="10" width="12.5546875" style="1173" customWidth="1"/>
    <col min="11" max="11" width="10.5546875" style="1173" hidden="1" customWidth="1"/>
    <col min="12" max="12" width="11.33203125" style="1173" hidden="1" customWidth="1"/>
    <col min="13" max="13" width="10.5546875" style="1173" hidden="1" customWidth="1"/>
    <col min="14" max="15" width="11.44140625" style="1173" hidden="1" customWidth="1"/>
    <col min="16" max="17" width="12.44140625" style="1173" hidden="1" customWidth="1"/>
    <col min="18" max="18" width="12.5546875" style="1173" hidden="1" customWidth="1"/>
    <col min="19" max="24" width="12.44140625" style="1173" hidden="1" customWidth="1"/>
    <col min="25" max="27" width="12.44140625" style="1173" customWidth="1"/>
    <col min="28" max="28" width="13.88671875" style="1173" hidden="1" customWidth="1"/>
    <col min="29" max="16384" width="2.6640625" style="1173"/>
  </cols>
  <sheetData>
    <row r="1" spans="2:28" ht="23.4">
      <c r="B1" s="1175" t="s">
        <v>1891</v>
      </c>
      <c r="C1" s="1176"/>
      <c r="F1" s="1257" t="s">
        <v>1892</v>
      </c>
    </row>
    <row r="2" spans="2:28" ht="9.6" customHeight="1">
      <c r="B2" s="1179"/>
      <c r="C2" s="1180"/>
      <c r="F2" s="1181"/>
      <c r="G2" s="1181"/>
      <c r="H2" s="1181"/>
    </row>
    <row r="3" spans="2:28" ht="28.8">
      <c r="B3" s="2153" t="s">
        <v>1893</v>
      </c>
      <c r="C3" s="2153"/>
      <c r="D3" s="1970" t="s">
        <v>2733</v>
      </c>
      <c r="E3" s="1971"/>
    </row>
    <row r="4" spans="2:28" s="1183" customFormat="1" ht="12">
      <c r="B4" s="1184" t="s">
        <v>29</v>
      </c>
      <c r="C4" s="1184" t="s">
        <v>1895</v>
      </c>
      <c r="D4" s="1184" t="s">
        <v>1896</v>
      </c>
      <c r="E4" s="1401"/>
      <c r="F4" s="1401"/>
      <c r="G4" s="1184"/>
      <c r="H4" s="1184"/>
      <c r="I4" s="1185"/>
      <c r="J4" s="1185"/>
      <c r="K4" s="1185" t="s">
        <v>1897</v>
      </c>
      <c r="L4" s="1185">
        <v>45658</v>
      </c>
      <c r="M4" s="1185">
        <v>45689</v>
      </c>
      <c r="N4" s="1185">
        <v>45717</v>
      </c>
      <c r="O4" s="1185">
        <v>45748</v>
      </c>
      <c r="P4" s="1185">
        <v>45778</v>
      </c>
      <c r="Q4" s="1185">
        <v>45809</v>
      </c>
      <c r="R4" s="1185">
        <v>45839</v>
      </c>
      <c r="S4" s="1185">
        <v>45870</v>
      </c>
      <c r="T4" s="1185">
        <v>45901</v>
      </c>
      <c r="U4" s="1185">
        <v>45931</v>
      </c>
      <c r="V4" s="1185">
        <v>45962</v>
      </c>
      <c r="W4" s="1185">
        <v>45992</v>
      </c>
      <c r="X4" s="1185">
        <v>46023</v>
      </c>
      <c r="Y4" s="1185">
        <v>46054</v>
      </c>
      <c r="Z4" s="1185">
        <v>46082</v>
      </c>
      <c r="AA4" s="1185">
        <v>46113</v>
      </c>
      <c r="AB4" s="1184" t="s">
        <v>1898</v>
      </c>
    </row>
    <row r="5" spans="2:28" s="1183" customFormat="1" ht="12.6" thickBot="1">
      <c r="B5" s="1261" t="s">
        <v>1899</v>
      </c>
      <c r="C5" s="1258">
        <v>462</v>
      </c>
      <c r="D5" s="1402">
        <f>SUM(K5:T5)</f>
        <v>76</v>
      </c>
      <c r="E5" s="1264"/>
      <c r="F5" s="1259"/>
      <c r="G5" s="1259"/>
      <c r="H5" s="1259"/>
      <c r="Q5" s="1183">
        <v>3</v>
      </c>
      <c r="R5" s="1183">
        <v>29</v>
      </c>
      <c r="S5" s="1183">
        <v>20</v>
      </c>
      <c r="T5" s="1260">
        <v>24</v>
      </c>
      <c r="U5" s="1260"/>
      <c r="V5" s="1260"/>
      <c r="W5" s="1260"/>
      <c r="X5" s="1260"/>
      <c r="Y5" s="1260"/>
      <c r="Z5" s="1260"/>
      <c r="AA5" s="1260"/>
      <c r="AB5" s="1384">
        <f>+C5-D5</f>
        <v>386</v>
      </c>
    </row>
    <row r="6" spans="2:28" s="1183" customFormat="1" ht="12.6" thickBot="1">
      <c r="B6" s="1266" t="s">
        <v>1900</v>
      </c>
      <c r="C6" s="1373">
        <f>+'ADI 09-25'!D50</f>
        <v>68068862.399999991</v>
      </c>
      <c r="D6" s="1403">
        <f>SUM(K6:T6)</f>
        <v>13885050</v>
      </c>
      <c r="E6" s="1373"/>
      <c r="F6" s="1186"/>
      <c r="G6" s="1186"/>
      <c r="H6" s="1186"/>
      <c r="I6" s="1187"/>
      <c r="J6" s="1362"/>
      <c r="K6" s="1405"/>
      <c r="L6" s="1405">
        <v>138050</v>
      </c>
      <c r="M6" s="1405"/>
      <c r="N6" s="1405"/>
      <c r="O6" s="1405">
        <v>403450</v>
      </c>
      <c r="P6" s="1405">
        <v>3464300</v>
      </c>
      <c r="Q6" s="1405">
        <v>1453610</v>
      </c>
      <c r="R6" s="1405">
        <v>3115440</v>
      </c>
      <c r="S6" s="1405">
        <v>2848600</v>
      </c>
      <c r="T6" s="1406">
        <v>2461600</v>
      </c>
      <c r="U6" s="1364"/>
      <c r="V6" s="1364"/>
      <c r="W6" s="1364"/>
      <c r="X6" s="1364"/>
      <c r="Y6" s="1364"/>
      <c r="Z6" s="1364"/>
      <c r="AA6" s="1364"/>
      <c r="AB6" s="1364">
        <f>+C6-D6</f>
        <v>54183812.399999991</v>
      </c>
    </row>
    <row r="7" spans="2:28" s="1183" customFormat="1" ht="12.6" thickBot="1">
      <c r="B7" s="1407" t="s">
        <v>1901</v>
      </c>
      <c r="C7" s="1373"/>
      <c r="D7" s="1403"/>
      <c r="E7" s="1373"/>
      <c r="F7" s="1186"/>
      <c r="G7" s="1186"/>
      <c r="H7" s="1186"/>
      <c r="I7" s="1187"/>
      <c r="J7" s="1362"/>
      <c r="K7" s="1405"/>
      <c r="L7" s="1405"/>
      <c r="M7" s="1405"/>
      <c r="N7" s="1405"/>
      <c r="O7" s="1405"/>
      <c r="P7" s="1405"/>
      <c r="Q7" s="1405"/>
      <c r="R7" s="1405"/>
      <c r="S7" s="1405"/>
      <c r="T7" s="1406"/>
      <c r="U7" s="1364"/>
      <c r="V7" s="1364"/>
      <c r="W7" s="1364"/>
      <c r="X7" s="1364"/>
      <c r="Y7" s="1364"/>
      <c r="Z7" s="1364"/>
      <c r="AA7" s="1364"/>
      <c r="AB7" s="1364"/>
    </row>
    <row r="8" spans="2:28" s="1183" customFormat="1" ht="12.6" thickBot="1">
      <c r="B8" s="1262" t="s">
        <v>1902</v>
      </c>
      <c r="C8" s="1365">
        <f>+'ADI 09-25'!C50</f>
        <v>4152200606.3999996</v>
      </c>
      <c r="D8" s="1404">
        <f>SUM(K8:T8)</f>
        <v>76880590.930000007</v>
      </c>
      <c r="E8" s="1365"/>
      <c r="F8" s="1263">
        <f>+D8</f>
        <v>76880590.930000007</v>
      </c>
      <c r="G8" s="1263"/>
      <c r="H8" s="1263"/>
      <c r="I8" s="1265"/>
      <c r="J8" s="1363"/>
      <c r="K8" s="1374">
        <v>597566.75</v>
      </c>
      <c r="L8" s="1374">
        <v>123420.98</v>
      </c>
      <c r="M8" s="1374">
        <v>-123572.38</v>
      </c>
      <c r="N8" s="1374">
        <v>61261.19</v>
      </c>
      <c r="O8" s="1374">
        <v>3006924.23</v>
      </c>
      <c r="P8" s="1374">
        <v>6287923.8600000003</v>
      </c>
      <c r="Q8" s="1374">
        <v>12848147.640000001</v>
      </c>
      <c r="R8" s="1374">
        <v>18376055.530000001</v>
      </c>
      <c r="S8" s="1374">
        <v>16465115.92</v>
      </c>
      <c r="T8" s="1375">
        <v>19237747.210000001</v>
      </c>
      <c r="U8" s="1366"/>
      <c r="V8" s="1366"/>
      <c r="W8" s="1366"/>
      <c r="X8" s="1366"/>
      <c r="Y8" s="1366"/>
      <c r="Z8" s="1366"/>
      <c r="AA8" s="1366"/>
      <c r="AB8" s="1366">
        <f>+C8-D8</f>
        <v>4075320015.4699998</v>
      </c>
    </row>
    <row r="9" spans="2:28" s="1183" customFormat="1" ht="15" customHeight="1" thickBot="1">
      <c r="B9" s="1262" t="s">
        <v>1903</v>
      </c>
      <c r="C9" s="1225"/>
      <c r="D9" s="1226"/>
      <c r="E9" s="1226"/>
      <c r="F9" s="1226"/>
      <c r="G9" s="1226"/>
      <c r="H9" s="1226"/>
      <c r="K9" s="1189"/>
      <c r="L9" s="1189"/>
      <c r="M9" s="1189"/>
      <c r="N9" s="1189"/>
      <c r="O9" s="1189"/>
      <c r="P9" s="1189"/>
      <c r="Q9" s="1189"/>
      <c r="R9" s="1189"/>
      <c r="S9" s="1189"/>
      <c r="T9" s="1189"/>
      <c r="U9" s="1189"/>
      <c r="V9" s="1189"/>
      <c r="W9" s="1189"/>
      <c r="X9" s="1189"/>
      <c r="Y9" s="1189"/>
      <c r="Z9" s="1189"/>
      <c r="AA9" s="1189"/>
      <c r="AB9" s="1189"/>
    </row>
    <row r="10" spans="2:28" s="1183" customFormat="1" ht="12" customHeight="1">
      <c r="C10" s="1188"/>
      <c r="D10" s="2155" t="s">
        <v>2732</v>
      </c>
      <c r="E10" s="2156"/>
      <c r="F10" s="2156"/>
      <c r="G10" s="2156"/>
      <c r="H10" s="2156"/>
      <c r="I10" s="2156"/>
      <c r="J10" s="2157"/>
      <c r="K10" s="1189"/>
      <c r="L10" s="1189"/>
      <c r="M10" s="1189"/>
      <c r="N10" s="1189"/>
      <c r="O10" s="1189"/>
      <c r="P10" s="1189"/>
      <c r="Q10" s="1189"/>
      <c r="R10" s="1189"/>
      <c r="S10" s="1189"/>
      <c r="T10" s="1189"/>
      <c r="U10" s="1189"/>
      <c r="V10" s="1189"/>
      <c r="W10" s="1189"/>
      <c r="X10" s="1189"/>
      <c r="Y10" s="1189"/>
      <c r="Z10" s="1189"/>
      <c r="AA10" s="1189"/>
      <c r="AB10" s="1189"/>
    </row>
    <row r="11" spans="2:28" s="1183" customFormat="1" ht="24">
      <c r="B11" s="2154" t="s">
        <v>1905</v>
      </c>
      <c r="C11" s="2154"/>
      <c r="D11" s="1222" t="s">
        <v>2734</v>
      </c>
      <c r="E11" s="1222" t="s">
        <v>1907</v>
      </c>
      <c r="F11" s="1222" t="s">
        <v>1908</v>
      </c>
      <c r="G11" s="1223" t="s">
        <v>1909</v>
      </c>
      <c r="H11" s="1223" t="s">
        <v>2336</v>
      </c>
      <c r="I11" s="1223" t="s">
        <v>1910</v>
      </c>
      <c r="J11" s="1223" t="s">
        <v>1911</v>
      </c>
      <c r="K11" s="1190"/>
      <c r="P11" s="1191"/>
    </row>
    <row r="12" spans="2:28" s="1183" customFormat="1" ht="15.6">
      <c r="B12" s="1182"/>
      <c r="C12" s="1182"/>
      <c r="D12" s="1224" t="s">
        <v>1912</v>
      </c>
      <c r="E12" s="1224" t="s">
        <v>1913</v>
      </c>
      <c r="F12" s="1224" t="s">
        <v>1914</v>
      </c>
      <c r="G12" s="1224" t="s">
        <v>1915</v>
      </c>
      <c r="H12" s="1224" t="s">
        <v>2337</v>
      </c>
      <c r="I12" s="1224" t="s">
        <v>1916</v>
      </c>
      <c r="J12" s="1224" t="s">
        <v>1917</v>
      </c>
      <c r="K12" s="1190" t="s">
        <v>1918</v>
      </c>
      <c r="P12" s="1191"/>
      <c r="U12" s="1183" t="s">
        <v>1919</v>
      </c>
    </row>
    <row r="13" spans="2:28" s="1192" customFormat="1" ht="12">
      <c r="B13" s="1193" t="s">
        <v>29</v>
      </c>
      <c r="C13" s="1193" t="s">
        <v>1895</v>
      </c>
      <c r="D13" s="1193"/>
      <c r="E13" s="1193"/>
      <c r="F13" s="1193"/>
      <c r="G13" s="1193"/>
      <c r="H13" s="1193"/>
      <c r="I13" s="1193"/>
      <c r="J13" s="1194"/>
      <c r="K13" s="1194" t="s">
        <v>1897</v>
      </c>
      <c r="L13" s="1194">
        <v>45658</v>
      </c>
      <c r="M13" s="1194">
        <v>45689</v>
      </c>
      <c r="N13" s="1194">
        <v>45717</v>
      </c>
      <c r="O13" s="1194">
        <v>45748</v>
      </c>
      <c r="P13" s="1194">
        <v>45778</v>
      </c>
      <c r="Q13" s="1194">
        <v>45809</v>
      </c>
      <c r="R13" s="1194">
        <v>45839</v>
      </c>
      <c r="S13" s="1194">
        <v>45870</v>
      </c>
      <c r="T13" s="1194">
        <v>45901</v>
      </c>
      <c r="U13" s="1194">
        <v>45931</v>
      </c>
      <c r="V13" s="1194">
        <v>45962</v>
      </c>
      <c r="W13" s="1194">
        <v>45992</v>
      </c>
      <c r="X13" s="1194">
        <v>46023</v>
      </c>
      <c r="Y13" s="1194">
        <v>46054</v>
      </c>
      <c r="Z13" s="1194">
        <v>46082</v>
      </c>
      <c r="AA13" s="1194">
        <v>46113</v>
      </c>
      <c r="AB13" s="1193" t="s">
        <v>1898</v>
      </c>
    </row>
    <row r="14" spans="2:28" s="1183" customFormat="1" ht="12">
      <c r="B14" s="1195" t="s">
        <v>1428</v>
      </c>
      <c r="C14" s="1196">
        <f>+'ADI 09-25'!C18</f>
        <v>106933000</v>
      </c>
      <c r="D14" s="1196">
        <f t="shared" ref="D14:D20" si="0">SUM(G14:I14)</f>
        <v>264445080.15999997</v>
      </c>
      <c r="E14" s="1196">
        <f t="shared" ref="E14:E20" si="1">+C14-D14</f>
        <v>-157512080.15999997</v>
      </c>
      <c r="F14" s="1196">
        <f t="shared" ref="F14:F20" si="2">SUM(G14:J14)</f>
        <v>264445080.15999997</v>
      </c>
      <c r="G14" s="1196">
        <f t="shared" ref="G14:G20" si="3">SUM(K14:AA14)</f>
        <v>264445080.15999997</v>
      </c>
      <c r="H14" s="1196"/>
      <c r="I14" s="1196"/>
      <c r="J14" s="1196"/>
      <c r="K14" s="1376">
        <f>+'Costos a Sept-25'!B2</f>
        <v>94172341.829999998</v>
      </c>
      <c r="L14" s="1376">
        <f>+'Costos a Sept-25'!C2</f>
        <v>0</v>
      </c>
      <c r="M14" s="1376">
        <f>+'Costos a Sept-25'!D2</f>
        <v>0</v>
      </c>
      <c r="N14" s="1376">
        <f>+'Costos a Sept-25'!E2</f>
        <v>0</v>
      </c>
      <c r="O14" s="1376">
        <f>+'Costos a Sept-25'!F2</f>
        <v>0</v>
      </c>
      <c r="P14" s="1376">
        <f>+'Costos a Sept-25'!G2</f>
        <v>18880</v>
      </c>
      <c r="Q14" s="1376">
        <f>+'Costos a Sept-25'!H2</f>
        <v>0</v>
      </c>
      <c r="R14" s="1376">
        <f>+'Costos a Sept-25'!I2</f>
        <v>0</v>
      </c>
      <c r="S14" s="1376">
        <f>+'Costos a Sept-25'!J2</f>
        <v>170252678.32999998</v>
      </c>
      <c r="T14" s="1377">
        <f>+'Costos a Sept-25'!K2</f>
        <v>1180</v>
      </c>
      <c r="U14" s="1377">
        <f>+'Costos a Oct-25'!L2</f>
        <v>0</v>
      </c>
      <c r="V14" s="1376">
        <f>+'Costos a Sept-25'!M2</f>
        <v>0</v>
      </c>
      <c r="W14" s="1376">
        <f>+'Costos a Ene-26'!N2</f>
        <v>0</v>
      </c>
      <c r="X14" s="1376">
        <f>+'Costos a Ene-26'!O2</f>
        <v>0</v>
      </c>
      <c r="Y14" s="1376">
        <f>+'Costos a Feb-26'!P2</f>
        <v>0</v>
      </c>
      <c r="Z14" s="1376">
        <f>+'Costos a Mar-26'!Q2</f>
        <v>0</v>
      </c>
      <c r="AA14" s="1376">
        <f>+'Costos a Abr-26'!R2</f>
        <v>0</v>
      </c>
      <c r="AB14" s="1208">
        <f t="shared" ref="AB14:AB20" si="4">SUM(U14:X14)</f>
        <v>0</v>
      </c>
    </row>
    <row r="15" spans="2:28" s="1183" customFormat="1" ht="12">
      <c r="B15" s="1197" t="s">
        <v>35</v>
      </c>
      <c r="C15" s="1198">
        <f>+'ADI 09-25'!C19</f>
        <v>469173666.60000002</v>
      </c>
      <c r="D15" s="1198">
        <f t="shared" si="0"/>
        <v>41338709.699999996</v>
      </c>
      <c r="E15" s="1198">
        <f t="shared" si="1"/>
        <v>427834956.90000004</v>
      </c>
      <c r="F15" s="1198">
        <f t="shared" si="2"/>
        <v>40274181.519999996</v>
      </c>
      <c r="G15" s="1198">
        <f t="shared" si="3"/>
        <v>41060610.179999992</v>
      </c>
      <c r="H15" s="1198">
        <v>278099.52</v>
      </c>
      <c r="I15" s="1198"/>
      <c r="J15" s="1198">
        <f>-'CXP 04-26 RES'!H7</f>
        <v>-1064528.18</v>
      </c>
      <c r="K15" s="1378">
        <f>+'Costos a Sept-25'!B6</f>
        <v>9219083.5899999999</v>
      </c>
      <c r="L15" s="1378">
        <f>+'Costos a Sept-25'!C6</f>
        <v>0</v>
      </c>
      <c r="M15" s="1378">
        <f>+'Costos a Sept-25'!D6</f>
        <v>0</v>
      </c>
      <c r="N15" s="1378">
        <f>+'Costos a Sept-25'!E6</f>
        <v>0</v>
      </c>
      <c r="O15" s="1378">
        <f>+'Costos a Sept-25'!F6</f>
        <v>353433.2</v>
      </c>
      <c r="P15" s="1378">
        <f>+'Costos a Sept-25'!G6</f>
        <v>93563.38</v>
      </c>
      <c r="Q15" s="1378">
        <f>+'Costos a Sept-25'!H6</f>
        <v>806839.56</v>
      </c>
      <c r="R15" s="1378">
        <f>+'Costos a Sept-25'!I6</f>
        <v>3069742.21</v>
      </c>
      <c r="S15" s="1378">
        <f>+'Costos a Sept-25'!J6</f>
        <v>2900560.48</v>
      </c>
      <c r="T15" s="1379">
        <f>+'Costos a Sept-25'!K6</f>
        <v>342033.18</v>
      </c>
      <c r="U15" s="1379">
        <f>+'Costos a Oct-25'!L6</f>
        <v>201871.48</v>
      </c>
      <c r="V15" s="1379">
        <f>+'Costos a Nov-25'!M6</f>
        <v>1617336.11</v>
      </c>
      <c r="W15" s="1379">
        <f>+'Costos a Ene-26'!N6</f>
        <v>15407306.5</v>
      </c>
      <c r="X15" s="1379">
        <f>+'Costos a Ene-26'!O6</f>
        <v>222844.91</v>
      </c>
      <c r="Y15" s="1379">
        <f>+'Costos a Feb-26'!P6</f>
        <v>2449569.83</v>
      </c>
      <c r="Z15" s="1379">
        <f>+'Costos a Mar-26'!Q6</f>
        <v>1833923.43</v>
      </c>
      <c r="AA15" s="1379">
        <f>+'Costos a Abr-26'!R6</f>
        <v>2542502.3199999998</v>
      </c>
      <c r="AB15" s="1209">
        <f t="shared" si="4"/>
        <v>17449359</v>
      </c>
    </row>
    <row r="16" spans="2:28" s="1183" customFormat="1" ht="12">
      <c r="B16" s="1197" t="s">
        <v>38</v>
      </c>
      <c r="C16" s="1198">
        <f>+'ADI 09-25'!C20</f>
        <v>1517166651</v>
      </c>
      <c r="D16" s="1198">
        <f t="shared" si="0"/>
        <v>50785543.350000001</v>
      </c>
      <c r="E16" s="1198">
        <f t="shared" si="1"/>
        <v>1466381107.6500001</v>
      </c>
      <c r="F16" s="1198">
        <f t="shared" si="2"/>
        <v>36994477.569999993</v>
      </c>
      <c r="G16" s="1198">
        <f t="shared" si="3"/>
        <v>50694288.109999999</v>
      </c>
      <c r="H16" s="1198"/>
      <c r="I16" s="1198">
        <f>+'Anticipos 04-26'!D7</f>
        <v>91255.239999999991</v>
      </c>
      <c r="J16" s="1198">
        <f>-'CXP 04-26 RES'!H8</f>
        <v>-13791065.780000005</v>
      </c>
      <c r="K16" s="1378">
        <f>+'Costos a Sept-25'!B8</f>
        <v>0</v>
      </c>
      <c r="L16" s="1378">
        <f>+'Costos a Sept-25'!C8</f>
        <v>0</v>
      </c>
      <c r="M16" s="1378">
        <f>+'Costos a Sept-25'!D8</f>
        <v>0</v>
      </c>
      <c r="N16" s="1378">
        <f>+'Costos a Sept-25'!E8</f>
        <v>0</v>
      </c>
      <c r="O16" s="1378">
        <f>+'Costos a Sept-25'!F8</f>
        <v>0</v>
      </c>
      <c r="P16" s="1378">
        <f>+'Costos a Sept-25'!G8</f>
        <v>0</v>
      </c>
      <c r="Q16" s="1378">
        <f>+'Costos a Sept-25'!H8</f>
        <v>0</v>
      </c>
      <c r="R16" s="1378">
        <f>+'Costos a Sept-25'!I8</f>
        <v>0</v>
      </c>
      <c r="S16" s="1378">
        <f>+'Costos a Sept-25'!J8</f>
        <v>0</v>
      </c>
      <c r="T16" s="1379">
        <f>+'Costos a Sept-25'!K8</f>
        <v>0</v>
      </c>
      <c r="U16" s="1379">
        <f>+'Costos a Oct-25'!L8</f>
        <v>0</v>
      </c>
      <c r="V16" s="1379">
        <f>+'Costos a Nov-25'!M8</f>
        <v>0</v>
      </c>
      <c r="W16" s="1379">
        <f>+'Costos a Ene-26'!N8</f>
        <v>991237.18</v>
      </c>
      <c r="X16" s="1379">
        <f>+'Costos a Ene-26'!O8</f>
        <v>2132656.4500000002</v>
      </c>
      <c r="Y16" s="1379">
        <f>+'Costos a Feb-26'!P8</f>
        <v>6421897.4300000006</v>
      </c>
      <c r="Z16" s="1379">
        <f>+'Costos a Mar-26'!Q8</f>
        <v>23667579.899999999</v>
      </c>
      <c r="AA16" s="1379">
        <f>+'Costos a Abr-26'!R8</f>
        <v>17480917.149999999</v>
      </c>
      <c r="AB16" s="1209">
        <f t="shared" si="4"/>
        <v>3123893.6300000004</v>
      </c>
    </row>
    <row r="17" spans="2:28" s="1183" customFormat="1" ht="12">
      <c r="B17" s="1197" t="s">
        <v>1920</v>
      </c>
      <c r="C17" s="1198">
        <f>+'ADI 09-25'!C21</f>
        <v>234388157.47679996</v>
      </c>
      <c r="D17" s="1198">
        <f t="shared" si="0"/>
        <v>35630278.869999997</v>
      </c>
      <c r="E17" s="1198">
        <f t="shared" si="1"/>
        <v>198757878.60679996</v>
      </c>
      <c r="F17" s="1198">
        <f t="shared" si="2"/>
        <v>35630278.869999997</v>
      </c>
      <c r="G17" s="1198">
        <f t="shared" si="3"/>
        <v>35630278.869999997</v>
      </c>
      <c r="H17" s="1198"/>
      <c r="I17" s="1198"/>
      <c r="J17" s="1198"/>
      <c r="K17" s="1378">
        <f>+'Costos a Sept-25'!B10</f>
        <v>1644662.03</v>
      </c>
      <c r="L17" s="1378">
        <f>+'Costos a Sept-25'!C10</f>
        <v>1770000</v>
      </c>
      <c r="M17" s="1378">
        <f>+'Costos a Sept-25'!D10</f>
        <v>0</v>
      </c>
      <c r="N17" s="1378">
        <f>+'Costos a Sept-25'!E10</f>
        <v>885000</v>
      </c>
      <c r="O17" s="1378">
        <f>+'Costos a Sept-25'!F10</f>
        <v>2455806.54</v>
      </c>
      <c r="P17" s="1378">
        <f>+'Costos a Sept-25'!G10</f>
        <v>2360000</v>
      </c>
      <c r="Q17" s="1378">
        <f>+'Costos a Sept-25'!H10</f>
        <v>2417857.34</v>
      </c>
      <c r="R17" s="1378">
        <f>+'Costos a Sept-25'!I10</f>
        <v>2664755.19</v>
      </c>
      <c r="S17" s="1378">
        <f>+'Costos a Sept-25'!J10</f>
        <v>2360000</v>
      </c>
      <c r="T17" s="1379">
        <f>+'Costos a Sept-25'!K10</f>
        <v>2360000</v>
      </c>
      <c r="U17" s="1379">
        <f>+'Costos a Oct-25'!L10</f>
        <v>2360000</v>
      </c>
      <c r="V17" s="1379">
        <f>+'Costos a Nov-25'!M10</f>
        <v>2783225.26</v>
      </c>
      <c r="W17" s="1379">
        <f>+'Costos a Ene-26'!N10</f>
        <v>1770000</v>
      </c>
      <c r="X17" s="1379">
        <f>+'Costos a Ene-26'!O10</f>
        <v>2360000</v>
      </c>
      <c r="Y17" s="1379">
        <f>+'Costos a Feb-26'!P10</f>
        <v>2862845.21</v>
      </c>
      <c r="Z17" s="1379">
        <f>+'Costos a Mar-26'!Q10</f>
        <v>2228947.7200000002</v>
      </c>
      <c r="AA17" s="1379">
        <f>+'Costos a Abr-26'!R10</f>
        <v>2347179.58</v>
      </c>
      <c r="AB17" s="1209">
        <f t="shared" si="4"/>
        <v>9273225.2599999998</v>
      </c>
    </row>
    <row r="18" spans="2:28" s="1183" customFormat="1" ht="12">
      <c r="B18" s="1197" t="s">
        <v>1921</v>
      </c>
      <c r="C18" s="1198">
        <f>+'ADI 09-25'!C22</f>
        <v>19264643</v>
      </c>
      <c r="D18" s="1198">
        <f t="shared" si="0"/>
        <v>4055714.3999999994</v>
      </c>
      <c r="E18" s="1198">
        <f t="shared" si="1"/>
        <v>15208928.600000001</v>
      </c>
      <c r="F18" s="1198">
        <f t="shared" si="2"/>
        <v>3548750.0999999996</v>
      </c>
      <c r="G18" s="1198">
        <f t="shared" si="3"/>
        <v>4055714.3999999994</v>
      </c>
      <c r="H18" s="1198"/>
      <c r="I18" s="1198"/>
      <c r="J18" s="1198">
        <f>-'CXP 04-26 RES'!H11</f>
        <v>-506964.3</v>
      </c>
      <c r="K18" s="1378">
        <f>+'Costos a Sept-25'!B22</f>
        <v>0</v>
      </c>
      <c r="L18" s="1378">
        <f>+'Costos a Sept-25'!C22</f>
        <v>0</v>
      </c>
      <c r="M18" s="1378">
        <f>+'Costos a Sept-25'!D22</f>
        <v>0</v>
      </c>
      <c r="N18" s="1378">
        <f>+'Costos a Sept-25'!E22</f>
        <v>0</v>
      </c>
      <c r="O18" s="1378">
        <f>+'Costos a Sept-25'!F22</f>
        <v>0</v>
      </c>
      <c r="P18" s="1378">
        <f>+'Costos a Sept-25'!G22</f>
        <v>0</v>
      </c>
      <c r="Q18" s="1378">
        <f>+'Costos a Sept-25'!H22</f>
        <v>0</v>
      </c>
      <c r="R18" s="1378">
        <f>+'Costos a Sept-25'!I22</f>
        <v>0</v>
      </c>
      <c r="S18" s="1378">
        <f>+'Costos a Sept-25'!J22</f>
        <v>0</v>
      </c>
      <c r="T18" s="1379">
        <f>+'Costos a Sept-25'!K22</f>
        <v>0</v>
      </c>
      <c r="U18" s="1379">
        <f>+'Costos a Oct-25'!L22</f>
        <v>1013928.6</v>
      </c>
      <c r="V18" s="1379">
        <f>+'Costos a Nov-25'!M22</f>
        <v>506964.3</v>
      </c>
      <c r="W18" s="1379">
        <f>+'Costos a Ene-26'!N22</f>
        <v>506964.3</v>
      </c>
      <c r="X18" s="1379">
        <f>+'Costos a Ene-26'!O22</f>
        <v>506964.3</v>
      </c>
      <c r="Y18" s="1379">
        <f>+'Costos a Feb-26'!P22</f>
        <v>506964.3</v>
      </c>
      <c r="Z18" s="1379">
        <f>+'Costos a Mar-26'!Q22</f>
        <v>506964.3</v>
      </c>
      <c r="AA18" s="1379">
        <f>+'Costos a Abr-26'!R22</f>
        <v>506964.3</v>
      </c>
      <c r="AB18" s="1372">
        <f t="shared" si="4"/>
        <v>2534821.5</v>
      </c>
    </row>
    <row r="19" spans="2:28" s="1183" customFormat="1" ht="12">
      <c r="B19" s="1197" t="s">
        <v>40</v>
      </c>
      <c r="C19" s="1198">
        <f>+'ADI 09-25'!C23</f>
        <v>47672167.622400001</v>
      </c>
      <c r="D19" s="1198">
        <f t="shared" si="0"/>
        <v>6837691.7299999995</v>
      </c>
      <c r="E19" s="1198">
        <f t="shared" si="1"/>
        <v>40834475.892400004</v>
      </c>
      <c r="F19" s="1198">
        <f t="shared" si="2"/>
        <v>5702002.6499999994</v>
      </c>
      <c r="G19" s="1198">
        <f t="shared" si="3"/>
        <v>6837691.7299999995</v>
      </c>
      <c r="H19" s="1198"/>
      <c r="I19" s="1198"/>
      <c r="J19" s="1198">
        <f>-'CXP 04-26 RES'!H9-'CXP 04-26 RES'!H10</f>
        <v>-1135689.08</v>
      </c>
      <c r="K19" s="1378">
        <f>+'Costos a Sept-25'!B12</f>
        <v>0</v>
      </c>
      <c r="L19" s="1378">
        <f>+'Costos a Sept-25'!C12</f>
        <v>0</v>
      </c>
      <c r="M19" s="1378">
        <f>+'Costos a Sept-25'!D12</f>
        <v>0</v>
      </c>
      <c r="N19" s="1378">
        <f>+'Costos a Sept-25'!E12</f>
        <v>0</v>
      </c>
      <c r="O19" s="1378">
        <f>+'Costos a Sept-25'!F12</f>
        <v>0</v>
      </c>
      <c r="P19" s="1378">
        <f>+'Costos a Sept-25'!G12</f>
        <v>0</v>
      </c>
      <c r="Q19" s="1378">
        <f>+'Costos a Sept-25'!H12</f>
        <v>147108.53999999998</v>
      </c>
      <c r="R19" s="1378">
        <f>+'Costos a Sept-25'!I12</f>
        <v>92700.800000000003</v>
      </c>
      <c r="S19" s="1378">
        <f>+'Costos a Sept-25'!J12</f>
        <v>96854.399999999994</v>
      </c>
      <c r="T19" s="1379">
        <f>+'Costos a Sept-25'!K12</f>
        <v>90246.399999999994</v>
      </c>
      <c r="U19" s="1379">
        <f>+'Costos a Oct-25'!L12</f>
        <v>92700.800000000003</v>
      </c>
      <c r="V19" s="1379">
        <f>+'Costos a Nov-25'!M12</f>
        <v>332688.71000000002</v>
      </c>
      <c r="W19" s="1379">
        <f>+'Costos a Ene-26'!N12</f>
        <v>92700.800000000003</v>
      </c>
      <c r="X19" s="1379">
        <f>+'Costos a Ene-26'!O12</f>
        <v>102858.24000000001</v>
      </c>
      <c r="Y19" s="1379">
        <f>+'Costos a Feb-26'!P12</f>
        <v>3036943.49</v>
      </c>
      <c r="Z19" s="1379">
        <f>+'Costos a Mar-26'!Q12</f>
        <v>2022959.08</v>
      </c>
      <c r="AA19" s="1379">
        <f>+'Costos a Abr-26'!R12</f>
        <v>729930.47</v>
      </c>
      <c r="AB19" s="1209">
        <f t="shared" si="4"/>
        <v>620948.55000000005</v>
      </c>
    </row>
    <row r="20" spans="2:28" s="1183" customFormat="1" ht="12">
      <c r="B20" s="1197" t="s">
        <v>764</v>
      </c>
      <c r="C20" s="1198">
        <f>+'ADI 09-25'!C24</f>
        <v>39726806.351999998</v>
      </c>
      <c r="D20" s="1198">
        <f t="shared" si="0"/>
        <v>0</v>
      </c>
      <c r="E20" s="1198">
        <f t="shared" si="1"/>
        <v>39726806.351999998</v>
      </c>
      <c r="F20" s="1198">
        <f t="shared" si="2"/>
        <v>0</v>
      </c>
      <c r="G20" s="1198">
        <f t="shared" si="3"/>
        <v>0</v>
      </c>
      <c r="H20" s="1198"/>
      <c r="I20" s="1198"/>
      <c r="J20" s="1198"/>
      <c r="K20" s="1378">
        <f>+'Costos a Sept-25'!B20</f>
        <v>0</v>
      </c>
      <c r="L20" s="1378">
        <f>+'Costos a Sept-25'!C20</f>
        <v>0</v>
      </c>
      <c r="M20" s="1378">
        <f>+'Costos a Sept-25'!D20</f>
        <v>0</v>
      </c>
      <c r="N20" s="1378">
        <f>+'Costos a Sept-25'!E20</f>
        <v>0</v>
      </c>
      <c r="O20" s="1378">
        <f>+'Costos a Sept-25'!F20</f>
        <v>0</v>
      </c>
      <c r="P20" s="1378">
        <f>+'Costos a Sept-25'!G20</f>
        <v>0</v>
      </c>
      <c r="Q20" s="1378">
        <f>+'Costos a Sept-25'!H20</f>
        <v>0</v>
      </c>
      <c r="R20" s="1378">
        <f>+'Costos a Sept-25'!I20</f>
        <v>0</v>
      </c>
      <c r="S20" s="1378">
        <f>+'Costos a Sept-25'!J20</f>
        <v>0</v>
      </c>
      <c r="T20" s="1379">
        <f>+'Costos a Sept-25'!K20</f>
        <v>0</v>
      </c>
      <c r="U20" s="1379">
        <f>+'Costos a Oct-25'!L20</f>
        <v>0</v>
      </c>
      <c r="V20" s="1379">
        <f>+'Costos a Nov-25'!M20</f>
        <v>0</v>
      </c>
      <c r="W20" s="1379">
        <f>+'Costos a Ene-26'!N20</f>
        <v>0</v>
      </c>
      <c r="X20" s="1379">
        <f>+'Costos a Ene-26'!O20</f>
        <v>0</v>
      </c>
      <c r="Y20" s="1379">
        <f>+'Costos a Feb-26'!P20</f>
        <v>0</v>
      </c>
      <c r="Z20" s="1379">
        <f>+'Costos a Mar-26'!Q20</f>
        <v>0</v>
      </c>
      <c r="AA20" s="1379">
        <f>+'Costos a Abr-26'!R20</f>
        <v>0</v>
      </c>
      <c r="AB20" s="1209">
        <f t="shared" si="4"/>
        <v>0</v>
      </c>
    </row>
    <row r="21" spans="2:28" s="1183" customFormat="1" ht="12">
      <c r="B21" s="1199" t="s">
        <v>41</v>
      </c>
      <c r="C21" s="1200">
        <f t="shared" ref="C21:AB21" si="5">SUM(C15:C20)</f>
        <v>2327392092.0511999</v>
      </c>
      <c r="D21" s="1200">
        <f t="shared" si="5"/>
        <v>138647938.04999998</v>
      </c>
      <c r="E21" s="1200">
        <f t="shared" si="5"/>
        <v>2188744154.0011997</v>
      </c>
      <c r="F21" s="1200">
        <f t="shared" si="5"/>
        <v>122149690.70999998</v>
      </c>
      <c r="G21" s="1200">
        <f t="shared" si="5"/>
        <v>138278583.28999999</v>
      </c>
      <c r="H21" s="1200">
        <f t="shared" si="5"/>
        <v>278099.52</v>
      </c>
      <c r="I21" s="1200">
        <f t="shared" si="5"/>
        <v>91255.239999999991</v>
      </c>
      <c r="J21" s="1200">
        <f t="shared" si="5"/>
        <v>-16498247.340000005</v>
      </c>
      <c r="K21" s="1380">
        <f t="shared" si="5"/>
        <v>10863745.619999999</v>
      </c>
      <c r="L21" s="1380">
        <f t="shared" si="5"/>
        <v>1770000</v>
      </c>
      <c r="M21" s="1380">
        <f t="shared" si="5"/>
        <v>0</v>
      </c>
      <c r="N21" s="1380">
        <f t="shared" si="5"/>
        <v>885000</v>
      </c>
      <c r="O21" s="1380">
        <f t="shared" si="5"/>
        <v>2809239.74</v>
      </c>
      <c r="P21" s="1380">
        <f t="shared" si="5"/>
        <v>2453563.38</v>
      </c>
      <c r="Q21" s="1380">
        <f t="shared" si="5"/>
        <v>3371805.44</v>
      </c>
      <c r="R21" s="1380">
        <f t="shared" si="5"/>
        <v>5827198.2000000002</v>
      </c>
      <c r="S21" s="1380">
        <f t="shared" si="5"/>
        <v>5357414.8800000008</v>
      </c>
      <c r="T21" s="1381">
        <f t="shared" si="5"/>
        <v>2792279.58</v>
      </c>
      <c r="U21" s="1381">
        <f t="shared" si="5"/>
        <v>3668500.88</v>
      </c>
      <c r="V21" s="1381">
        <f t="shared" si="5"/>
        <v>5240214.38</v>
      </c>
      <c r="W21" s="1381">
        <f t="shared" si="5"/>
        <v>18768208.780000001</v>
      </c>
      <c r="X21" s="1381">
        <f t="shared" si="5"/>
        <v>5325323.9000000004</v>
      </c>
      <c r="Y21" s="1381">
        <f t="shared" si="5"/>
        <v>15278220.260000004</v>
      </c>
      <c r="Z21" s="1381">
        <f t="shared" si="5"/>
        <v>30260374.43</v>
      </c>
      <c r="AA21" s="1381">
        <f t="shared" ref="AA21" si="6">SUM(AA15:AA20)</f>
        <v>23607493.819999997</v>
      </c>
      <c r="AB21" s="1210">
        <f t="shared" si="5"/>
        <v>33002247.940000001</v>
      </c>
    </row>
    <row r="22" spans="2:28" s="1183" customFormat="1" ht="12">
      <c r="B22" s="1201" t="s">
        <v>42</v>
      </c>
      <c r="C22" s="1198">
        <f>+'ADI 09-25'!C26</f>
        <v>187510525.98143998</v>
      </c>
      <c r="D22" s="1198">
        <f>SUM(G22:I22)</f>
        <v>23234233.989999998</v>
      </c>
      <c r="E22" s="1198">
        <f>+C22-D22</f>
        <v>164276291.99143997</v>
      </c>
      <c r="F22" s="1198">
        <f>SUM(G22:J22)</f>
        <v>23234233.989999998</v>
      </c>
      <c r="G22" s="1198">
        <f>SUM(K22:AA22)</f>
        <v>23234233.989999998</v>
      </c>
      <c r="H22" s="1198"/>
      <c r="I22" s="1198"/>
      <c r="J22" s="1198"/>
      <c r="K22" s="1378">
        <f>+'Costos a Sept-25'!B24</f>
        <v>161175.97</v>
      </c>
      <c r="L22" s="1378">
        <f>+'Costos a Sept-25'!C24</f>
        <v>0</v>
      </c>
      <c r="M22" s="1378">
        <f>+'Costos a Sept-25'!D24</f>
        <v>0</v>
      </c>
      <c r="N22" s="1378">
        <f>+'Costos a Sept-25'!E24</f>
        <v>0</v>
      </c>
      <c r="O22" s="1378">
        <f>+'Costos a Sept-25'!F24</f>
        <v>1770000</v>
      </c>
      <c r="P22" s="1378">
        <f>+'Costos a Sept-25'!G24</f>
        <v>1770000</v>
      </c>
      <c r="Q22" s="1378">
        <f>+'Costos a Sept-25'!H24</f>
        <v>1770000</v>
      </c>
      <c r="R22" s="1378">
        <f>+'Costos a Sept-25'!I24</f>
        <v>1770000</v>
      </c>
      <c r="S22" s="1378">
        <f>+'Costos a Sept-25'!J24</f>
        <v>1770000</v>
      </c>
      <c r="T22" s="1379">
        <f>+'Costos a Sept-25'!K24</f>
        <v>1770000</v>
      </c>
      <c r="U22" s="1379">
        <f>+'Costos a Oct-25'!L24</f>
        <v>1770000</v>
      </c>
      <c r="V22" s="1379">
        <f>+'Costos a Nov-25'!M24</f>
        <v>1770000</v>
      </c>
      <c r="W22" s="1379">
        <f>+'Costos a Ene-26'!N24</f>
        <v>1770000</v>
      </c>
      <c r="X22" s="1379">
        <f>+'Costos a Ene-26'!O24</f>
        <v>1770000</v>
      </c>
      <c r="Y22" s="1379">
        <f>+'Costos a Feb-26'!P24</f>
        <v>1770000</v>
      </c>
      <c r="Z22" s="1379">
        <f>+'Costos a Mar-26'!Q24</f>
        <v>1770000</v>
      </c>
      <c r="AA22" s="1379">
        <f>+'Costos a Abr-26'!R24</f>
        <v>1833058.02</v>
      </c>
      <c r="AB22" s="1209">
        <f>SUM(U22:X22)</f>
        <v>7080000</v>
      </c>
    </row>
    <row r="23" spans="2:28" s="1183" customFormat="1" ht="12">
      <c r="B23" s="1197" t="s">
        <v>43</v>
      </c>
      <c r="C23" s="1198">
        <f>+'ADI 09-25'!C27</f>
        <v>327746152.40399998</v>
      </c>
      <c r="D23" s="1198">
        <f>SUM(G23:I23)</f>
        <v>100160232.16</v>
      </c>
      <c r="E23" s="1198">
        <f>+C23-D23</f>
        <v>227585920.24399999</v>
      </c>
      <c r="F23" s="1198">
        <f>SUM(G23:J23)</f>
        <v>98227385.679999992</v>
      </c>
      <c r="G23" s="1198">
        <f>SUM(K23:AA23)</f>
        <v>100160232.16</v>
      </c>
      <c r="H23" s="1198"/>
      <c r="I23" s="1198"/>
      <c r="J23" s="1198">
        <f>-'CXP 04-26 RES'!H12-'CXP 04-26 RES'!H13</f>
        <v>-1932846.48</v>
      </c>
      <c r="K23" s="1378">
        <f>+'Costos a Sept-25'!B26</f>
        <v>559355.54</v>
      </c>
      <c r="L23" s="1378">
        <f>+'Costos a Sept-25'!C26</f>
        <v>0</v>
      </c>
      <c r="M23" s="1378">
        <f>+'Costos a Sept-25'!D26</f>
        <v>645765.21</v>
      </c>
      <c r="N23" s="1378">
        <f>+'Costos a Sept-25'!E26</f>
        <v>595001.35</v>
      </c>
      <c r="O23" s="1378">
        <f>+'Costos a Sept-25'!F26</f>
        <v>1549872.47</v>
      </c>
      <c r="P23" s="1378">
        <f>+'Costos a Sept-25'!G26</f>
        <v>1423527.61</v>
      </c>
      <c r="Q23" s="1378">
        <f>+'Costos a Sept-25'!H26</f>
        <v>1733909.84</v>
      </c>
      <c r="R23" s="1378">
        <f>+'Costos a Sept-25'!I26</f>
        <v>7890097.2200000007</v>
      </c>
      <c r="S23" s="1378">
        <f>+'Costos a Sept-25'!J26</f>
        <v>16166710.020000001</v>
      </c>
      <c r="T23" s="1379">
        <f>+'Costos a Sept-25'!K26</f>
        <v>11886550.289999999</v>
      </c>
      <c r="U23" s="1379">
        <f>+'Costos a Oct-25'!L26</f>
        <v>12659941.220000001</v>
      </c>
      <c r="V23" s="1379">
        <f>+'Costos a Nov-25'!M26</f>
        <v>15204797.51</v>
      </c>
      <c r="W23" s="1379">
        <f>+'Costos a Ene-26'!N26</f>
        <v>5620798.7199999997</v>
      </c>
      <c r="X23" s="1379">
        <f>+'Costos a Ene-26'!O26</f>
        <v>5330355.3599999994</v>
      </c>
      <c r="Y23" s="1379">
        <f>+'Costos a Feb-26'!P26</f>
        <v>3557189.4699999997</v>
      </c>
      <c r="Z23" s="1379">
        <f>+'Costos a Mar-26'!Q26</f>
        <v>9528645.1699999999</v>
      </c>
      <c r="AA23" s="1379">
        <f>+'Costos a Abr-26'!R26</f>
        <v>5807715.1600000001</v>
      </c>
      <c r="AB23" s="1209">
        <f>SUM(U23:X23)</f>
        <v>38815892.810000002</v>
      </c>
    </row>
    <row r="24" spans="2:28" s="1183" customFormat="1" ht="12">
      <c r="B24" s="1197" t="s">
        <v>44</v>
      </c>
      <c r="C24" s="1198">
        <f>+'ADI 09-25'!C28</f>
        <v>81458723.221791998</v>
      </c>
      <c r="D24" s="1198">
        <f>SUM(G24:I24)</f>
        <v>5143751.0999999987</v>
      </c>
      <c r="E24" s="1198">
        <f>+C24-D24</f>
        <v>76314972.121792004</v>
      </c>
      <c r="F24" s="1198">
        <f>SUM(G24:J24)</f>
        <v>5143751.0999999987</v>
      </c>
      <c r="G24" s="1198">
        <f>SUM(K24:AA24)</f>
        <v>5143751.0999999987</v>
      </c>
      <c r="H24" s="1198"/>
      <c r="I24" s="1198"/>
      <c r="J24" s="1198"/>
      <c r="K24" s="1378">
        <f>+'Costos a Sept-25'!B31</f>
        <v>373034.61</v>
      </c>
      <c r="L24" s="1378">
        <f>+'Costos a Sept-25'!C31</f>
        <v>43563.47</v>
      </c>
      <c r="M24" s="1378">
        <f>+'Costos a Sept-25'!D31</f>
        <v>36723.129999999997</v>
      </c>
      <c r="N24" s="1378">
        <f>+'Costos a Sept-25'!E31</f>
        <v>37034.89</v>
      </c>
      <c r="O24" s="1378">
        <f>+'Costos a Sept-25'!F31</f>
        <v>51335.37</v>
      </c>
      <c r="P24" s="1378">
        <f>+'Costos a Sept-25'!G31</f>
        <v>125971.53</v>
      </c>
      <c r="Q24" s="1378">
        <f>+'Costos a Sept-25'!H31</f>
        <v>205035.01</v>
      </c>
      <c r="R24" s="1378">
        <f>+'Costos a Sept-25'!I31</f>
        <v>193826.15000000002</v>
      </c>
      <c r="S24" s="1378">
        <f>+'Costos a Sept-25'!J31</f>
        <v>228402.97999999998</v>
      </c>
      <c r="T24" s="1379">
        <f>+'Costos a Sept-25'!K31</f>
        <v>824240.61999999988</v>
      </c>
      <c r="U24" s="1379">
        <f>+'Costos a Oct-25'!L31</f>
        <v>143558.04999999999</v>
      </c>
      <c r="V24" s="1379">
        <f>+'Costos a Nov-25'!M31</f>
        <v>111569.53</v>
      </c>
      <c r="W24" s="1379">
        <f>+'Costos a Ene-26'!N31</f>
        <v>187644.31</v>
      </c>
      <c r="X24" s="1379">
        <f>+'Costos a Ene-26'!O31</f>
        <v>111272.45999999999</v>
      </c>
      <c r="Y24" s="1379">
        <f>+'Costos a Feb-26'!P31</f>
        <v>1296067.68</v>
      </c>
      <c r="Z24" s="1379">
        <f>+'Costos a Mar-26'!Q31</f>
        <v>578468.84</v>
      </c>
      <c r="AA24" s="1379">
        <f>+'Costos a Abr-26'!R31</f>
        <v>596002.47</v>
      </c>
      <c r="AB24" s="1371">
        <f>SUM(U24:X24)</f>
        <v>554044.35</v>
      </c>
    </row>
    <row r="25" spans="2:28" s="1183" customFormat="1" ht="12">
      <c r="B25" s="1197" t="s">
        <v>45</v>
      </c>
      <c r="C25" s="1198">
        <f>+'ADI 09-25'!C29</f>
        <v>69521911.115999997</v>
      </c>
      <c r="D25" s="1198">
        <f>SUM(G25:I25)</f>
        <v>30025846.559999999</v>
      </c>
      <c r="E25" s="1198">
        <f>+C25-D25</f>
        <v>39496064.555999994</v>
      </c>
      <c r="F25" s="1198">
        <f>SUM(G25:J25)</f>
        <v>29572034.559999999</v>
      </c>
      <c r="G25" s="1198">
        <f>SUM(K25:AA25)</f>
        <v>30025846.559999999</v>
      </c>
      <c r="H25" s="1198"/>
      <c r="I25" s="1198"/>
      <c r="J25" s="1198">
        <f>-'CXP 04-26 RES'!H14-'CXP 04-26 RES'!H15-'CXP 04-26 RES'!H16-'CXP 04-26 RES'!H17</f>
        <v>-453812</v>
      </c>
      <c r="K25" s="1378">
        <f>+'Costos a Sept-25'!B34</f>
        <v>11066720.34</v>
      </c>
      <c r="L25" s="1378">
        <f>+'Costos a Sept-25'!C34</f>
        <v>915790.08000000007</v>
      </c>
      <c r="M25" s="1378">
        <f>+'Costos a Sept-25'!D34</f>
        <v>1931201.9</v>
      </c>
      <c r="N25" s="1378">
        <f>+'Costos a Sept-25'!E34</f>
        <v>1103623.17</v>
      </c>
      <c r="O25" s="1378">
        <f>+'Costos a Sept-25'!F34</f>
        <v>807731.34</v>
      </c>
      <c r="P25" s="1378">
        <f>+'Costos a Sept-25'!G34</f>
        <v>740040.2</v>
      </c>
      <c r="Q25" s="1378">
        <f>+'Costos a Sept-25'!H34</f>
        <v>1412884.71</v>
      </c>
      <c r="R25" s="1378">
        <f>+'Costos a Sept-25'!I34</f>
        <v>3494146.35</v>
      </c>
      <c r="S25" s="1378">
        <f>+'Costos a Sept-25'!J34</f>
        <v>184710.12999999995</v>
      </c>
      <c r="T25" s="1379">
        <f>+'Costos a Sept-25'!K34</f>
        <v>551935.67999999993</v>
      </c>
      <c r="U25" s="1379">
        <f>+'Costos a Oct-25'!L34</f>
        <v>1245788.3799999999</v>
      </c>
      <c r="V25" s="1379">
        <f>+'Costos a Nov-25'!M34</f>
        <v>943821.03</v>
      </c>
      <c r="W25" s="1379">
        <f>+'Costos a Ene-26'!N34+5979.31</f>
        <v>1002260.52</v>
      </c>
      <c r="X25" s="1379">
        <f>+'Costos a Ene-26'!O34</f>
        <v>927133.48</v>
      </c>
      <c r="Y25" s="1379">
        <f>+'Costos a Feb-26'!P34</f>
        <v>1013980.0700000001</v>
      </c>
      <c r="Z25" s="1379">
        <f>+'Costos a Mar-26'!Q34</f>
        <v>1311923.6599999999</v>
      </c>
      <c r="AA25" s="1379">
        <f>+'Costos a Abr-26'!R34</f>
        <v>1372155.52</v>
      </c>
      <c r="AB25" s="1209">
        <f>SUM(U25:X25)</f>
        <v>4119003.41</v>
      </c>
    </row>
    <row r="26" spans="2:28" s="1183" customFormat="1" ht="12">
      <c r="B26" s="1197" t="s">
        <v>46</v>
      </c>
      <c r="C26" s="1198">
        <f>+'ADI 09-25'!C30</f>
        <v>19863403.175999999</v>
      </c>
      <c r="D26" s="1198">
        <f>SUM(G26:I26)</f>
        <v>0</v>
      </c>
      <c r="E26" s="1198">
        <f>+C26-D26</f>
        <v>19863403.175999999</v>
      </c>
      <c r="F26" s="1198">
        <f>SUM(G26:J26)</f>
        <v>0</v>
      </c>
      <c r="G26" s="1198">
        <f>SUM(K26:AA26)</f>
        <v>0</v>
      </c>
      <c r="H26" s="1198"/>
      <c r="I26" s="1198"/>
      <c r="J26" s="1198"/>
      <c r="K26" s="1378">
        <f>+'Costos a Sept-25'!B40</f>
        <v>0</v>
      </c>
      <c r="L26" s="1378">
        <f>+'Costos a Sept-25'!C40</f>
        <v>0</v>
      </c>
      <c r="M26" s="1378">
        <f>+'Costos a Sept-25'!D40</f>
        <v>0</v>
      </c>
      <c r="N26" s="1378">
        <f>+'Costos a Sept-25'!E40</f>
        <v>0</v>
      </c>
      <c r="O26" s="1378">
        <f>+'Costos a Sept-25'!F40</f>
        <v>0</v>
      </c>
      <c r="P26" s="1378">
        <f>+'Costos a Sept-25'!G40</f>
        <v>0</v>
      </c>
      <c r="Q26" s="1378">
        <f>+'Costos a Sept-25'!H40</f>
        <v>0</v>
      </c>
      <c r="R26" s="1378">
        <f>+'Costos a Sept-25'!I40</f>
        <v>0</v>
      </c>
      <c r="S26" s="1378">
        <f>+'Costos a Sept-25'!J40</f>
        <v>0</v>
      </c>
      <c r="T26" s="1379">
        <f>+'Costos a Sept-25'!K40</f>
        <v>0</v>
      </c>
      <c r="U26" s="1379">
        <v>0</v>
      </c>
      <c r="V26" s="1379">
        <f>+'Costos a Nov-25'!M43</f>
        <v>0</v>
      </c>
      <c r="W26" s="1379">
        <f>+'Costos a Ene-26'!N43</f>
        <v>0</v>
      </c>
      <c r="X26" s="1379">
        <f>+'Costos a Ene-26'!O43</f>
        <v>0</v>
      </c>
      <c r="Y26" s="1379">
        <f>+'Costos a Feb-26'!P43</f>
        <v>0</v>
      </c>
      <c r="Z26" s="1379">
        <f>+'Costos a Mar-26'!Q43</f>
        <v>0</v>
      </c>
      <c r="AA26" s="1379">
        <f>+'Costos a Abr-26'!R43</f>
        <v>0</v>
      </c>
      <c r="AB26" s="1209">
        <f>SUM(U26:X26)</f>
        <v>0</v>
      </c>
    </row>
    <row r="27" spans="2:28" s="1183" customFormat="1" ht="12">
      <c r="B27" s="1199" t="s">
        <v>47</v>
      </c>
      <c r="C27" s="1200">
        <f>SUM(C22:C26)</f>
        <v>686100715.89923203</v>
      </c>
      <c r="D27" s="1200">
        <f t="shared" ref="D27:AB27" si="7">SUM(D22:D26)</f>
        <v>158564063.80999997</v>
      </c>
      <c r="E27" s="1200">
        <f t="shared" si="7"/>
        <v>527536652.08923197</v>
      </c>
      <c r="F27" s="1200">
        <f t="shared" si="7"/>
        <v>156177405.32999998</v>
      </c>
      <c r="G27" s="1200">
        <f t="shared" si="7"/>
        <v>158564063.80999997</v>
      </c>
      <c r="H27" s="1200">
        <f t="shared" si="7"/>
        <v>0</v>
      </c>
      <c r="I27" s="1200">
        <f t="shared" si="7"/>
        <v>0</v>
      </c>
      <c r="J27" s="1200">
        <f t="shared" si="7"/>
        <v>-2386658.48</v>
      </c>
      <c r="K27" s="1380">
        <f t="shared" si="7"/>
        <v>12160286.460000001</v>
      </c>
      <c r="L27" s="1380">
        <f t="shared" si="7"/>
        <v>959353.55</v>
      </c>
      <c r="M27" s="1380">
        <f t="shared" si="7"/>
        <v>2613690.2399999998</v>
      </c>
      <c r="N27" s="1380">
        <f t="shared" si="7"/>
        <v>1735659.41</v>
      </c>
      <c r="O27" s="1380">
        <f t="shared" si="7"/>
        <v>4178939.1799999997</v>
      </c>
      <c r="P27" s="1380">
        <f t="shared" si="7"/>
        <v>4059539.34</v>
      </c>
      <c r="Q27" s="1380">
        <f t="shared" si="7"/>
        <v>5121829.5599999996</v>
      </c>
      <c r="R27" s="1380">
        <f t="shared" si="7"/>
        <v>13348069.720000001</v>
      </c>
      <c r="S27" s="1380">
        <f t="shared" si="7"/>
        <v>18349823.130000003</v>
      </c>
      <c r="T27" s="1381">
        <f t="shared" si="7"/>
        <v>15032726.589999998</v>
      </c>
      <c r="U27" s="1381">
        <f t="shared" si="7"/>
        <v>15819287.650000002</v>
      </c>
      <c r="V27" s="1381">
        <f t="shared" si="7"/>
        <v>18030188.07</v>
      </c>
      <c r="W27" s="1381">
        <f t="shared" si="7"/>
        <v>8580703.5499999989</v>
      </c>
      <c r="X27" s="1381">
        <f t="shared" si="7"/>
        <v>8138761.2999999989</v>
      </c>
      <c r="Y27" s="1381">
        <f t="shared" si="7"/>
        <v>7637237.2199999997</v>
      </c>
      <c r="Z27" s="1381">
        <f t="shared" si="7"/>
        <v>13189037.67</v>
      </c>
      <c r="AA27" s="1381">
        <f t="shared" ref="AA27" si="8">SUM(AA22:AA26)</f>
        <v>9608931.1699999999</v>
      </c>
      <c r="AB27" s="1210">
        <f t="shared" si="7"/>
        <v>50568940.570000008</v>
      </c>
    </row>
    <row r="28" spans="2:28" s="1183" customFormat="1" ht="13.95" customHeight="1">
      <c r="B28" s="1201" t="s">
        <v>48</v>
      </c>
      <c r="C28" s="1198">
        <f>+'ADI 09-25'!C32</f>
        <v>30500000</v>
      </c>
      <c r="D28" s="1198">
        <f>SUM(G28:I28)</f>
        <v>24551833.009999994</v>
      </c>
      <c r="E28" s="1198">
        <f>+C28-D28</f>
        <v>5948166.9900000058</v>
      </c>
      <c r="F28" s="1198">
        <f>SUM(G28:J28)</f>
        <v>24435777.449999996</v>
      </c>
      <c r="G28" s="1198">
        <f>SUM(K28:AA28)</f>
        <v>22838128.379999995</v>
      </c>
      <c r="H28" s="1198"/>
      <c r="I28" s="1198">
        <f>+'Anticipos 04-26'!D13</f>
        <v>1713704.63</v>
      </c>
      <c r="J28" s="1198">
        <f>-'CXP 04-26 RES'!H18</f>
        <v>-116055.56</v>
      </c>
      <c r="K28" s="1378">
        <f>+'Costos a Sept-25'!B43</f>
        <v>12715384.379999999</v>
      </c>
      <c r="L28" s="1378">
        <f>+'Costos a Sept-25'!C43</f>
        <v>0</v>
      </c>
      <c r="M28" s="1378">
        <f>+'Costos a Sept-25'!D43</f>
        <v>0</v>
      </c>
      <c r="N28" s="1378">
        <f>+'Costos a Sept-25'!E43</f>
        <v>128745.38</v>
      </c>
      <c r="O28" s="1378">
        <f>+'Costos a Sept-25'!F43</f>
        <v>552632.57999999996</v>
      </c>
      <c r="P28" s="1378">
        <f>+'Costos a Sept-25'!G43</f>
        <v>120006</v>
      </c>
      <c r="Q28" s="1378">
        <f>+'Costos a Sept-25'!H43</f>
        <v>1543136</v>
      </c>
      <c r="R28" s="1378">
        <f>+'Costos a Sept-25'!I43</f>
        <v>300</v>
      </c>
      <c r="S28" s="1378">
        <f>+'Costos a Sept-25'!J43</f>
        <v>223322.53</v>
      </c>
      <c r="T28" s="1379">
        <f>+'Costos a Sept-25'!K43</f>
        <v>1594150.23</v>
      </c>
      <c r="U28" s="1379">
        <f>+'Costos a Oct-25'!L48</f>
        <v>842419.7</v>
      </c>
      <c r="V28" s="1379">
        <f>+'Costos a Nov-25'!M46</f>
        <v>339222.22</v>
      </c>
      <c r="W28" s="1379">
        <f>+'Costos a Ene-26'!N46</f>
        <v>2546180</v>
      </c>
      <c r="X28" s="1379">
        <f>+'Costos a Ene-26'!O46</f>
        <v>517341.31</v>
      </c>
      <c r="Y28" s="1379">
        <f>+'Costos a Feb-26'!P46</f>
        <v>0</v>
      </c>
      <c r="Z28" s="1379">
        <f>+'Costos a Mar-26'!Q46</f>
        <v>347884.07</v>
      </c>
      <c r="AA28" s="1379">
        <f>+'Costos a Abr-26'!R46</f>
        <v>1367403.98</v>
      </c>
      <c r="AB28" s="1209">
        <f>SUM(U28:X28)</f>
        <v>4245163.2299999995</v>
      </c>
    </row>
    <row r="29" spans="2:28" s="1183" customFormat="1" ht="12">
      <c r="B29" s="1197" t="s">
        <v>49</v>
      </c>
      <c r="C29" s="1198">
        <f>+'ADI 09-25'!C33</f>
        <v>25000000</v>
      </c>
      <c r="D29" s="1198">
        <f>SUM(G29:I29)</f>
        <v>24432807.359999999</v>
      </c>
      <c r="E29" s="1198">
        <f>+C29-D29</f>
        <v>567192.6400000006</v>
      </c>
      <c r="F29" s="1198">
        <f>SUM(G29:J29)</f>
        <v>24432807.359999999</v>
      </c>
      <c r="G29" s="1198">
        <f>SUM(K29:AA29)</f>
        <v>24159807.359999999</v>
      </c>
      <c r="H29" s="1198"/>
      <c r="I29" s="1198">
        <f>+'Anticipos 04-26'!D3</f>
        <v>273000</v>
      </c>
      <c r="J29" s="1198"/>
      <c r="K29" s="1378">
        <f>+'Costos a Sept-25'!B4</f>
        <v>21168315.640000001</v>
      </c>
      <c r="L29" s="1378">
        <f>+'Costos a Sept-25'!C4</f>
        <v>239349.75</v>
      </c>
      <c r="M29" s="1378">
        <f>+'Costos a Sept-25'!D4</f>
        <v>0</v>
      </c>
      <c r="N29" s="1378">
        <f>+'Costos a Sept-25'!E4</f>
        <v>146320</v>
      </c>
      <c r="O29" s="1378">
        <f>+'Costos a Sept-25'!F4</f>
        <v>108350.26</v>
      </c>
      <c r="P29" s="1378">
        <f>+'Costos a Sept-25'!G4</f>
        <v>53100</v>
      </c>
      <c r="Q29" s="1378">
        <f>+'Costos a Sept-25'!H4</f>
        <v>0</v>
      </c>
      <c r="R29" s="1378">
        <f>+'Costos a Sept-25'!I4</f>
        <v>0</v>
      </c>
      <c r="S29" s="1378">
        <f>+'Costos a Sept-25'!J4</f>
        <v>1595686.82</v>
      </c>
      <c r="T29" s="1379">
        <f>+'Costos a Sept-25'!K4</f>
        <v>87792</v>
      </c>
      <c r="U29" s="1379">
        <f>+'Costos a Oct-25'!L4</f>
        <v>310669.15000000002</v>
      </c>
      <c r="V29" s="1379">
        <f>+'Costos a Nov-25'!M4</f>
        <v>0</v>
      </c>
      <c r="W29" s="1379">
        <v>2105.11</v>
      </c>
      <c r="X29" s="1379">
        <f>+'Costos a Ene-26'!O4</f>
        <v>0</v>
      </c>
      <c r="Y29" s="1379">
        <f>+'Costos a Feb-26'!P4</f>
        <v>416685.22</v>
      </c>
      <c r="Z29" s="1379">
        <f>+'Costos a Mar-26'!Q4</f>
        <v>31433.410000000033</v>
      </c>
      <c r="AA29" s="1379">
        <f>+'Costos a Abr-26'!R4</f>
        <v>0</v>
      </c>
      <c r="AB29" s="1209">
        <f>SUM(U29:X29)</f>
        <v>312774.26</v>
      </c>
    </row>
    <row r="30" spans="2:28" s="1183" customFormat="1" ht="12">
      <c r="B30" s="1197" t="s">
        <v>50</v>
      </c>
      <c r="C30" s="1198">
        <f>+'ADI 09-25'!C34</f>
        <v>232739209.20512</v>
      </c>
      <c r="D30" s="1198">
        <f>SUM(G30:I30)</f>
        <v>12878255.439999999</v>
      </c>
      <c r="E30" s="1198">
        <f>+C30-D30</f>
        <v>219860953.76512</v>
      </c>
      <c r="F30" s="1198">
        <f>SUM(G30:J30)</f>
        <v>12878255.439999999</v>
      </c>
      <c r="G30" s="1198">
        <f>SUM(K30:AA30)</f>
        <v>12878255.439999999</v>
      </c>
      <c r="H30" s="1198"/>
      <c r="I30" s="1198"/>
      <c r="J30" s="1198"/>
      <c r="K30" s="1378">
        <f>+'Costos a Sept-25'!B47</f>
        <v>0</v>
      </c>
      <c r="L30" s="1378">
        <f>+'Costos a Sept-25'!C47</f>
        <v>0</v>
      </c>
      <c r="M30" s="1378">
        <f>+'Costos a Sept-25'!D47</f>
        <v>0</v>
      </c>
      <c r="N30" s="1378">
        <f>+'Costos a Sept-25'!E47</f>
        <v>0</v>
      </c>
      <c r="O30" s="1378">
        <f>+'Costos a Sept-25'!F47</f>
        <v>0</v>
      </c>
      <c r="P30" s="1378">
        <f>+'Costos a Sept-25'!G47</f>
        <v>0</v>
      </c>
      <c r="Q30" s="1378">
        <f>+'Costos a Sept-25'!H47</f>
        <v>0</v>
      </c>
      <c r="R30" s="1378">
        <f>+'Costos a Sept-25'!I47</f>
        <v>0</v>
      </c>
      <c r="S30" s="1378">
        <f>+'Costos a Sept-25'!J47</f>
        <v>0</v>
      </c>
      <c r="T30" s="1379">
        <f>+'Costos a Sept-25'!K47</f>
        <v>0</v>
      </c>
      <c r="U30" s="1379">
        <f>+'Costos a Oct-25'!L51</f>
        <v>5900</v>
      </c>
      <c r="V30" s="1379">
        <f>+'Costos a Nov-25'!M50</f>
        <v>0</v>
      </c>
      <c r="W30" s="1379">
        <f>+'Costos a Ene-26'!N50</f>
        <v>4408448</v>
      </c>
      <c r="X30" s="1379">
        <f>+'Costos a Ene-26'!O50</f>
        <v>0</v>
      </c>
      <c r="Y30" s="1379">
        <f>+'Costos a Feb-26'!P50</f>
        <v>0</v>
      </c>
      <c r="Z30" s="1379">
        <f>+'Costos a Mar-26'!Q50</f>
        <v>8473629.6600000001</v>
      </c>
      <c r="AA30" s="1379">
        <f>+'Costos a Abr-26'!R50</f>
        <v>-9722.2199999999993</v>
      </c>
      <c r="AB30" s="1371">
        <f>SUM(U30:X30)</f>
        <v>4414348</v>
      </c>
    </row>
    <row r="31" spans="2:28" s="1183" customFormat="1" ht="12">
      <c r="B31" s="1197" t="s">
        <v>51</v>
      </c>
      <c r="C31" s="1198">
        <f>+'ADI 09-25'!C35</f>
        <v>19863403.175999999</v>
      </c>
      <c r="D31" s="1198">
        <f>SUM(G31:I31)</f>
        <v>0</v>
      </c>
      <c r="E31" s="1198">
        <f>+C31-D31</f>
        <v>19863403.175999999</v>
      </c>
      <c r="F31" s="1198">
        <f>SUM(G31:J31)</f>
        <v>0</v>
      </c>
      <c r="G31" s="1198">
        <f>SUM(K31:AA31)</f>
        <v>0</v>
      </c>
      <c r="H31" s="1198"/>
      <c r="I31" s="1198"/>
      <c r="J31" s="1198"/>
      <c r="K31" s="1378">
        <f>+'Costos a Sept-25'!B45</f>
        <v>0</v>
      </c>
      <c r="L31" s="1378">
        <f>+'Costos a Sept-25'!C45</f>
        <v>0</v>
      </c>
      <c r="M31" s="1378">
        <f>+'Costos a Sept-25'!D45</f>
        <v>0</v>
      </c>
      <c r="N31" s="1378">
        <f>+'Costos a Sept-25'!E45</f>
        <v>0</v>
      </c>
      <c r="O31" s="1378">
        <f>+'Costos a Sept-25'!F45</f>
        <v>0</v>
      </c>
      <c r="P31" s="1378">
        <f>+'Costos a Sept-25'!G45</f>
        <v>0</v>
      </c>
      <c r="Q31" s="1378">
        <f>+'Costos a Sept-25'!H45</f>
        <v>0</v>
      </c>
      <c r="R31" s="1378">
        <f>+'Costos a Sept-25'!I45</f>
        <v>0</v>
      </c>
      <c r="S31" s="1378">
        <f>+'Costos a Sept-25'!J45</f>
        <v>0</v>
      </c>
      <c r="T31" s="1379">
        <f>+'Costos a Sept-25'!K45</f>
        <v>0</v>
      </c>
      <c r="U31" s="1379">
        <f>+'Costos a Oct-25'!L45</f>
        <v>0</v>
      </c>
      <c r="V31" s="1379">
        <f>+'Costos a Nov-25'!M48</f>
        <v>0</v>
      </c>
      <c r="W31" s="1379">
        <f>+'Costos a Ene-26'!N48</f>
        <v>0</v>
      </c>
      <c r="X31" s="1379">
        <f>+'Costos a Ene-26'!O48</f>
        <v>0</v>
      </c>
      <c r="Y31" s="1379">
        <f>+'Costos a Feb-26'!P48</f>
        <v>0</v>
      </c>
      <c r="Z31" s="1379">
        <f>+'Costos a Mar-26'!Q48</f>
        <v>0</v>
      </c>
      <c r="AA31" s="1379">
        <f>+'Costos a Abr-26'!R48</f>
        <v>0</v>
      </c>
      <c r="AB31" s="1209">
        <f>SUM(U31:X31)</f>
        <v>0</v>
      </c>
    </row>
    <row r="32" spans="2:28" s="1183" customFormat="1" ht="12">
      <c r="B32" s="1199" t="s">
        <v>52</v>
      </c>
      <c r="C32" s="1200">
        <f>SUM(C28:C31)</f>
        <v>308102612.38111997</v>
      </c>
      <c r="D32" s="1200">
        <f t="shared" ref="D32:AB32" si="9">SUM(D28:D31)</f>
        <v>61862895.809999987</v>
      </c>
      <c r="E32" s="1200">
        <f t="shared" si="9"/>
        <v>246239716.57111999</v>
      </c>
      <c r="F32" s="1200">
        <f t="shared" si="9"/>
        <v>61746840.249999993</v>
      </c>
      <c r="G32" s="1200">
        <f t="shared" si="9"/>
        <v>59876191.179999992</v>
      </c>
      <c r="H32" s="1200">
        <f t="shared" si="9"/>
        <v>0</v>
      </c>
      <c r="I32" s="1200">
        <f t="shared" si="9"/>
        <v>1986704.63</v>
      </c>
      <c r="J32" s="1200">
        <f t="shared" si="9"/>
        <v>-116055.56</v>
      </c>
      <c r="K32" s="1380">
        <f t="shared" si="9"/>
        <v>33883700.019999996</v>
      </c>
      <c r="L32" s="1380">
        <f t="shared" si="9"/>
        <v>239349.75</v>
      </c>
      <c r="M32" s="1380">
        <f t="shared" si="9"/>
        <v>0</v>
      </c>
      <c r="N32" s="1380">
        <f t="shared" si="9"/>
        <v>275065.38</v>
      </c>
      <c r="O32" s="1380">
        <f t="shared" si="9"/>
        <v>660982.84</v>
      </c>
      <c r="P32" s="1380">
        <f t="shared" si="9"/>
        <v>173106</v>
      </c>
      <c r="Q32" s="1380">
        <f t="shared" si="9"/>
        <v>1543136</v>
      </c>
      <c r="R32" s="1380">
        <f t="shared" si="9"/>
        <v>300</v>
      </c>
      <c r="S32" s="1380">
        <f t="shared" si="9"/>
        <v>1819009.35</v>
      </c>
      <c r="T32" s="1381">
        <f t="shared" si="9"/>
        <v>1681942.23</v>
      </c>
      <c r="U32" s="1381">
        <f t="shared" si="9"/>
        <v>1158988.8500000001</v>
      </c>
      <c r="V32" s="1381">
        <f t="shared" si="9"/>
        <v>339222.22</v>
      </c>
      <c r="W32" s="1381">
        <f t="shared" si="9"/>
        <v>6956733.1099999994</v>
      </c>
      <c r="X32" s="1381">
        <f t="shared" si="9"/>
        <v>517341.31</v>
      </c>
      <c r="Y32" s="1381">
        <f t="shared" si="9"/>
        <v>416685.22</v>
      </c>
      <c r="Z32" s="1381">
        <f t="shared" si="9"/>
        <v>8852947.1400000006</v>
      </c>
      <c r="AA32" s="1381">
        <f t="shared" ref="AA32" si="10">SUM(AA28:AA31)</f>
        <v>1357681.76</v>
      </c>
      <c r="AB32" s="1210">
        <f t="shared" si="9"/>
        <v>8972285.4899999984</v>
      </c>
    </row>
    <row r="33" spans="2:28" s="1183" customFormat="1" ht="12">
      <c r="B33" s="1202" t="s">
        <v>53</v>
      </c>
      <c r="C33" s="1203">
        <f t="shared" ref="C33:AB33" si="11">+C14+C21+C27+C32</f>
        <v>3428528420.3315516</v>
      </c>
      <c r="D33" s="1203">
        <f t="shared" si="11"/>
        <v>623519977.8299998</v>
      </c>
      <c r="E33" s="1203">
        <f t="shared" si="11"/>
        <v>2805008442.5015516</v>
      </c>
      <c r="F33" s="1203">
        <f t="shared" si="11"/>
        <v>604519016.44999993</v>
      </c>
      <c r="G33" s="1203">
        <f t="shared" si="11"/>
        <v>621163918.43999982</v>
      </c>
      <c r="H33" s="1203">
        <f t="shared" si="11"/>
        <v>278099.52</v>
      </c>
      <c r="I33" s="1203">
        <f t="shared" si="11"/>
        <v>2077959.8699999999</v>
      </c>
      <c r="J33" s="1203">
        <f t="shared" si="11"/>
        <v>-19000961.380000003</v>
      </c>
      <c r="K33" s="1382">
        <f t="shared" si="11"/>
        <v>151080073.93000001</v>
      </c>
      <c r="L33" s="1382">
        <f t="shared" si="11"/>
        <v>2968703.3</v>
      </c>
      <c r="M33" s="1382">
        <f t="shared" si="11"/>
        <v>2613690.2399999998</v>
      </c>
      <c r="N33" s="1382">
        <f t="shared" si="11"/>
        <v>2895724.79</v>
      </c>
      <c r="O33" s="1382">
        <f t="shared" si="11"/>
        <v>7649161.7599999998</v>
      </c>
      <c r="P33" s="1382">
        <f t="shared" si="11"/>
        <v>6705088.7199999997</v>
      </c>
      <c r="Q33" s="1382">
        <f t="shared" si="11"/>
        <v>10036771</v>
      </c>
      <c r="R33" s="1382">
        <f t="shared" si="11"/>
        <v>19175567.920000002</v>
      </c>
      <c r="S33" s="1382">
        <f t="shared" si="11"/>
        <v>195778925.68999997</v>
      </c>
      <c r="T33" s="1383">
        <f t="shared" si="11"/>
        <v>19508128.399999999</v>
      </c>
      <c r="U33" s="1383">
        <f t="shared" si="11"/>
        <v>20646777.380000003</v>
      </c>
      <c r="V33" s="1383">
        <f t="shared" si="11"/>
        <v>23609624.669999998</v>
      </c>
      <c r="W33" s="1383">
        <f t="shared" si="11"/>
        <v>34305645.439999998</v>
      </c>
      <c r="X33" s="1383">
        <f t="shared" si="11"/>
        <v>13981426.51</v>
      </c>
      <c r="Y33" s="1383">
        <f t="shared" si="11"/>
        <v>23332142.700000003</v>
      </c>
      <c r="Z33" s="1383">
        <f t="shared" si="11"/>
        <v>52302359.240000002</v>
      </c>
      <c r="AA33" s="1383">
        <f t="shared" ref="AA33" si="12">+AA14+AA21+AA27+AA32</f>
        <v>34574106.749999993</v>
      </c>
      <c r="AB33" s="1211">
        <f t="shared" si="11"/>
        <v>92543474</v>
      </c>
    </row>
    <row r="34" spans="2:28" s="1183" customFormat="1" ht="12">
      <c r="B34" s="1267" t="s">
        <v>1922</v>
      </c>
      <c r="C34" s="1268"/>
      <c r="D34" s="1268"/>
      <c r="E34" s="1268"/>
      <c r="F34" s="1268"/>
      <c r="G34" s="1268"/>
      <c r="H34" s="1268"/>
      <c r="I34" s="1268"/>
      <c r="J34" s="1268"/>
      <c r="K34" s="1205"/>
      <c r="U34" s="1435"/>
      <c r="V34" s="1435"/>
      <c r="W34" s="1627"/>
      <c r="X34" s="1627"/>
      <c r="Y34" s="1627"/>
      <c r="Z34" s="1627"/>
      <c r="AA34" s="1627">
        <f>+G33+AA33</f>
        <v>655738025.18999982</v>
      </c>
    </row>
    <row r="35" spans="2:28" s="1183" customFormat="1" ht="12">
      <c r="C35" s="1188"/>
      <c r="D35" s="1206">
        <f t="shared" ref="D35" si="13">+D33-D14</f>
        <v>359074897.66999984</v>
      </c>
      <c r="E35" s="1206"/>
      <c r="F35" s="1206">
        <f>+F33-F14</f>
        <v>340073936.28999996</v>
      </c>
      <c r="G35" s="1206">
        <f>+G33-G34</f>
        <v>621163918.43999982</v>
      </c>
      <c r="H35" s="1206">
        <f>+H33-H34</f>
        <v>278099.52</v>
      </c>
      <c r="I35" s="1206">
        <f t="shared" ref="I35" si="14">+I33-I34</f>
        <v>2077959.8699999999</v>
      </c>
      <c r="J35" s="1206">
        <v>23142348.350000001</v>
      </c>
      <c r="K35" s="1204"/>
      <c r="L35" s="1204"/>
      <c r="M35" s="1204"/>
      <c r="N35" s="1204"/>
      <c r="O35" s="1204"/>
      <c r="P35" s="1204"/>
      <c r="Q35" s="1204"/>
      <c r="R35" s="1204"/>
      <c r="S35" s="1204"/>
      <c r="T35" s="1204"/>
      <c r="U35" s="1204"/>
      <c r="V35" s="1204"/>
      <c r="W35" s="1204"/>
      <c r="X35" s="1204"/>
      <c r="Y35" s="1204"/>
      <c r="Z35" s="1204"/>
      <c r="AA35" s="1204"/>
    </row>
    <row r="36" spans="2:28" s="1183" customFormat="1" ht="12">
      <c r="B36" s="1205"/>
      <c r="C36" s="1207"/>
      <c r="D36" s="1204">
        <f>+D33-G33</f>
        <v>2356059.3899999857</v>
      </c>
      <c r="E36" s="1204"/>
      <c r="J36" s="1627">
        <f>+J33+J35</f>
        <v>4141386.9699999988</v>
      </c>
    </row>
  </sheetData>
  <mergeCells count="3">
    <mergeCell ref="B3:C3"/>
    <mergeCell ref="D10:J10"/>
    <mergeCell ref="B11:C11"/>
  </mergeCells>
  <hyperlinks>
    <hyperlink ref="F1" r:id="rId1" xr:uid="{8177FDB6-82AE-4216-910F-44C558DAAE9D}"/>
  </hyperlinks>
  <pageMargins left="0.5" right="0.69" top="0.92" bottom="1" header="0" footer="0"/>
  <pageSetup scale="38" orientation="landscape" r:id="rId2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797A2-5919-41CB-A011-7CA7B97CE7B7}">
  <dimension ref="A1:G59"/>
  <sheetViews>
    <sheetView showGridLines="0" topLeftCell="A4" zoomScaleNormal="100" workbookViewId="0">
      <selection activeCell="H25" sqref="H25"/>
    </sheetView>
  </sheetViews>
  <sheetFormatPr baseColWidth="10" defaultColWidth="8" defaultRowHeight="11.4"/>
  <cols>
    <col min="1" max="1" width="1.21875" style="2041" customWidth="1"/>
    <col min="2" max="2" width="42.6640625" style="2041" customWidth="1"/>
    <col min="3" max="3" width="13.33203125" style="2041" customWidth="1"/>
    <col min="4" max="4" width="4.88671875" style="2041" customWidth="1"/>
    <col min="5" max="5" width="11.21875" style="2041" bestFit="1" customWidth="1"/>
    <col min="6" max="6" width="17.77734375" style="2041" bestFit="1" customWidth="1"/>
    <col min="7" max="7" width="12.6640625" style="2041" bestFit="1" customWidth="1"/>
    <col min="8" max="16384" width="8" style="2041"/>
  </cols>
  <sheetData>
    <row r="1" spans="1:7" s="2059" customFormat="1" ht="16.649999999999999" customHeight="1">
      <c r="A1" s="2060" t="s">
        <v>235</v>
      </c>
      <c r="B1" s="2060"/>
      <c r="C1" s="2060"/>
      <c r="D1" s="2060"/>
    </row>
    <row r="2" spans="1:7" s="2057" customFormat="1" ht="14.4" customHeight="1">
      <c r="A2" s="2058" t="s">
        <v>236</v>
      </c>
      <c r="B2" s="2058"/>
      <c r="C2" s="2058"/>
      <c r="D2" s="2058"/>
    </row>
    <row r="3" spans="1:7" s="2057" customFormat="1" ht="14.4" customHeight="1">
      <c r="A3" s="2058" t="s">
        <v>2729</v>
      </c>
      <c r="B3" s="2058"/>
      <c r="C3" s="2058"/>
      <c r="D3" s="2058"/>
    </row>
    <row r="4" spans="1:7" ht="13.35" customHeight="1"/>
    <row r="5" spans="1:7" s="2050" customFormat="1" ht="12.15" customHeight="1">
      <c r="A5" s="2051"/>
      <c r="B5" s="2056" t="s">
        <v>238</v>
      </c>
      <c r="C5" s="2055" t="s">
        <v>2736</v>
      </c>
      <c r="D5" s="2055"/>
    </row>
    <row r="6" spans="1:7" ht="13.35" customHeight="1"/>
    <row r="7" spans="1:7" s="2050" customFormat="1" ht="12.15" customHeight="1">
      <c r="A7" s="2051" t="s">
        <v>239</v>
      </c>
      <c r="B7" s="2051"/>
      <c r="C7" s="2051"/>
      <c r="D7" s="2051"/>
    </row>
    <row r="8" spans="1:7" ht="10.95" customHeight="1">
      <c r="A8" s="2054"/>
      <c r="B8" s="2054" t="s">
        <v>638</v>
      </c>
      <c r="C8" s="2054"/>
      <c r="D8" s="2054"/>
    </row>
    <row r="9" spans="1:7" ht="10.95" customHeight="1">
      <c r="B9" s="2046" t="s">
        <v>2583</v>
      </c>
      <c r="C9" s="2047">
        <v>31020168.489999998</v>
      </c>
      <c r="D9" s="2046"/>
    </row>
    <row r="10" spans="1:7" ht="10.95" customHeight="1">
      <c r="B10" s="2046" t="s">
        <v>639</v>
      </c>
      <c r="C10" s="2047">
        <v>8392782.25</v>
      </c>
      <c r="D10" s="2046"/>
      <c r="F10" s="1440" t="s">
        <v>2246</v>
      </c>
      <c r="G10" s="1874">
        <f>-'FLUJO 04-26'!C27</f>
        <v>-8720982618.3299999</v>
      </c>
    </row>
    <row r="11" spans="1:7" ht="10.95" customHeight="1">
      <c r="B11" s="2046" t="s">
        <v>1608</v>
      </c>
      <c r="C11" s="2047">
        <v>7624782.3799999999</v>
      </c>
      <c r="D11" s="2046" t="s">
        <v>641</v>
      </c>
      <c r="F11" s="1440" t="s">
        <v>2247</v>
      </c>
      <c r="G11" s="1566">
        <f>+C17</f>
        <v>50703137.499999993</v>
      </c>
    </row>
    <row r="12" spans="1:7" ht="10.95" customHeight="1">
      <c r="B12" s="2046" t="s">
        <v>640</v>
      </c>
      <c r="C12" s="2047">
        <v>2181034.7200000002</v>
      </c>
      <c r="D12" s="2046" t="s">
        <v>641</v>
      </c>
      <c r="F12" s="1872" t="s">
        <v>191</v>
      </c>
      <c r="G12" s="1873">
        <f>+G10+G11</f>
        <v>-8670279480.8299999</v>
      </c>
    </row>
    <row r="13" spans="1:7" ht="10.95" customHeight="1">
      <c r="B13" s="2046" t="s">
        <v>1392</v>
      </c>
      <c r="C13" s="2047">
        <v>248175.55</v>
      </c>
      <c r="D13" s="2046" t="s">
        <v>641</v>
      </c>
    </row>
    <row r="14" spans="1:7" ht="10.95" customHeight="1">
      <c r="B14" s="2046" t="s">
        <v>1394</v>
      </c>
      <c r="C14" s="2047">
        <v>22787.33</v>
      </c>
      <c r="D14" s="2046"/>
    </row>
    <row r="15" spans="1:7" ht="10.95" customHeight="1">
      <c r="B15" s="2046" t="s">
        <v>844</v>
      </c>
      <c r="C15" s="2047">
        <v>1129860.31</v>
      </c>
      <c r="D15" s="2046" t="s">
        <v>641</v>
      </c>
    </row>
    <row r="16" spans="1:7" ht="10.95" customHeight="1">
      <c r="B16" s="2046" t="s">
        <v>845</v>
      </c>
      <c r="C16" s="2047">
        <v>83546.47</v>
      </c>
      <c r="D16" s="2046"/>
    </row>
    <row r="17" spans="1:4" ht="10.95" customHeight="1">
      <c r="B17" s="2044" t="s">
        <v>642</v>
      </c>
      <c r="C17" s="2045">
        <f>SUM(C9:C16)</f>
        <v>50703137.499999993</v>
      </c>
      <c r="D17" s="2044"/>
    </row>
    <row r="18" spans="1:4" ht="10.95" customHeight="1">
      <c r="A18" s="2054"/>
      <c r="B18" s="2054" t="s">
        <v>240</v>
      </c>
      <c r="C18" s="2054"/>
      <c r="D18" s="2054"/>
    </row>
    <row r="19" spans="1:4" ht="10.95" customHeight="1">
      <c r="B19" s="2046" t="s">
        <v>241</v>
      </c>
      <c r="C19" s="2047">
        <v>2077959.95</v>
      </c>
      <c r="D19" s="2046"/>
    </row>
    <row r="20" spans="1:4" ht="10.95" customHeight="1">
      <c r="B20" s="2046" t="s">
        <v>1826</v>
      </c>
      <c r="C20" s="2047">
        <v>2606856.89</v>
      </c>
      <c r="D20" s="2046"/>
    </row>
    <row r="21" spans="1:4" ht="10.95" customHeight="1">
      <c r="B21" s="2044" t="s">
        <v>242</v>
      </c>
      <c r="C21" s="2045">
        <f>SUM(C19:C20)</f>
        <v>4684816.84</v>
      </c>
      <c r="D21" s="2044"/>
    </row>
    <row r="22" spans="1:4" ht="10.95" customHeight="1">
      <c r="A22" s="2054"/>
      <c r="B22" s="2054" t="s">
        <v>243</v>
      </c>
      <c r="C22" s="2054"/>
      <c r="D22" s="2054"/>
    </row>
    <row r="23" spans="1:4" ht="10.95" customHeight="1">
      <c r="B23" s="2046" t="s">
        <v>1278</v>
      </c>
      <c r="C23" s="2047">
        <v>285.52999999999997</v>
      </c>
      <c r="D23" s="2046"/>
    </row>
    <row r="24" spans="1:4" ht="10.95" customHeight="1">
      <c r="B24" s="2046" t="s">
        <v>800</v>
      </c>
      <c r="C24" s="2047">
        <v>426883470.81</v>
      </c>
      <c r="D24" s="2046"/>
    </row>
    <row r="25" spans="1:4" ht="10.95" customHeight="1">
      <c r="B25" s="2046" t="s">
        <v>245</v>
      </c>
      <c r="C25" s="2047">
        <v>158564063.81</v>
      </c>
      <c r="D25" s="2046"/>
    </row>
    <row r="26" spans="1:4" ht="10.95" customHeight="1">
      <c r="B26" s="2046" t="s">
        <v>801</v>
      </c>
      <c r="C26" s="2047">
        <v>35716383.82</v>
      </c>
      <c r="D26" s="2046"/>
    </row>
    <row r="27" spans="1:4" ht="10.95" customHeight="1">
      <c r="B27" s="2044" t="s">
        <v>247</v>
      </c>
      <c r="C27" s="2045">
        <f>SUM(C23:C26)</f>
        <v>621164203.97000003</v>
      </c>
      <c r="D27" s="2044"/>
    </row>
    <row r="28" spans="1:4" ht="10.95" customHeight="1">
      <c r="A28" s="2044" t="s">
        <v>248</v>
      </c>
      <c r="C28" s="2045">
        <f>(0 + ((C17 + C21) + C27))</f>
        <v>676552158.31000006</v>
      </c>
      <c r="D28" s="2044"/>
    </row>
    <row r="29" spans="1:4" ht="13.35" customHeight="1"/>
    <row r="30" spans="1:4" s="2050" customFormat="1" ht="12.15" customHeight="1">
      <c r="A30" s="2051" t="s">
        <v>249</v>
      </c>
      <c r="B30" s="2051"/>
      <c r="C30" s="2051"/>
      <c r="D30" s="2051"/>
    </row>
    <row r="31" spans="1:4" ht="10.95" customHeight="1">
      <c r="A31" s="2054"/>
      <c r="B31" s="2054" t="s">
        <v>250</v>
      </c>
      <c r="C31" s="2054"/>
      <c r="D31" s="2054"/>
    </row>
    <row r="32" spans="1:4" ht="10.95" customHeight="1">
      <c r="B32" s="2046" t="s">
        <v>1825</v>
      </c>
      <c r="C32" s="2047">
        <v>140000000</v>
      </c>
      <c r="D32" s="2046"/>
    </row>
    <row r="33" spans="1:6" ht="10.95" customHeight="1">
      <c r="B33" s="2046" t="s">
        <v>799</v>
      </c>
      <c r="C33" s="2047">
        <v>147655.63</v>
      </c>
      <c r="D33" s="2046" t="s">
        <v>641</v>
      </c>
      <c r="E33" s="368">
        <v>41625.629999999997</v>
      </c>
    </row>
    <row r="34" spans="1:6" ht="10.95" customHeight="1">
      <c r="B34" s="2046" t="s">
        <v>251</v>
      </c>
      <c r="C34" s="2047">
        <v>18986237.41</v>
      </c>
      <c r="D34" s="2046" t="s">
        <v>641</v>
      </c>
      <c r="E34" s="2061">
        <f>+E33*61</f>
        <v>2539163.4299999997</v>
      </c>
      <c r="F34" s="2062">
        <f>+C35+E34</f>
        <v>187486281.90000001</v>
      </c>
    </row>
    <row r="35" spans="1:6" ht="10.95" customHeight="1">
      <c r="B35" s="2046" t="s">
        <v>802</v>
      </c>
      <c r="C35" s="2047">
        <v>184947118.47</v>
      </c>
      <c r="D35" s="2046"/>
    </row>
    <row r="36" spans="1:6" ht="10.95" customHeight="1">
      <c r="B36" s="2046" t="s">
        <v>2584</v>
      </c>
      <c r="C36" s="2047">
        <v>56826</v>
      </c>
      <c r="D36" s="2046"/>
    </row>
    <row r="37" spans="1:6" ht="10.95" customHeight="1">
      <c r="B37" s="2046" t="s">
        <v>803</v>
      </c>
      <c r="C37" s="2047">
        <v>38161.660000000003</v>
      </c>
      <c r="D37" s="2046"/>
    </row>
    <row r="38" spans="1:6" ht="10.95" customHeight="1">
      <c r="B38" s="2046" t="s">
        <v>804</v>
      </c>
      <c r="C38" s="2047">
        <v>336510.79</v>
      </c>
      <c r="D38" s="2046"/>
    </row>
    <row r="39" spans="1:6" ht="10.95" customHeight="1">
      <c r="B39" s="2046" t="s">
        <v>2441</v>
      </c>
      <c r="C39" s="2047">
        <v>375642.73</v>
      </c>
      <c r="D39" s="2046"/>
    </row>
    <row r="40" spans="1:6" ht="10.95" customHeight="1">
      <c r="B40" s="2046" t="s">
        <v>2442</v>
      </c>
      <c r="C40" s="2047">
        <v>216189.6</v>
      </c>
      <c r="D40" s="2046"/>
    </row>
    <row r="41" spans="1:6" ht="10.95" customHeight="1">
      <c r="B41" s="2046" t="s">
        <v>813</v>
      </c>
      <c r="C41" s="2047">
        <v>1113393.1499999999</v>
      </c>
      <c r="D41" s="2046"/>
    </row>
    <row r="42" spans="1:6" ht="10.95" customHeight="1">
      <c r="B42" s="2046" t="s">
        <v>805</v>
      </c>
      <c r="C42" s="2047">
        <v>21200.92</v>
      </c>
      <c r="D42" s="2046"/>
    </row>
    <row r="43" spans="1:6" ht="10.95" customHeight="1">
      <c r="B43" s="2046" t="s">
        <v>2248</v>
      </c>
      <c r="C43" s="2047">
        <v>79146.259999999995</v>
      </c>
      <c r="D43" s="2046"/>
    </row>
    <row r="44" spans="1:6" ht="10.95" customHeight="1">
      <c r="B44" s="2046" t="s">
        <v>2443</v>
      </c>
      <c r="C44" s="2047">
        <v>2.76</v>
      </c>
      <c r="D44" s="2046"/>
    </row>
    <row r="45" spans="1:6" ht="10.95" customHeight="1">
      <c r="B45" s="2044" t="s">
        <v>253</v>
      </c>
      <c r="C45" s="2045">
        <f>SUM(C32:C44)</f>
        <v>346318085.38000005</v>
      </c>
      <c r="D45" s="2044"/>
    </row>
    <row r="46" spans="1:6" ht="10.95" customHeight="1">
      <c r="A46" s="2044" t="s">
        <v>254</v>
      </c>
      <c r="C46" s="2045">
        <f>(0 + C45)</f>
        <v>346318085.38000005</v>
      </c>
      <c r="D46" s="2044"/>
    </row>
    <row r="47" spans="1:6" ht="13.35" customHeight="1"/>
    <row r="48" spans="1:6" ht="10.95" customHeight="1">
      <c r="B48" s="2052" t="s">
        <v>255</v>
      </c>
      <c r="C48" s="2053">
        <f>(C28 - C46)</f>
        <v>330234072.93000001</v>
      </c>
      <c r="D48" s="2052"/>
    </row>
    <row r="49" spans="1:4" ht="13.35" customHeight="1"/>
    <row r="50" spans="1:4" s="2050" customFormat="1" ht="12.15" customHeight="1">
      <c r="A50" s="2051" t="s">
        <v>256</v>
      </c>
      <c r="B50" s="2051"/>
      <c r="C50" s="2051"/>
      <c r="D50" s="2051"/>
    </row>
    <row r="51" spans="1:4" ht="10.95" customHeight="1">
      <c r="B51" s="2048" t="s">
        <v>257</v>
      </c>
      <c r="C51" s="2049">
        <v>329948451.97000003</v>
      </c>
      <c r="D51" s="2048"/>
    </row>
    <row r="52" spans="1:4" ht="10.95" customHeight="1">
      <c r="B52" s="2046" t="s">
        <v>647</v>
      </c>
      <c r="C52" s="2047">
        <v>-2606442.11</v>
      </c>
      <c r="D52" s="2046"/>
    </row>
    <row r="53" spans="1:4" ht="10.95" customHeight="1">
      <c r="B53" s="2046" t="s">
        <v>846</v>
      </c>
      <c r="C53" s="2047">
        <v>2892063.07</v>
      </c>
      <c r="D53" s="2046"/>
    </row>
    <row r="54" spans="1:4" ht="10.95" customHeight="1">
      <c r="A54" s="2044" t="s">
        <v>258</v>
      </c>
      <c r="C54" s="2045">
        <f>SUM(C51:C53)</f>
        <v>330234072.93000001</v>
      </c>
      <c r="D54" s="2044"/>
    </row>
    <row r="55" spans="1:4" ht="13.35" customHeight="1"/>
    <row r="56" spans="1:4" ht="13.35" customHeight="1"/>
    <row r="57" spans="1:4" ht="10.95" customHeight="1">
      <c r="A57" s="2042" t="s">
        <v>2737</v>
      </c>
    </row>
    <row r="58" spans="1:4" ht="10.95" customHeight="1">
      <c r="A58" s="2043" t="s">
        <v>2736</v>
      </c>
    </row>
    <row r="59" spans="1:4" ht="10.95" customHeight="1">
      <c r="A59" s="2042" t="s">
        <v>2735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3688A-56C4-47AC-8FC1-9723C1C7CCE6}">
  <dimension ref="A1:H30"/>
  <sheetViews>
    <sheetView showGridLines="0" topLeftCell="A9" zoomScale="110" zoomScaleNormal="110" workbookViewId="0">
      <selection activeCell="H30" sqref="H30"/>
    </sheetView>
  </sheetViews>
  <sheetFormatPr baseColWidth="10" defaultColWidth="8" defaultRowHeight="11.4"/>
  <cols>
    <col min="1" max="1" width="7" style="1440" customWidth="1"/>
    <col min="2" max="2" width="35.44140625" style="1440" customWidth="1"/>
    <col min="3" max="3" width="14.5546875" style="1440" bestFit="1" customWidth="1"/>
    <col min="4" max="4" width="14.5546875" style="1568" bestFit="1" customWidth="1"/>
    <col min="5" max="6" width="14.5546875" style="1440" customWidth="1"/>
    <col min="7" max="7" width="49.33203125" style="1440" customWidth="1"/>
    <col min="8" max="8" width="17.44140625" style="1440" bestFit="1" customWidth="1"/>
    <col min="9" max="16384" width="8" style="1440"/>
  </cols>
  <sheetData>
    <row r="1" spans="1:8" s="1437" customFormat="1" ht="16.649999999999999" customHeight="1">
      <c r="A1" s="2168"/>
      <c r="B1" s="2168"/>
      <c r="C1" s="2168"/>
      <c r="D1" s="2076"/>
    </row>
    <row r="2" spans="1:8" s="1439" customFormat="1" ht="21.6" customHeight="1">
      <c r="A2" s="2171" t="s">
        <v>236</v>
      </c>
      <c r="B2" s="2171"/>
      <c r="C2" s="2171"/>
      <c r="D2" s="2077"/>
    </row>
    <row r="3" spans="1:8" s="1439" customFormat="1" ht="14.4" customHeight="1">
      <c r="A3" s="2172" t="s">
        <v>2738</v>
      </c>
      <c r="B3" s="2172"/>
      <c r="C3" s="2172"/>
      <c r="D3" s="2077"/>
      <c r="G3" s="447" t="s">
        <v>2444</v>
      </c>
      <c r="H3" s="447"/>
    </row>
    <row r="4" spans="1:8" ht="4.95" customHeight="1" thickBot="1">
      <c r="G4" s="449" t="s">
        <v>236</v>
      </c>
      <c r="H4" s="449"/>
    </row>
    <row r="5" spans="1:8" s="1444" customFormat="1" ht="15">
      <c r="A5" s="1502"/>
      <c r="B5" s="1501" t="s">
        <v>2084</v>
      </c>
      <c r="C5" s="1598" t="s">
        <v>2009</v>
      </c>
      <c r="D5" s="1780"/>
      <c r="G5" s="449" t="s">
        <v>2739</v>
      </c>
      <c r="H5" s="449"/>
    </row>
    <row r="6" spans="1:8" ht="9" customHeight="1">
      <c r="A6" s="1491"/>
      <c r="C6" s="1495"/>
      <c r="G6"/>
      <c r="H6"/>
    </row>
    <row r="7" spans="1:8" s="1444" customFormat="1" ht="13.2">
      <c r="A7" s="1494" t="s">
        <v>2085</v>
      </c>
      <c r="B7" s="1445"/>
      <c r="C7" s="1493"/>
      <c r="D7" s="1780"/>
      <c r="G7" s="451" t="s">
        <v>238</v>
      </c>
      <c r="H7" s="452" t="s">
        <v>2740</v>
      </c>
    </row>
    <row r="8" spans="1:8" ht="14.4">
      <c r="A8" s="1491"/>
      <c r="B8" s="1450" t="s">
        <v>2086</v>
      </c>
      <c r="C8" s="1601">
        <f>+'BCE 04-26'!C17</f>
        <v>50703137.499999993</v>
      </c>
      <c r="G8"/>
      <c r="H8"/>
    </row>
    <row r="9" spans="1:8" ht="13.2">
      <c r="A9" s="1491"/>
      <c r="B9" s="1450" t="s">
        <v>241</v>
      </c>
      <c r="C9" s="1601">
        <f>+'BCE 04-26'!C21</f>
        <v>4684816.84</v>
      </c>
      <c r="E9" s="1568"/>
      <c r="F9" s="1568"/>
      <c r="G9" s="454" t="s">
        <v>2589</v>
      </c>
      <c r="H9" s="454"/>
    </row>
    <row r="10" spans="1:8" ht="14.4">
      <c r="A10" s="1491"/>
      <c r="B10" s="1450" t="s">
        <v>2087</v>
      </c>
      <c r="C10" s="1601">
        <f>+'BCE 04-26'!C27</f>
        <v>621164203.97000003</v>
      </c>
      <c r="D10" s="1568">
        <f>+C10*0.7</f>
        <v>434814942.77899998</v>
      </c>
      <c r="G10" s="459" t="s">
        <v>2590</v>
      </c>
      <c r="H10" s="460">
        <v>7223.65</v>
      </c>
    </row>
    <row r="11" spans="1:8" ht="12">
      <c r="A11" s="1498" t="s">
        <v>2088</v>
      </c>
      <c r="C11" s="1602">
        <f>(0 + ((C8 + C9) + C10))</f>
        <v>676552158.31000006</v>
      </c>
      <c r="D11" s="1568">
        <v>300000000</v>
      </c>
      <c r="E11" s="1568"/>
      <c r="F11" s="1568"/>
      <c r="G11" s="457" t="s">
        <v>2591</v>
      </c>
      <c r="H11" s="458">
        <f>SUM(H10:H10)</f>
        <v>7223.65</v>
      </c>
    </row>
    <row r="12" spans="1:8" ht="14.4">
      <c r="A12" s="1491"/>
      <c r="C12" s="1495"/>
      <c r="D12" s="1568">
        <f>+D10-D11</f>
        <v>134814942.77899998</v>
      </c>
      <c r="E12" s="1578"/>
      <c r="F12" s="1578"/>
      <c r="G12"/>
      <c r="H12"/>
    </row>
    <row r="13" spans="1:8" s="1444" customFormat="1" ht="13.2">
      <c r="A13" s="1494" t="s">
        <v>2089</v>
      </c>
      <c r="B13" s="1445"/>
      <c r="C13" s="1493"/>
      <c r="D13" s="1780">
        <f>+D12/62</f>
        <v>2174434.5609516124</v>
      </c>
      <c r="E13" s="1780"/>
      <c r="F13" s="1780"/>
      <c r="G13" s="461" t="s">
        <v>2592</v>
      </c>
      <c r="H13" s="462">
        <f>(H11 - 0)</f>
        <v>7223.65</v>
      </c>
    </row>
    <row r="14" spans="1:8" ht="14.4">
      <c r="A14" s="1491"/>
      <c r="B14" s="1450" t="s">
        <v>1825</v>
      </c>
      <c r="C14" s="1601">
        <f>+'BCE 04-26'!C32</f>
        <v>140000000</v>
      </c>
      <c r="G14"/>
      <c r="H14"/>
    </row>
    <row r="15" spans="1:8" ht="13.2">
      <c r="A15" s="1491"/>
      <c r="B15" s="1450" t="s">
        <v>251</v>
      </c>
      <c r="C15" s="1601">
        <f>+'BCE 04-26'!C34+'BCE 04-26'!C36+'BCE 04-26'!C33</f>
        <v>19190719.039999999</v>
      </c>
      <c r="E15" s="1876"/>
      <c r="F15" s="1876"/>
      <c r="G15" s="454" t="s">
        <v>2447</v>
      </c>
      <c r="H15" s="454"/>
    </row>
    <row r="16" spans="1:8" ht="14.4">
      <c r="A16" s="1491"/>
      <c r="B16" s="1450" t="s">
        <v>802</v>
      </c>
      <c r="C16" s="1601">
        <f>+'BCE 04-26'!C35</f>
        <v>184947118.47</v>
      </c>
      <c r="E16" s="1876"/>
      <c r="F16" s="1876"/>
      <c r="G16" s="459" t="s">
        <v>2448</v>
      </c>
      <c r="H16" s="460">
        <v>2373668.11</v>
      </c>
    </row>
    <row r="17" spans="1:8" ht="14.4">
      <c r="A17" s="1491"/>
      <c r="B17" s="1450" t="s">
        <v>2090</v>
      </c>
      <c r="C17" s="1601">
        <f>SUM('BCE 04-26'!C37:C44)</f>
        <v>2180247.8699999992</v>
      </c>
      <c r="E17" s="1876"/>
      <c r="F17" s="1876"/>
      <c r="G17" s="459" t="s">
        <v>2593</v>
      </c>
      <c r="H17" s="460">
        <v>3009.85</v>
      </c>
    </row>
    <row r="18" spans="1:8" ht="12">
      <c r="A18" s="1498" t="s">
        <v>2091</v>
      </c>
      <c r="C18" s="1602">
        <f>SUM(C14:C17)</f>
        <v>346318085.38</v>
      </c>
      <c r="E18" s="1876"/>
      <c r="F18" s="1876"/>
      <c r="G18" s="457" t="s">
        <v>2449</v>
      </c>
      <c r="H18" s="458">
        <f>SUM(H16:H17)</f>
        <v>2376677.96</v>
      </c>
    </row>
    <row r="19" spans="1:8" ht="14.4">
      <c r="A19" s="1491"/>
      <c r="C19" s="1603"/>
      <c r="E19" s="1876"/>
      <c r="F19" s="1876"/>
      <c r="G19"/>
      <c r="H19"/>
    </row>
    <row r="20" spans="1:8" ht="18" customHeight="1">
      <c r="A20" s="1607"/>
      <c r="B20" s="1461" t="s">
        <v>2092</v>
      </c>
      <c r="C20" s="1604">
        <f>(C11 - C18)</f>
        <v>330234072.93000007</v>
      </c>
      <c r="G20" s="454" t="s">
        <v>2450</v>
      </c>
      <c r="H20" s="454"/>
    </row>
    <row r="21" spans="1:8" ht="14.4">
      <c r="A21" s="1491"/>
      <c r="C21" s="1495"/>
      <c r="G21" s="455" t="s">
        <v>2594</v>
      </c>
      <c r="H21" s="456">
        <v>-42349.4</v>
      </c>
    </row>
    <row r="22" spans="1:8" s="1444" customFormat="1" ht="14.4">
      <c r="A22" s="1494" t="s">
        <v>2093</v>
      </c>
      <c r="B22" s="1445"/>
      <c r="C22" s="1493"/>
      <c r="D22" s="1780"/>
      <c r="G22" s="459" t="s">
        <v>2452</v>
      </c>
      <c r="H22" s="460">
        <v>231577.74</v>
      </c>
    </row>
    <row r="23" spans="1:8" ht="14.4">
      <c r="A23" s="1491"/>
      <c r="B23" s="1446" t="s">
        <v>2094</v>
      </c>
      <c r="C23" s="1605">
        <f>+'BCE 04-26'!C51</f>
        <v>329948451.97000003</v>
      </c>
      <c r="G23" s="459" t="s">
        <v>2453</v>
      </c>
      <c r="H23" s="460">
        <v>477683.05</v>
      </c>
    </row>
    <row r="24" spans="1:8" ht="14.4">
      <c r="A24" s="1491"/>
      <c r="B24" s="1450" t="s">
        <v>647</v>
      </c>
      <c r="C24" s="1601">
        <f>+'BCE 04-26'!C52</f>
        <v>-2606442.11</v>
      </c>
      <c r="G24" s="459" t="s">
        <v>2454</v>
      </c>
      <c r="H24" s="460">
        <v>2128.6799999999998</v>
      </c>
    </row>
    <row r="25" spans="1:8" ht="14.4">
      <c r="A25" s="1491"/>
      <c r="B25" s="1450" t="s">
        <v>846</v>
      </c>
      <c r="C25" s="1601">
        <f>+'BCE 04-26'!C53</f>
        <v>2892063.07</v>
      </c>
      <c r="G25" s="459" t="s">
        <v>2741</v>
      </c>
      <c r="H25" s="460">
        <v>968.2</v>
      </c>
    </row>
    <row r="26" spans="1:8" ht="14.4">
      <c r="A26" s="1498" t="s">
        <v>2095</v>
      </c>
      <c r="C26" s="1602">
        <f>SUM(C23:C25)</f>
        <v>330234072.93000001</v>
      </c>
      <c r="G26" s="459" t="s">
        <v>2742</v>
      </c>
      <c r="H26" s="460">
        <v>9220.56</v>
      </c>
    </row>
    <row r="27" spans="1:8" ht="14.4">
      <c r="A27" s="1491"/>
      <c r="B27" s="1446"/>
      <c r="C27" s="1605"/>
      <c r="G27" s="459" t="s">
        <v>2743</v>
      </c>
      <c r="H27" s="460">
        <v>1419051.82</v>
      </c>
    </row>
    <row r="28" spans="1:8" ht="19.2" customHeight="1" thickBot="1">
      <c r="A28" s="1608"/>
      <c r="B28" s="1489" t="s">
        <v>2095</v>
      </c>
      <c r="C28" s="1606">
        <f>+C26</f>
        <v>330234072.93000001</v>
      </c>
      <c r="G28" s="457" t="s">
        <v>2455</v>
      </c>
      <c r="H28" s="458">
        <f>SUM(H21:H27)</f>
        <v>2098280.6500000004</v>
      </c>
    </row>
    <row r="29" spans="1:8" ht="14.4">
      <c r="G29"/>
      <c r="H29"/>
    </row>
    <row r="30" spans="1:8" ht="12">
      <c r="G30" s="461" t="s">
        <v>2456</v>
      </c>
      <c r="H30" s="462">
        <f>((H13 + H18) - H28)</f>
        <v>285620.9599999995</v>
      </c>
    </row>
  </sheetData>
  <mergeCells count="3">
    <mergeCell ref="A1:C1"/>
    <mergeCell ref="A2:C2"/>
    <mergeCell ref="A3:C3"/>
  </mergeCells>
  <pageMargins left="0.7" right="0.7" top="0.75" bottom="0.75" header="0.3" footer="0.3"/>
  <pageSetup paperSize="9" fitToWidth="0" fitToHeight="0" orientation="portrait" horizontalDpi="0" verticalDpi="0"/>
  <ignoredErrors>
    <ignoredError sqref="C17" formulaRange="1"/>
  </ignoredErrors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DABD1-1DDA-489C-9342-694B38593458}">
  <dimension ref="A3:AH43"/>
  <sheetViews>
    <sheetView showGridLines="0" workbookViewId="0">
      <selection activeCell="C28" sqref="C28"/>
    </sheetView>
  </sheetViews>
  <sheetFormatPr baseColWidth="10" defaultColWidth="11.44140625" defaultRowHeight="14.4"/>
  <cols>
    <col min="1" max="1" width="24" customWidth="1"/>
    <col min="2" max="2" width="11.5546875" hidden="1" customWidth="1"/>
    <col min="3" max="3" width="14.6640625" bestFit="1" customWidth="1"/>
    <col min="4" max="4" width="11.5546875" customWidth="1"/>
    <col min="5" max="5" width="14.6640625" bestFit="1" customWidth="1"/>
    <col min="6" max="6" width="8.44140625" style="181" customWidth="1"/>
    <col min="7" max="8" width="11.5546875" hidden="1" customWidth="1"/>
    <col min="9" max="9" width="10.5546875" customWidth="1"/>
    <col min="10" max="10" width="13.109375" hidden="1" customWidth="1"/>
    <col min="11" max="11" width="4.6640625" hidden="1" customWidth="1"/>
    <col min="12" max="16" width="8.88671875" hidden="1" customWidth="1"/>
    <col min="17" max="17" width="10.44140625" hidden="1" customWidth="1"/>
    <col min="18" max="18" width="10.33203125" hidden="1" customWidth="1"/>
    <col min="19" max="20" width="10.44140625" hidden="1" customWidth="1"/>
    <col min="21" max="24" width="10.6640625" hidden="1" customWidth="1"/>
    <col min="25" max="29" width="10.6640625" customWidth="1"/>
    <col min="30" max="30" width="13.6640625" bestFit="1" customWidth="1"/>
    <col min="31" max="31" width="13" customWidth="1"/>
  </cols>
  <sheetData>
    <row r="3" spans="1:34" ht="15.6">
      <c r="A3" s="1508" t="s">
        <v>2109</v>
      </c>
      <c r="B3" s="1505"/>
      <c r="C3" s="1505"/>
      <c r="D3" s="1505"/>
      <c r="E3" s="1505"/>
      <c r="F3" s="1506"/>
      <c r="G3" s="1505"/>
      <c r="H3" s="1505"/>
      <c r="I3" s="1505"/>
      <c r="J3" s="1505"/>
      <c r="K3" s="1505"/>
      <c r="L3" s="1505"/>
      <c r="AE3" s="1507"/>
    </row>
    <row r="4" spans="1:34">
      <c r="A4" s="1509"/>
      <c r="B4" s="1510"/>
      <c r="C4" s="1510"/>
      <c r="D4" s="1510"/>
      <c r="E4" s="1510"/>
      <c r="F4" s="1511"/>
      <c r="G4" s="1510"/>
      <c r="H4" s="1510"/>
      <c r="I4" s="1510"/>
      <c r="J4" s="1510"/>
      <c r="K4" s="1510"/>
      <c r="L4" s="1510"/>
      <c r="AE4" s="1507"/>
    </row>
    <row r="5" spans="1:34" ht="15" thickBot="1">
      <c r="A5" s="1504"/>
      <c r="B5" s="1510"/>
      <c r="C5" s="1510"/>
      <c r="D5" s="1510"/>
      <c r="E5" s="1510"/>
      <c r="F5" s="1511"/>
      <c r="G5" s="1510"/>
      <c r="H5" s="1510"/>
      <c r="I5" s="1510"/>
      <c r="J5" s="1510"/>
      <c r="K5" s="1510"/>
      <c r="L5" s="1510"/>
      <c r="AE5" s="1512"/>
    </row>
    <row r="6" spans="1:34" s="455" customFormat="1" ht="28.8">
      <c r="A6" s="1545" t="s">
        <v>2110</v>
      </c>
      <c r="B6" s="1546" t="s">
        <v>2111</v>
      </c>
      <c r="C6" s="1579" t="s">
        <v>2126</v>
      </c>
      <c r="D6" s="1579" t="s">
        <v>2127</v>
      </c>
      <c r="E6" s="1579" t="s">
        <v>2112</v>
      </c>
      <c r="F6" s="1546" t="s">
        <v>1298</v>
      </c>
      <c r="G6" s="1546" t="s">
        <v>2113</v>
      </c>
      <c r="H6" s="1546" t="s">
        <v>2114</v>
      </c>
      <c r="I6" s="1619" t="s">
        <v>2115</v>
      </c>
      <c r="J6" s="1546" t="s">
        <v>2116</v>
      </c>
      <c r="K6" s="1546" t="s">
        <v>2117</v>
      </c>
      <c r="L6" s="1547">
        <v>45748</v>
      </c>
      <c r="M6" s="1547">
        <v>45778</v>
      </c>
      <c r="N6" s="1547">
        <v>45809</v>
      </c>
      <c r="O6" s="1547">
        <v>45839</v>
      </c>
      <c r="P6" s="1547">
        <v>45870</v>
      </c>
      <c r="Q6" s="1547">
        <v>45901</v>
      </c>
      <c r="R6" s="1547">
        <v>45931</v>
      </c>
      <c r="S6" s="1547">
        <v>45962</v>
      </c>
      <c r="T6" s="1547">
        <v>45992</v>
      </c>
      <c r="U6" s="1548" t="s">
        <v>2438</v>
      </c>
      <c r="V6" s="1547">
        <v>46023</v>
      </c>
      <c r="W6" s="1547">
        <v>46054</v>
      </c>
      <c r="X6" s="1547">
        <v>46082</v>
      </c>
      <c r="Y6" s="1547">
        <v>46143</v>
      </c>
      <c r="Z6" s="1547">
        <v>46174</v>
      </c>
      <c r="AA6" s="1547">
        <v>46204</v>
      </c>
      <c r="AB6" s="1547">
        <v>46235</v>
      </c>
      <c r="AC6" s="1547">
        <v>46266</v>
      </c>
      <c r="AD6" s="1549" t="s">
        <v>2203</v>
      </c>
      <c r="AE6" s="1534" t="s">
        <v>2120</v>
      </c>
    </row>
    <row r="7" spans="1:34" s="455" customFormat="1" hidden="1">
      <c r="A7" s="1535" t="s">
        <v>1786</v>
      </c>
      <c r="B7" s="1536" t="s">
        <v>2122</v>
      </c>
      <c r="C7" s="1540">
        <v>15000000</v>
      </c>
      <c r="D7" s="1540">
        <v>15000000</v>
      </c>
      <c r="E7" s="1540">
        <v>0</v>
      </c>
      <c r="F7" s="1538">
        <v>0.1595</v>
      </c>
      <c r="G7" s="1537">
        <f t="shared" ref="G7:G12" si="0">+E7*F7/360*30</f>
        <v>0</v>
      </c>
      <c r="H7" s="1539">
        <v>45757</v>
      </c>
      <c r="I7" s="1539">
        <v>45761</v>
      </c>
      <c r="J7" s="1539">
        <v>45777</v>
      </c>
      <c r="K7" s="1540">
        <f t="shared" ref="K7:K12" si="1">+J7-I7</f>
        <v>16</v>
      </c>
      <c r="L7" s="1540">
        <f>+E7*F7/360*K7</f>
        <v>0</v>
      </c>
      <c r="M7" s="630">
        <f>+G7</f>
        <v>0</v>
      </c>
      <c r="N7" s="630">
        <f>+M7</f>
        <v>0</v>
      </c>
      <c r="O7" s="630">
        <f>+N7</f>
        <v>0</v>
      </c>
      <c r="P7" s="630">
        <f>+O7</f>
        <v>0</v>
      </c>
      <c r="Q7" s="630">
        <f>+P7</f>
        <v>0</v>
      </c>
      <c r="R7" s="630">
        <f>+Q7</f>
        <v>0</v>
      </c>
      <c r="S7" s="630">
        <v>199375</v>
      </c>
      <c r="T7" s="768">
        <f t="shared" ref="T7:T12" si="2">((+(E7*F7)/12)/30)*22</f>
        <v>0</v>
      </c>
      <c r="U7" s="630">
        <f>SUM(L7:T7)</f>
        <v>199375</v>
      </c>
      <c r="V7" s="630"/>
      <c r="W7" s="630"/>
      <c r="X7" s="630"/>
      <c r="Y7" s="630"/>
      <c r="Z7" s="630"/>
      <c r="AA7" s="630"/>
      <c r="AB7" s="630"/>
      <c r="AC7" s="630"/>
      <c r="AD7" s="1552">
        <f t="shared" ref="AD7:AD12" si="3">SUM(U7:X7)</f>
        <v>199375</v>
      </c>
      <c r="AE7" s="1513">
        <v>45939</v>
      </c>
    </row>
    <row r="8" spans="1:34" s="455" customFormat="1" hidden="1">
      <c r="A8" s="1535" t="s">
        <v>1786</v>
      </c>
      <c r="B8" s="1536" t="s">
        <v>2122</v>
      </c>
      <c r="C8" s="1540">
        <v>7200000</v>
      </c>
      <c r="D8" s="1540">
        <v>7200000</v>
      </c>
      <c r="E8" s="1540">
        <v>0</v>
      </c>
      <c r="F8" s="1538">
        <v>0.1595</v>
      </c>
      <c r="G8" s="1537">
        <f t="shared" si="0"/>
        <v>0</v>
      </c>
      <c r="H8" s="1539">
        <v>45792</v>
      </c>
      <c r="I8" s="1539">
        <v>45792</v>
      </c>
      <c r="J8" s="1539">
        <v>45808</v>
      </c>
      <c r="K8" s="1540">
        <f t="shared" si="1"/>
        <v>16</v>
      </c>
      <c r="L8" s="1540"/>
      <c r="M8" s="630">
        <f>+E8*F8/360*K8</f>
        <v>0</v>
      </c>
      <c r="N8" s="630">
        <f>+G8</f>
        <v>0</v>
      </c>
      <c r="O8" s="630">
        <f>+G8</f>
        <v>0</v>
      </c>
      <c r="P8" s="630">
        <f>+G8</f>
        <v>0</v>
      </c>
      <c r="Q8" s="630">
        <f>+P8</f>
        <v>0</v>
      </c>
      <c r="R8" s="630">
        <f>+Q8</f>
        <v>0</v>
      </c>
      <c r="S8" s="630">
        <v>95700</v>
      </c>
      <c r="T8" s="768">
        <f t="shared" si="2"/>
        <v>0</v>
      </c>
      <c r="U8" s="630">
        <f t="shared" ref="U8:U12" si="4">SUM(L8:T8)</f>
        <v>95700</v>
      </c>
      <c r="V8" s="630"/>
      <c r="W8" s="630"/>
      <c r="X8" s="630"/>
      <c r="Y8" s="630"/>
      <c r="Z8" s="630"/>
      <c r="AA8" s="630"/>
      <c r="AB8" s="630"/>
      <c r="AC8" s="630"/>
      <c r="AD8" s="1552">
        <f t="shared" si="3"/>
        <v>95700</v>
      </c>
      <c r="AE8" s="1513">
        <v>45939</v>
      </c>
      <c r="AH8" s="455">
        <f>250-85</f>
        <v>165</v>
      </c>
    </row>
    <row r="9" spans="1:34" s="455" customFormat="1" hidden="1">
      <c r="A9" s="1535" t="s">
        <v>1786</v>
      </c>
      <c r="B9" s="1536" t="s">
        <v>2122</v>
      </c>
      <c r="C9" s="1540">
        <v>12000000</v>
      </c>
      <c r="D9" s="1540">
        <v>12000000</v>
      </c>
      <c r="E9" s="1540">
        <v>0</v>
      </c>
      <c r="F9" s="1538">
        <v>0.1595</v>
      </c>
      <c r="G9" s="1537">
        <f t="shared" si="0"/>
        <v>0</v>
      </c>
      <c r="H9" s="1539">
        <v>45820</v>
      </c>
      <c r="I9" s="1539">
        <v>45820</v>
      </c>
      <c r="J9" s="1539">
        <v>45838</v>
      </c>
      <c r="K9" s="1540">
        <f t="shared" si="1"/>
        <v>18</v>
      </c>
      <c r="L9" s="1540"/>
      <c r="M9" s="630"/>
      <c r="N9" s="630">
        <f>+E9*F9/360*K9</f>
        <v>0</v>
      </c>
      <c r="O9" s="630">
        <f>+E9*F9/360*31</f>
        <v>0</v>
      </c>
      <c r="P9" s="630">
        <f>+O9</f>
        <v>0</v>
      </c>
      <c r="Q9" s="630">
        <f>+P9</f>
        <v>0</v>
      </c>
      <c r="R9" s="630">
        <f>+Q9</f>
        <v>0</v>
      </c>
      <c r="S9" s="630">
        <v>164816.66666666669</v>
      </c>
      <c r="T9" s="768">
        <f t="shared" si="2"/>
        <v>0</v>
      </c>
      <c r="U9" s="630">
        <f t="shared" si="4"/>
        <v>164816.66666666669</v>
      </c>
      <c r="V9" s="630"/>
      <c r="W9" s="630"/>
      <c r="X9" s="630"/>
      <c r="Y9" s="630"/>
      <c r="Z9" s="630"/>
      <c r="AA9" s="630"/>
      <c r="AB9" s="630"/>
      <c r="AC9" s="630"/>
      <c r="AD9" s="1552">
        <f t="shared" si="3"/>
        <v>164816.66666666669</v>
      </c>
      <c r="AE9" s="1513">
        <v>45939</v>
      </c>
      <c r="AH9" s="455">
        <f>320-160</f>
        <v>160</v>
      </c>
    </row>
    <row r="10" spans="1:34" s="455" customFormat="1" hidden="1">
      <c r="A10" s="1535" t="s">
        <v>1786</v>
      </c>
      <c r="B10" s="1536" t="s">
        <v>2121</v>
      </c>
      <c r="C10" s="1540">
        <f>11000000</f>
        <v>11000000</v>
      </c>
      <c r="D10" s="1540">
        <v>11000000</v>
      </c>
      <c r="E10" s="1540">
        <v>0</v>
      </c>
      <c r="F10" s="1538">
        <v>0.19</v>
      </c>
      <c r="G10" s="1537">
        <f t="shared" si="0"/>
        <v>0</v>
      </c>
      <c r="H10" s="1539">
        <v>45847</v>
      </c>
      <c r="I10" s="1539">
        <v>45854</v>
      </c>
      <c r="J10" s="1539">
        <v>45869</v>
      </c>
      <c r="K10" s="1540">
        <f t="shared" si="1"/>
        <v>15</v>
      </c>
      <c r="L10" s="1540"/>
      <c r="M10" s="630"/>
      <c r="N10" s="630"/>
      <c r="O10" s="630">
        <v>87083.33</v>
      </c>
      <c r="P10" s="630">
        <v>174166.67</v>
      </c>
      <c r="Q10" s="630">
        <v>174166.67</v>
      </c>
      <c r="R10" s="630">
        <f>((11000000*19%)/360)*7+((6000000*19%)/360)*23</f>
        <v>113472.22222222222</v>
      </c>
      <c r="S10" s="630">
        <f>+E10*F10/12</f>
        <v>0</v>
      </c>
      <c r="T10" s="768">
        <f t="shared" si="2"/>
        <v>0</v>
      </c>
      <c r="U10" s="630">
        <f t="shared" si="4"/>
        <v>548888.89222222229</v>
      </c>
      <c r="V10" s="630"/>
      <c r="W10" s="630"/>
      <c r="X10" s="630"/>
      <c r="Y10" s="630"/>
      <c r="Z10" s="630"/>
      <c r="AA10" s="630"/>
      <c r="AB10" s="630"/>
      <c r="AC10" s="630"/>
      <c r="AD10" s="1552">
        <f t="shared" si="3"/>
        <v>548888.89222222229</v>
      </c>
      <c r="AE10" s="1513">
        <v>45923</v>
      </c>
      <c r="AH10" s="455">
        <f>250-85</f>
        <v>165</v>
      </c>
    </row>
    <row r="11" spans="1:34" s="455" customFormat="1" hidden="1">
      <c r="A11" s="1535" t="s">
        <v>1786</v>
      </c>
      <c r="B11" s="1536" t="s">
        <v>2121</v>
      </c>
      <c r="C11" s="1540">
        <v>2815000</v>
      </c>
      <c r="D11" s="1540">
        <v>2815000</v>
      </c>
      <c r="E11" s="1540">
        <v>0</v>
      </c>
      <c r="F11" s="1538">
        <v>0.19</v>
      </c>
      <c r="G11" s="1537">
        <f t="shared" si="0"/>
        <v>0</v>
      </c>
      <c r="H11" s="1539">
        <v>45847</v>
      </c>
      <c r="I11" s="1539">
        <v>45862</v>
      </c>
      <c r="J11" s="1539">
        <v>45869</v>
      </c>
      <c r="K11" s="1540">
        <f t="shared" si="1"/>
        <v>7</v>
      </c>
      <c r="L11" s="1540"/>
      <c r="M11" s="630"/>
      <c r="N11" s="630"/>
      <c r="O11" s="630">
        <f>+E11*F11/360*K11</f>
        <v>0</v>
      </c>
      <c r="P11" s="630">
        <f>+G11</f>
        <v>0</v>
      </c>
      <c r="Q11" s="630">
        <f>+P11</f>
        <v>0</v>
      </c>
      <c r="R11" s="630">
        <f>+Q11</f>
        <v>0</v>
      </c>
      <c r="S11" s="630">
        <v>44570.833333333328</v>
      </c>
      <c r="T11" s="768">
        <f t="shared" si="2"/>
        <v>0</v>
      </c>
      <c r="U11" s="630">
        <f t="shared" si="4"/>
        <v>44570.833333333328</v>
      </c>
      <c r="V11" s="630"/>
      <c r="W11" s="630"/>
      <c r="X11" s="630"/>
      <c r="Y11" s="630"/>
      <c r="Z11" s="630"/>
      <c r="AA11" s="630"/>
      <c r="AB11" s="630"/>
      <c r="AC11" s="630"/>
      <c r="AD11" s="1552">
        <f t="shared" si="3"/>
        <v>44570.833333333328</v>
      </c>
      <c r="AE11" s="1513">
        <v>45923</v>
      </c>
    </row>
    <row r="12" spans="1:34" s="455" customFormat="1" hidden="1">
      <c r="A12" s="1535" t="s">
        <v>1786</v>
      </c>
      <c r="B12" s="1536" t="s">
        <v>2121</v>
      </c>
      <c r="C12" s="1540">
        <v>1185000</v>
      </c>
      <c r="D12" s="1540">
        <v>1185000</v>
      </c>
      <c r="E12" s="1540">
        <v>0</v>
      </c>
      <c r="F12" s="1538">
        <v>0.19</v>
      </c>
      <c r="G12" s="1537">
        <f t="shared" si="0"/>
        <v>0</v>
      </c>
      <c r="H12" s="1539">
        <v>45847</v>
      </c>
      <c r="I12" s="1539">
        <v>45862</v>
      </c>
      <c r="J12" s="1539">
        <v>45869</v>
      </c>
      <c r="K12" s="1540">
        <f t="shared" si="1"/>
        <v>7</v>
      </c>
      <c r="L12" s="1540"/>
      <c r="M12" s="630"/>
      <c r="N12" s="630"/>
      <c r="O12" s="630">
        <f>+E12*F12/360*K12</f>
        <v>0</v>
      </c>
      <c r="P12" s="630">
        <f>+G12</f>
        <v>0</v>
      </c>
      <c r="Q12" s="630">
        <f>+P12</f>
        <v>0</v>
      </c>
      <c r="R12" s="630">
        <f>+Q12</f>
        <v>0</v>
      </c>
      <c r="S12" s="630">
        <v>18762.5</v>
      </c>
      <c r="T12" s="768">
        <f t="shared" si="2"/>
        <v>0</v>
      </c>
      <c r="U12" s="630">
        <f t="shared" si="4"/>
        <v>18762.5</v>
      </c>
      <c r="V12" s="630"/>
      <c r="W12" s="630"/>
      <c r="X12" s="630"/>
      <c r="Y12" s="630"/>
      <c r="Z12" s="630"/>
      <c r="AA12" s="630"/>
      <c r="AB12" s="630"/>
      <c r="AC12" s="630"/>
      <c r="AD12" s="1552">
        <f t="shared" si="3"/>
        <v>18762.5</v>
      </c>
      <c r="AE12" s="1513"/>
    </row>
    <row r="13" spans="1:34" s="1472" customFormat="1" ht="18" hidden="1" customHeight="1" thickBot="1">
      <c r="A13" s="1580" t="s">
        <v>1790</v>
      </c>
      <c r="B13" s="1581"/>
      <c r="C13" s="1582">
        <f>SUM(C7:C12)</f>
        <v>49200000</v>
      </c>
      <c r="D13" s="1582">
        <f>SUM(D7:D12)</f>
        <v>49200000</v>
      </c>
      <c r="E13" s="1582">
        <f>SUM(E7:E12)</f>
        <v>0</v>
      </c>
      <c r="F13" s="1583"/>
      <c r="G13" s="1584">
        <f>SUM(G7:G12)</f>
        <v>0</v>
      </c>
      <c r="H13" s="1581"/>
      <c r="I13" s="1581"/>
      <c r="J13" s="1581"/>
      <c r="K13" s="1581"/>
      <c r="L13" s="1582">
        <f t="shared" ref="L13:T13" si="5">SUM(L7:L12)</f>
        <v>0</v>
      </c>
      <c r="M13" s="1582">
        <f t="shared" si="5"/>
        <v>0</v>
      </c>
      <c r="N13" s="1582">
        <f t="shared" si="5"/>
        <v>0</v>
      </c>
      <c r="O13" s="1582">
        <f t="shared" si="5"/>
        <v>87083.33</v>
      </c>
      <c r="P13" s="1582">
        <f t="shared" si="5"/>
        <v>174166.67</v>
      </c>
      <c r="Q13" s="1582">
        <f t="shared" si="5"/>
        <v>174166.67</v>
      </c>
      <c r="R13" s="1582">
        <f t="shared" si="5"/>
        <v>113472.22222222222</v>
      </c>
      <c r="S13" s="1582">
        <f t="shared" si="5"/>
        <v>523225</v>
      </c>
      <c r="T13" s="1582">
        <f t="shared" si="5"/>
        <v>0</v>
      </c>
      <c r="U13" s="1582"/>
      <c r="V13" s="1582">
        <f>SUM(V7:V12)</f>
        <v>0</v>
      </c>
      <c r="W13" s="1582">
        <f>SUM(W7:W12)</f>
        <v>0</v>
      </c>
      <c r="X13" s="1582">
        <f>SUM(X7:X12)</f>
        <v>0</v>
      </c>
      <c r="Y13" s="1582">
        <f t="shared" ref="Y13:AB13" si="6">SUM(Y7:Y12)</f>
        <v>0</v>
      </c>
      <c r="Z13" s="1582">
        <f t="shared" si="6"/>
        <v>0</v>
      </c>
      <c r="AA13" s="1582">
        <f t="shared" si="6"/>
        <v>0</v>
      </c>
      <c r="AB13" s="1582">
        <f t="shared" si="6"/>
        <v>0</v>
      </c>
      <c r="AC13" s="1582">
        <f t="shared" ref="AC13" si="7">SUM(AC7:AC12)</f>
        <v>0</v>
      </c>
      <c r="AD13" s="1551"/>
    </row>
    <row r="14" spans="1:34" s="455" customFormat="1" hidden="1">
      <c r="A14" s="1535" t="s">
        <v>2123</v>
      </c>
      <c r="B14" s="1536"/>
      <c r="C14" s="1620">
        <v>25000000</v>
      </c>
      <c r="D14" s="1620"/>
      <c r="E14" s="1620">
        <f>+C14-D14</f>
        <v>25000000</v>
      </c>
      <c r="F14" s="1538">
        <v>0.18</v>
      </c>
      <c r="G14" s="1537"/>
      <c r="H14" s="1539"/>
      <c r="I14" s="1539">
        <v>45905</v>
      </c>
      <c r="J14" s="1539"/>
      <c r="K14" s="1540"/>
      <c r="L14" s="1540"/>
      <c r="M14" s="630"/>
      <c r="N14" s="630"/>
      <c r="O14" s="630"/>
      <c r="P14" s="630"/>
      <c r="Q14" s="630">
        <f>(($C14*$F14)/360)*25</f>
        <v>312500</v>
      </c>
      <c r="R14" s="630">
        <f>(($C14*$F14)/360)*30</f>
        <v>375000</v>
      </c>
      <c r="S14" s="630">
        <f t="shared" ref="S14:AC26" si="8">(($C14*$F14)/360)*30</f>
        <v>375000</v>
      </c>
      <c r="T14" s="630">
        <f t="shared" si="8"/>
        <v>375000</v>
      </c>
      <c r="U14" s="630">
        <f>SUM(Q14:T14)</f>
        <v>1437500</v>
      </c>
      <c r="V14" s="630">
        <f>(($C14*$F14)/360)*31</f>
        <v>387500</v>
      </c>
      <c r="W14" s="630">
        <f>(($C14*$F14)/360)*30</f>
        <v>375000</v>
      </c>
      <c r="X14" s="630">
        <f>(($C14*$F14)/360)*5</f>
        <v>62500</v>
      </c>
      <c r="Y14" s="630"/>
      <c r="Z14" s="630"/>
      <c r="AA14" s="630"/>
      <c r="AB14" s="630"/>
      <c r="AC14" s="630"/>
      <c r="AD14" s="1552">
        <f t="shared" ref="AD14:AD22" si="9">SUM(U14:AA14)</f>
        <v>2262500</v>
      </c>
      <c r="AE14" s="1513"/>
    </row>
    <row r="15" spans="1:34" s="455" customFormat="1" hidden="1">
      <c r="A15" s="1535" t="s">
        <v>2123</v>
      </c>
      <c r="B15" s="1536"/>
      <c r="C15" s="1620">
        <v>30184227.399999999</v>
      </c>
      <c r="D15" s="1620"/>
      <c r="E15" s="1620">
        <f t="shared" ref="E15:E22" si="10">+C15-D15</f>
        <v>30184227.399999999</v>
      </c>
      <c r="F15" s="1538">
        <v>0.18</v>
      </c>
      <c r="G15" s="1537"/>
      <c r="H15" s="1539"/>
      <c r="I15" s="1539">
        <v>45926</v>
      </c>
      <c r="J15" s="1539"/>
      <c r="K15" s="1540"/>
      <c r="L15" s="1540"/>
      <c r="M15" s="630"/>
      <c r="N15" s="630"/>
      <c r="O15" s="630"/>
      <c r="P15" s="630"/>
      <c r="Q15" s="630">
        <f>(($C15*$F15)/360)*4</f>
        <v>60368.454799999992</v>
      </c>
      <c r="R15" s="630">
        <f>(($C15*$F15)/360)*30</f>
        <v>452763.41099999996</v>
      </c>
      <c r="S15" s="630">
        <f t="shared" si="8"/>
        <v>452763.41099999996</v>
      </c>
      <c r="T15" s="630">
        <f t="shared" si="8"/>
        <v>452763.41099999996</v>
      </c>
      <c r="U15" s="630">
        <f t="shared" ref="U15:U19" si="11">SUM(Q15:T15)</f>
        <v>1418658.6878</v>
      </c>
      <c r="V15" s="630">
        <f>(($C15*$F15)/360)*31</f>
        <v>467855.52469999995</v>
      </c>
      <c r="W15" s="630">
        <f>(($C15*$F15)/360)*30</f>
        <v>452763.41099999996</v>
      </c>
      <c r="X15" s="630">
        <f>(($C15*$F15)/360)*21</f>
        <v>316934.38769999996</v>
      </c>
      <c r="Y15" s="630"/>
      <c r="Z15" s="630"/>
      <c r="AA15" s="630"/>
      <c r="AB15" s="630"/>
      <c r="AC15" s="630"/>
      <c r="AD15" s="1552">
        <f t="shared" si="9"/>
        <v>2656212.0111999996</v>
      </c>
      <c r="AE15" s="1513"/>
    </row>
    <row r="16" spans="1:34" s="455" customFormat="1" hidden="1">
      <c r="A16" s="1535"/>
      <c r="B16" s="1536"/>
      <c r="C16" s="1620"/>
      <c r="D16" s="1620"/>
      <c r="E16" s="1620"/>
      <c r="F16" s="1538"/>
      <c r="G16" s="1537"/>
      <c r="H16" s="1539"/>
      <c r="I16" s="1539"/>
      <c r="J16" s="1539"/>
      <c r="K16" s="1540"/>
      <c r="L16" s="1540"/>
      <c r="M16" s="630"/>
      <c r="N16" s="630"/>
      <c r="O16" s="630"/>
      <c r="P16" s="630"/>
      <c r="Q16" s="630"/>
      <c r="R16" s="630"/>
      <c r="S16" s="630"/>
      <c r="T16" s="630"/>
      <c r="U16" s="630"/>
      <c r="V16" s="630"/>
      <c r="W16" s="630"/>
      <c r="X16" s="630"/>
      <c r="Y16" s="630"/>
      <c r="Z16" s="630"/>
      <c r="AA16" s="630"/>
      <c r="AB16" s="630"/>
      <c r="AC16" s="630"/>
      <c r="AD16" s="1552">
        <f t="shared" si="9"/>
        <v>0</v>
      </c>
      <c r="AE16" s="1513"/>
      <c r="AF16" s="455" t="s">
        <v>2340</v>
      </c>
    </row>
    <row r="17" spans="1:32" hidden="1">
      <c r="A17" s="753"/>
      <c r="C17" s="1016"/>
      <c r="D17" s="1016"/>
      <c r="E17" s="1016"/>
      <c r="AD17" s="1552">
        <f t="shared" si="9"/>
        <v>0</v>
      </c>
    </row>
    <row r="18" spans="1:32" s="455" customFormat="1" hidden="1">
      <c r="A18" s="1535" t="s">
        <v>2123</v>
      </c>
      <c r="B18" s="1541"/>
      <c r="C18" s="1620">
        <v>22000000</v>
      </c>
      <c r="D18" s="1620"/>
      <c r="E18" s="1620">
        <f t="shared" si="10"/>
        <v>22000000</v>
      </c>
      <c r="F18" s="1538">
        <v>0.18</v>
      </c>
      <c r="G18" s="1537"/>
      <c r="H18" s="1539"/>
      <c r="I18" s="1539">
        <v>45966</v>
      </c>
      <c r="J18" s="1539"/>
      <c r="K18" s="1540"/>
      <c r="L18" s="1540"/>
      <c r="M18" s="630"/>
      <c r="N18" s="630"/>
      <c r="O18" s="630"/>
      <c r="P18" s="630"/>
      <c r="Q18" s="630"/>
      <c r="R18" s="630"/>
      <c r="S18" s="630">
        <f>(($C18*$F18)/360)*25</f>
        <v>275000</v>
      </c>
      <c r="T18" s="630">
        <f t="shared" si="8"/>
        <v>330000</v>
      </c>
      <c r="U18" s="630">
        <f t="shared" si="11"/>
        <v>605000</v>
      </c>
      <c r="V18" s="630">
        <f>(($C18*$F18)/360)*31</f>
        <v>341000</v>
      </c>
      <c r="W18" s="630">
        <f>(($C18*$F18)/360)*30</f>
        <v>330000</v>
      </c>
      <c r="X18" s="630">
        <f>(($C18*$F18)/360)*21</f>
        <v>231000</v>
      </c>
      <c r="Y18" s="630"/>
      <c r="Z18" s="630"/>
      <c r="AA18" s="630"/>
      <c r="AB18" s="630"/>
      <c r="AC18" s="630"/>
      <c r="AD18" s="1552">
        <f t="shared" si="9"/>
        <v>1507000</v>
      </c>
      <c r="AE18" s="1513"/>
    </row>
    <row r="19" spans="1:32" s="455" customFormat="1" hidden="1">
      <c r="A19" s="1535" t="s">
        <v>2123</v>
      </c>
      <c r="B19" s="1541"/>
      <c r="C19" s="1620">
        <v>22815773</v>
      </c>
      <c r="D19" s="1620"/>
      <c r="E19" s="1620">
        <f t="shared" si="10"/>
        <v>22815773</v>
      </c>
      <c r="F19" s="1538">
        <v>0.18</v>
      </c>
      <c r="G19" s="1537"/>
      <c r="H19" s="1539"/>
      <c r="I19" s="1539">
        <v>45989</v>
      </c>
      <c r="J19" s="1539"/>
      <c r="K19" s="1540"/>
      <c r="L19" s="1540"/>
      <c r="M19" s="630"/>
      <c r="N19" s="630"/>
      <c r="O19" s="630"/>
      <c r="P19" s="630"/>
      <c r="Q19" s="630"/>
      <c r="R19" s="630"/>
      <c r="S19" s="630">
        <f>(($C19*$F19)/360)*2</f>
        <v>22815.772999999997</v>
      </c>
      <c r="T19" s="630">
        <f t="shared" si="8"/>
        <v>342236.59499999997</v>
      </c>
      <c r="U19" s="630">
        <f t="shared" si="11"/>
        <v>365052.36799999996</v>
      </c>
      <c r="V19" s="630">
        <f>(($C19*$F19)/360)*31</f>
        <v>353644.48149999994</v>
      </c>
      <c r="W19" s="630">
        <f>(($C19*$F19)/360)*30</f>
        <v>342236.59499999997</v>
      </c>
      <c r="X19" s="630">
        <f>(($C19*$F19)/360)*20.712867</f>
        <v>236290.03582559546</v>
      </c>
      <c r="Y19" s="630"/>
      <c r="Z19" s="630"/>
      <c r="AA19" s="630"/>
      <c r="AB19" s="630"/>
      <c r="AC19" s="630"/>
      <c r="AD19" s="1552">
        <f t="shared" si="9"/>
        <v>1297223.4803255952</v>
      </c>
      <c r="AE19" s="1839"/>
    </row>
    <row r="20" spans="1:32" s="455" customFormat="1" hidden="1">
      <c r="A20" s="1535" t="s">
        <v>2123</v>
      </c>
      <c r="B20" s="1541"/>
      <c r="C20" s="1620"/>
      <c r="D20" s="1620"/>
      <c r="E20" s="1620">
        <f t="shared" si="10"/>
        <v>0</v>
      </c>
      <c r="F20" s="1538"/>
      <c r="G20" s="1537"/>
      <c r="H20" s="1539"/>
      <c r="I20" s="1539"/>
      <c r="J20" s="1539"/>
      <c r="K20" s="1540"/>
      <c r="L20" s="1540"/>
      <c r="M20" s="630"/>
      <c r="N20" s="630"/>
      <c r="O20" s="630"/>
      <c r="P20" s="630"/>
      <c r="Q20" s="630"/>
      <c r="R20" s="630"/>
      <c r="S20" s="630"/>
      <c r="T20" s="630"/>
      <c r="U20" s="630"/>
      <c r="V20" s="630"/>
      <c r="W20" s="630"/>
      <c r="X20" s="630"/>
      <c r="Y20" s="630"/>
      <c r="Z20" s="630"/>
      <c r="AA20" s="630"/>
      <c r="AB20" s="630"/>
      <c r="AC20" s="630"/>
      <c r="AD20" s="1552">
        <f t="shared" si="9"/>
        <v>0</v>
      </c>
      <c r="AE20" s="1513"/>
      <c r="AF20" s="455" t="s">
        <v>2340</v>
      </c>
    </row>
    <row r="21" spans="1:32" s="455" customFormat="1" hidden="1">
      <c r="A21" s="1818" t="s">
        <v>2123</v>
      </c>
      <c r="B21" s="1819"/>
      <c r="C21" s="1820"/>
      <c r="D21" s="1820"/>
      <c r="E21" s="1820">
        <f t="shared" si="10"/>
        <v>0</v>
      </c>
      <c r="F21" s="1538">
        <v>0.18</v>
      </c>
      <c r="G21" s="1537"/>
      <c r="H21" s="1539"/>
      <c r="I21" s="1539"/>
      <c r="J21" s="1539"/>
      <c r="K21" s="1540"/>
      <c r="L21" s="1540"/>
      <c r="M21" s="630"/>
      <c r="N21" s="630"/>
      <c r="O21" s="630"/>
      <c r="P21" s="630"/>
      <c r="Q21" s="630"/>
      <c r="R21" s="630"/>
      <c r="S21" s="630"/>
      <c r="T21" s="630"/>
      <c r="U21" s="630"/>
      <c r="V21" s="630"/>
      <c r="W21" s="630"/>
      <c r="X21" s="630"/>
      <c r="Y21" s="630"/>
      <c r="Z21" s="630">
        <f>(($C21*$F21)/360)*30</f>
        <v>0</v>
      </c>
      <c r="AA21" s="630">
        <f>(($C21*$F21)/360)*30</f>
        <v>0</v>
      </c>
      <c r="AB21" s="630">
        <f>(($C21*$F21)/360)*30</f>
        <v>0</v>
      </c>
      <c r="AC21" s="630">
        <f>(($C21*$F21)/360)*30</f>
        <v>0</v>
      </c>
      <c r="AD21" s="1552">
        <f t="shared" si="9"/>
        <v>0</v>
      </c>
      <c r="AE21" s="1470"/>
    </row>
    <row r="22" spans="1:32" s="455" customFormat="1" hidden="1">
      <c r="A22" s="1818" t="s">
        <v>2123</v>
      </c>
      <c r="B22" s="1819"/>
      <c r="C22" s="1820"/>
      <c r="D22" s="1820"/>
      <c r="E22" s="1820">
        <f t="shared" si="10"/>
        <v>0</v>
      </c>
      <c r="F22" s="1538">
        <v>0.18</v>
      </c>
      <c r="G22" s="1537"/>
      <c r="H22" s="1539"/>
      <c r="I22" s="1539"/>
      <c r="J22" s="1539"/>
      <c r="K22" s="1540"/>
      <c r="L22" s="1540"/>
      <c r="M22" s="630"/>
      <c r="N22" s="630"/>
      <c r="O22" s="630"/>
      <c r="P22" s="630"/>
      <c r="Q22" s="630"/>
      <c r="R22" s="630"/>
      <c r="S22" s="630"/>
      <c r="T22" s="630"/>
      <c r="U22" s="630"/>
      <c r="V22" s="630"/>
      <c r="W22" s="630"/>
      <c r="X22" s="630"/>
      <c r="Y22" s="630"/>
      <c r="Z22" s="630"/>
      <c r="AA22" s="630">
        <f>(($C22*$F22)/360)*30</f>
        <v>0</v>
      </c>
      <c r="AB22" s="630">
        <f>(($C22*$F22)/360)*30</f>
        <v>0</v>
      </c>
      <c r="AC22" s="630">
        <f>(($C22*$F22)/360)*30</f>
        <v>0</v>
      </c>
      <c r="AD22" s="1552">
        <f t="shared" si="9"/>
        <v>0</v>
      </c>
      <c r="AE22" s="1470"/>
    </row>
    <row r="23" spans="1:32" s="1472" customFormat="1" ht="18.600000000000001" hidden="1" customHeight="1">
      <c r="A23" s="1556" t="s">
        <v>2124</v>
      </c>
      <c r="B23" s="1557"/>
      <c r="C23" s="1816">
        <f>SUM(C14:C22)</f>
        <v>100000000.40000001</v>
      </c>
      <c r="D23" s="1816">
        <f t="shared" ref="D23:T23" si="12">SUM(D14:D21)</f>
        <v>0</v>
      </c>
      <c r="E23" s="1816">
        <f>SUM(E14:E22)</f>
        <v>100000000.40000001</v>
      </c>
      <c r="F23" s="1815"/>
      <c r="G23" s="1550">
        <f t="shared" si="12"/>
        <v>0</v>
      </c>
      <c r="H23" s="1550">
        <f t="shared" si="12"/>
        <v>0</v>
      </c>
      <c r="I23" s="1550"/>
      <c r="J23" s="1550">
        <f t="shared" si="12"/>
        <v>0</v>
      </c>
      <c r="K23" s="1550">
        <f t="shared" si="12"/>
        <v>0</v>
      </c>
      <c r="L23" s="1550">
        <f t="shared" si="12"/>
        <v>0</v>
      </c>
      <c r="M23" s="1550">
        <f t="shared" si="12"/>
        <v>0</v>
      </c>
      <c r="N23" s="1550">
        <f t="shared" si="12"/>
        <v>0</v>
      </c>
      <c r="O23" s="1550">
        <f t="shared" si="12"/>
        <v>0</v>
      </c>
      <c r="P23" s="1550">
        <f t="shared" si="12"/>
        <v>0</v>
      </c>
      <c r="Q23" s="1550">
        <f t="shared" si="12"/>
        <v>372868.45480000001</v>
      </c>
      <c r="R23" s="1550">
        <f t="shared" si="12"/>
        <v>827763.41099999996</v>
      </c>
      <c r="S23" s="1550">
        <f t="shared" si="12"/>
        <v>1125579.1839999999</v>
      </c>
      <c r="T23" s="1550">
        <f t="shared" si="12"/>
        <v>1500000.0059999998</v>
      </c>
      <c r="U23" s="1550">
        <f>SUM(U14:U22)</f>
        <v>3826211.0557999997</v>
      </c>
      <c r="V23" s="1550">
        <f t="shared" ref="V23:AB23" si="13">SUM(V14:V22)</f>
        <v>1550000.0061999999</v>
      </c>
      <c r="W23" s="1550">
        <f t="shared" si="13"/>
        <v>1500000.0059999998</v>
      </c>
      <c r="X23" s="1550">
        <f t="shared" si="13"/>
        <v>846724.42352559546</v>
      </c>
      <c r="Y23" s="1550">
        <f t="shared" si="13"/>
        <v>0</v>
      </c>
      <c r="Z23" s="1550">
        <f t="shared" si="13"/>
        <v>0</v>
      </c>
      <c r="AA23" s="1550">
        <f t="shared" si="13"/>
        <v>0</v>
      </c>
      <c r="AB23" s="1550">
        <f t="shared" si="13"/>
        <v>0</v>
      </c>
      <c r="AC23" s="1550">
        <f t="shared" ref="AC23" si="14">SUM(AC14:AC22)</f>
        <v>0</v>
      </c>
      <c r="AD23" s="1551">
        <f>SUM(AD14:AD22)</f>
        <v>7722935.4915255951</v>
      </c>
    </row>
    <row r="24" spans="1:32" s="455" customFormat="1">
      <c r="A24" s="1535"/>
      <c r="B24" s="1541"/>
      <c r="C24" s="1620"/>
      <c r="D24" s="1620"/>
      <c r="E24" s="1620"/>
      <c r="F24" s="1538"/>
      <c r="G24" s="1537"/>
      <c r="H24" s="1539"/>
      <c r="I24" s="1539"/>
      <c r="J24" s="1539"/>
      <c r="K24" s="1540"/>
      <c r="L24" s="1540"/>
      <c r="M24" s="630"/>
      <c r="N24" s="630"/>
      <c r="O24" s="630"/>
      <c r="P24" s="630"/>
      <c r="Q24" s="630"/>
      <c r="R24" s="630"/>
      <c r="S24" s="630"/>
      <c r="T24" s="630"/>
      <c r="U24" s="630"/>
      <c r="V24" s="630"/>
      <c r="W24" s="630"/>
      <c r="X24" s="630"/>
      <c r="Y24" s="630"/>
      <c r="Z24" s="630"/>
      <c r="AA24" s="630"/>
      <c r="AB24" s="630"/>
      <c r="AC24" s="630"/>
      <c r="AD24" s="632"/>
      <c r="AE24" s="1470"/>
    </row>
    <row r="25" spans="1:32" s="455" customFormat="1">
      <c r="A25" s="1535" t="s">
        <v>2341</v>
      </c>
      <c r="B25" s="1541"/>
      <c r="C25" s="1893">
        <v>100000000</v>
      </c>
      <c r="D25" s="1893"/>
      <c r="E25" s="1893">
        <f t="shared" ref="E25:E28" si="15">+C25-D25</f>
        <v>100000000</v>
      </c>
      <c r="F25" s="1538">
        <v>0.13750000000000001</v>
      </c>
      <c r="G25" s="1537"/>
      <c r="H25" s="1539"/>
      <c r="I25" s="1539">
        <v>46087</v>
      </c>
      <c r="J25" s="1539"/>
      <c r="K25" s="1540"/>
      <c r="L25" s="1540"/>
      <c r="M25" s="630"/>
      <c r="N25" s="630"/>
      <c r="O25" s="630"/>
      <c r="P25" s="630"/>
      <c r="Q25" s="630"/>
      <c r="R25" s="630"/>
      <c r="S25" s="630"/>
      <c r="T25" s="630"/>
      <c r="U25" s="630"/>
      <c r="V25" s="630"/>
      <c r="W25" s="630"/>
      <c r="X25" s="630">
        <f>(($C25*$F25)/360)*19</f>
        <v>725694.44444444461</v>
      </c>
      <c r="Y25" s="1889">
        <f>(($C25*$F25)/360)*30*2</f>
        <v>2291666.666666667</v>
      </c>
      <c r="Z25" s="1889">
        <f>(($C25*$F25)/360)*31</f>
        <v>1184027.777777778</v>
      </c>
      <c r="AA25" s="1889">
        <f t="shared" si="8"/>
        <v>1145833.3333333335</v>
      </c>
      <c r="AB25" s="1889">
        <f t="shared" si="8"/>
        <v>1145833.3333333335</v>
      </c>
      <c r="AC25" s="1889">
        <f t="shared" si="8"/>
        <v>1145833.3333333335</v>
      </c>
      <c r="AD25" s="1904">
        <f>SUM(Y25:AC25)</f>
        <v>6913194.4444444459</v>
      </c>
      <c r="AE25" s="1470"/>
    </row>
    <row r="26" spans="1:32" s="455" customFormat="1">
      <c r="A26" s="1818" t="s">
        <v>2341</v>
      </c>
      <c r="B26" s="1819"/>
      <c r="C26" s="1894">
        <f>+'FLUJO 03-26'!D26</f>
        <v>40000000</v>
      </c>
      <c r="D26" s="1894"/>
      <c r="E26" s="1894">
        <f t="shared" si="15"/>
        <v>40000000</v>
      </c>
      <c r="F26" s="1898">
        <v>0.13750000000000001</v>
      </c>
      <c r="G26" s="1899"/>
      <c r="H26" s="1900"/>
      <c r="I26" s="1900">
        <v>46113</v>
      </c>
      <c r="J26" s="1900"/>
      <c r="K26" s="1901"/>
      <c r="L26" s="1901"/>
      <c r="M26" s="1902"/>
      <c r="N26" s="1902"/>
      <c r="O26" s="1902"/>
      <c r="P26" s="1902"/>
      <c r="Q26" s="1902"/>
      <c r="R26" s="1902"/>
      <c r="S26" s="1902"/>
      <c r="T26" s="1902"/>
      <c r="U26" s="1902"/>
      <c r="V26" s="1902"/>
      <c r="W26" s="1902"/>
      <c r="X26" s="1902"/>
      <c r="Y26" s="1903">
        <f t="shared" si="8"/>
        <v>458333.33333333331</v>
      </c>
      <c r="Z26" s="1903">
        <f t="shared" si="8"/>
        <v>458333.33333333331</v>
      </c>
      <c r="AA26" s="1903">
        <f t="shared" si="8"/>
        <v>458333.33333333331</v>
      </c>
      <c r="AB26" s="1903">
        <f t="shared" si="8"/>
        <v>458333.33333333331</v>
      </c>
      <c r="AC26" s="1903">
        <f t="shared" si="8"/>
        <v>458333.33333333331</v>
      </c>
      <c r="AD26" s="1904">
        <f t="shared" ref="AD26:AD30" si="16">SUM(Y26:AC26)</f>
        <v>2291666.6666666665</v>
      </c>
      <c r="AE26" s="1470"/>
    </row>
    <row r="27" spans="1:32" s="455" customFormat="1">
      <c r="A27" s="1818" t="s">
        <v>2341</v>
      </c>
      <c r="B27" s="1819"/>
      <c r="C27" s="1894">
        <v>20000000</v>
      </c>
      <c r="D27" s="1894"/>
      <c r="E27" s="1894">
        <f t="shared" si="15"/>
        <v>20000000</v>
      </c>
      <c r="F27" s="1898">
        <v>0.13750000000000001</v>
      </c>
      <c r="G27" s="1899"/>
      <c r="H27" s="1900"/>
      <c r="I27" s="1900">
        <v>46143</v>
      </c>
      <c r="J27" s="1900"/>
      <c r="K27" s="1901"/>
      <c r="L27" s="1901"/>
      <c r="M27" s="1902"/>
      <c r="N27" s="1902"/>
      <c r="O27" s="1902"/>
      <c r="P27" s="1902"/>
      <c r="Q27" s="1902"/>
      <c r="R27" s="1902"/>
      <c r="S27" s="1902"/>
      <c r="T27" s="1902"/>
      <c r="U27" s="1902"/>
      <c r="V27" s="1902"/>
      <c r="W27" s="1902"/>
      <c r="X27" s="1902"/>
      <c r="Y27" s="1903">
        <f>(($E27*$F27)/360)*15</f>
        <v>114583.33333333333</v>
      </c>
      <c r="Z27" s="1903">
        <f t="shared" ref="Z27:AC30" si="17">(($E27*$F27)/360)*30</f>
        <v>229166.66666666666</v>
      </c>
      <c r="AA27" s="1903">
        <f t="shared" si="17"/>
        <v>229166.66666666666</v>
      </c>
      <c r="AB27" s="1903">
        <f t="shared" si="17"/>
        <v>229166.66666666666</v>
      </c>
      <c r="AC27" s="1903">
        <f t="shared" si="17"/>
        <v>229166.66666666666</v>
      </c>
      <c r="AD27" s="1904">
        <f t="shared" si="16"/>
        <v>1031249.9999999999</v>
      </c>
      <c r="AE27" s="1513"/>
    </row>
    <row r="28" spans="1:32" s="455" customFormat="1">
      <c r="A28" s="1818" t="s">
        <v>2341</v>
      </c>
      <c r="B28" s="1819"/>
      <c r="C28" s="1894">
        <f>+'FLUJO 04-26'!E25+'FLUJO 04-26'!E26</f>
        <v>110000000</v>
      </c>
      <c r="D28" s="1894"/>
      <c r="E28" s="2084">
        <f t="shared" si="15"/>
        <v>110000000</v>
      </c>
      <c r="F28" s="1898">
        <v>0.13750000000000001</v>
      </c>
      <c r="G28" s="1899"/>
      <c r="H28" s="1900"/>
      <c r="I28" s="1900">
        <v>45809</v>
      </c>
      <c r="J28" s="1900"/>
      <c r="K28" s="1901"/>
      <c r="L28" s="1901"/>
      <c r="M28" s="1902"/>
      <c r="N28" s="1902"/>
      <c r="O28" s="1902"/>
      <c r="P28" s="1902"/>
      <c r="Q28" s="1902"/>
      <c r="R28" s="1902"/>
      <c r="S28" s="1902"/>
      <c r="T28" s="1902"/>
      <c r="U28" s="1902"/>
      <c r="V28" s="1902"/>
      <c r="W28" s="1902"/>
      <c r="X28" s="1902"/>
      <c r="Y28" s="1903"/>
      <c r="Z28" s="1903">
        <f>(($E28*$F28)/360)*30</f>
        <v>1260416.6666666667</v>
      </c>
      <c r="AA28" s="1903">
        <f t="shared" si="17"/>
        <v>1260416.6666666667</v>
      </c>
      <c r="AB28" s="1903">
        <f t="shared" si="17"/>
        <v>1260416.6666666667</v>
      </c>
      <c r="AC28" s="1903">
        <f t="shared" si="17"/>
        <v>1260416.6666666667</v>
      </c>
      <c r="AD28" s="1904">
        <f t="shared" si="16"/>
        <v>5041666.666666667</v>
      </c>
      <c r="AE28" s="1513"/>
    </row>
    <row r="29" spans="1:32" s="455" customFormat="1">
      <c r="A29" s="1818" t="s">
        <v>2341</v>
      </c>
      <c r="B29" s="1819"/>
      <c r="C29" s="1894"/>
      <c r="D29" s="1895">
        <f>+'FLUJO 04-26'!F26</f>
        <v>-75000000</v>
      </c>
      <c r="E29" s="1895">
        <f>+C29+D29</f>
        <v>-75000000</v>
      </c>
      <c r="F29" s="1898">
        <v>0.13750000000000001</v>
      </c>
      <c r="G29" s="1899"/>
      <c r="H29" s="1900"/>
      <c r="I29" s="1900">
        <v>45839</v>
      </c>
      <c r="J29" s="1900"/>
      <c r="K29" s="1901"/>
      <c r="L29" s="1901"/>
      <c r="M29" s="1902"/>
      <c r="N29" s="1902"/>
      <c r="O29" s="1902"/>
      <c r="P29" s="1902"/>
      <c r="Q29" s="1902"/>
      <c r="R29" s="1902"/>
      <c r="S29" s="1902"/>
      <c r="T29" s="1902"/>
      <c r="U29" s="1902"/>
      <c r="V29" s="1902"/>
      <c r="W29" s="1902"/>
      <c r="X29" s="1902"/>
      <c r="Y29" s="1903"/>
      <c r="Z29" s="1903"/>
      <c r="AA29" s="1903">
        <f t="shared" si="17"/>
        <v>-859375</v>
      </c>
      <c r="AB29" s="1903">
        <f t="shared" si="17"/>
        <v>-859375</v>
      </c>
      <c r="AC29" s="1903">
        <f t="shared" si="17"/>
        <v>-859375</v>
      </c>
      <c r="AD29" s="1904">
        <f t="shared" si="16"/>
        <v>-2578125</v>
      </c>
      <c r="AE29" s="1513"/>
    </row>
    <row r="30" spans="1:32" s="455" customFormat="1">
      <c r="A30" s="1818" t="s">
        <v>2341</v>
      </c>
      <c r="B30" s="1819"/>
      <c r="C30" s="1894"/>
      <c r="D30" s="1894">
        <f>+'FLUJO 04-26'!H26</f>
        <v>-70000000</v>
      </c>
      <c r="E30" s="1895">
        <f>+C30+D30</f>
        <v>-70000000</v>
      </c>
      <c r="F30" s="1898">
        <v>0.13750000000000001</v>
      </c>
      <c r="G30" s="1899"/>
      <c r="H30" s="1900"/>
      <c r="I30" s="1900">
        <v>45902</v>
      </c>
      <c r="J30" s="1900"/>
      <c r="K30" s="1901"/>
      <c r="L30" s="1901"/>
      <c r="M30" s="1902"/>
      <c r="N30" s="1902"/>
      <c r="O30" s="1902"/>
      <c r="P30" s="1902"/>
      <c r="Q30" s="1902"/>
      <c r="R30" s="1902"/>
      <c r="S30" s="1902"/>
      <c r="T30" s="1902"/>
      <c r="U30" s="1902"/>
      <c r="V30" s="1902"/>
      <c r="W30" s="1902"/>
      <c r="X30" s="1902"/>
      <c r="Y30" s="1903"/>
      <c r="Z30" s="1903"/>
      <c r="AA30" s="1903"/>
      <c r="AB30" s="1903"/>
      <c r="AC30" s="1903">
        <f t="shared" si="17"/>
        <v>-802083.33333333326</v>
      </c>
      <c r="AD30" s="1904">
        <f t="shared" si="16"/>
        <v>-802083.33333333326</v>
      </c>
      <c r="AE30" s="1513"/>
    </row>
    <row r="31" spans="1:32" s="455" customFormat="1">
      <c r="A31" s="1556" t="s">
        <v>2342</v>
      </c>
      <c r="B31" s="1557"/>
      <c r="C31" s="1886">
        <f>SUM(C25:C29)</f>
        <v>270000000</v>
      </c>
      <c r="D31" s="1886">
        <f t="shared" ref="D31:E31" si="18">SUM(D25:D29)</f>
        <v>-75000000</v>
      </c>
      <c r="E31" s="1886">
        <f t="shared" si="18"/>
        <v>195000000</v>
      </c>
      <c r="F31" s="1558"/>
      <c r="G31" s="1558"/>
      <c r="H31" s="1558"/>
      <c r="I31" s="1616"/>
      <c r="J31" s="1558"/>
      <c r="K31" s="1558"/>
      <c r="L31" s="1550"/>
      <c r="M31" s="1550"/>
      <c r="N31" s="1550"/>
      <c r="O31" s="1550"/>
      <c r="P31" s="1550"/>
      <c r="Q31" s="1550"/>
      <c r="R31" s="1550"/>
      <c r="S31" s="1550"/>
      <c r="T31" s="1550"/>
      <c r="U31" s="1550">
        <f>SUM(U25:U27)</f>
        <v>0</v>
      </c>
      <c r="V31" s="1550">
        <f>SUM(V25:V27)</f>
        <v>0</v>
      </c>
      <c r="W31" s="1550">
        <f>SUM(W25:W27)</f>
        <v>0</v>
      </c>
      <c r="X31" s="1550">
        <f>SUM(X25:X27)</f>
        <v>725694.44444444461</v>
      </c>
      <c r="Y31" s="1887">
        <f>SUM(Y25:Y30)</f>
        <v>2864583.333333334</v>
      </c>
      <c r="Z31" s="1887">
        <f t="shared" ref="Z31:AC31" si="19">SUM(Z25:Z30)</f>
        <v>3131944.444444445</v>
      </c>
      <c r="AA31" s="1887">
        <f t="shared" si="19"/>
        <v>2234375</v>
      </c>
      <c r="AB31" s="1887">
        <f t="shared" si="19"/>
        <v>2234375</v>
      </c>
      <c r="AC31" s="1887">
        <f t="shared" si="19"/>
        <v>1432291.6666666667</v>
      </c>
      <c r="AD31" s="1896">
        <f>SUM(AD25:AD30)</f>
        <v>11897569.444444446</v>
      </c>
      <c r="AE31" s="1513"/>
    </row>
    <row r="32" spans="1:32" s="455" customFormat="1">
      <c r="A32" s="1535"/>
      <c r="B32" s="1541"/>
      <c r="C32" s="1893"/>
      <c r="D32" s="1893"/>
      <c r="E32" s="1893"/>
      <c r="F32" s="1538"/>
      <c r="G32" s="1537"/>
      <c r="H32" s="1539"/>
      <c r="I32" s="1539"/>
      <c r="J32" s="1539"/>
      <c r="K32" s="1540"/>
      <c r="L32" s="1540"/>
      <c r="M32" s="630"/>
      <c r="N32" s="630"/>
      <c r="O32" s="630"/>
      <c r="P32" s="630"/>
      <c r="Q32" s="630"/>
      <c r="R32" s="630"/>
      <c r="S32" s="630"/>
      <c r="T32" s="630"/>
      <c r="U32" s="630"/>
      <c r="V32" s="630"/>
      <c r="W32" s="630"/>
      <c r="X32" s="630"/>
      <c r="Y32" s="1889"/>
      <c r="Z32" s="1889"/>
      <c r="AA32" s="1889"/>
      <c r="AB32" s="1889"/>
      <c r="AC32" s="1889"/>
      <c r="AD32" s="1891"/>
      <c r="AE32" s="1513"/>
    </row>
    <row r="33" spans="1:31" s="455" customFormat="1">
      <c r="A33" s="1818" t="s">
        <v>2580</v>
      </c>
      <c r="B33" s="1819"/>
      <c r="C33" s="1894">
        <f>+'FLUJO 03-26'!F25</f>
        <v>240000000</v>
      </c>
      <c r="D33" s="1894"/>
      <c r="E33" s="1894">
        <f t="shared" ref="E33:E34" si="20">+C33-D33</f>
        <v>240000000</v>
      </c>
      <c r="F33" s="1898">
        <v>0.1</v>
      </c>
      <c r="G33" s="1899"/>
      <c r="H33" s="1900"/>
      <c r="I33" s="1900">
        <v>46204</v>
      </c>
      <c r="J33" s="1900"/>
      <c r="K33" s="1901"/>
      <c r="L33" s="1901"/>
      <c r="M33" s="1902"/>
      <c r="N33" s="1902"/>
      <c r="O33" s="1902"/>
      <c r="P33" s="1902"/>
      <c r="Q33" s="1902"/>
      <c r="R33" s="1902"/>
      <c r="S33" s="1902"/>
      <c r="T33" s="1902"/>
      <c r="U33" s="1902"/>
      <c r="V33" s="1902"/>
      <c r="W33" s="1902"/>
      <c r="X33" s="1902"/>
      <c r="Y33" s="1903"/>
      <c r="Z33" s="1903"/>
      <c r="AA33" s="1903">
        <f t="shared" ref="AA33:AC34" si="21">(($C33*$F33)/360)*30</f>
        <v>2000000.0000000002</v>
      </c>
      <c r="AB33" s="1903">
        <f t="shared" si="21"/>
        <v>2000000.0000000002</v>
      </c>
      <c r="AC33" s="1903">
        <f t="shared" si="21"/>
        <v>2000000.0000000002</v>
      </c>
      <c r="AD33" s="1890">
        <f>SUM(Y33:AC33)</f>
        <v>6000000.0000000009</v>
      </c>
      <c r="AE33" s="1513"/>
    </row>
    <row r="34" spans="1:31" s="455" customFormat="1">
      <c r="A34" s="1818" t="s">
        <v>2580</v>
      </c>
      <c r="B34" s="1819"/>
      <c r="C34" s="1894">
        <f>+'FLUJO 03-26'!H25</f>
        <v>180000000</v>
      </c>
      <c r="D34" s="1894"/>
      <c r="E34" s="1894">
        <f t="shared" si="20"/>
        <v>180000000</v>
      </c>
      <c r="F34" s="1898">
        <v>0.1</v>
      </c>
      <c r="G34" s="1899"/>
      <c r="H34" s="1900"/>
      <c r="I34" s="1900">
        <v>46266</v>
      </c>
      <c r="J34" s="1900"/>
      <c r="K34" s="1901"/>
      <c r="L34" s="1901"/>
      <c r="M34" s="1902"/>
      <c r="N34" s="1902"/>
      <c r="O34" s="1902"/>
      <c r="P34" s="1902"/>
      <c r="Q34" s="1902"/>
      <c r="R34" s="1902"/>
      <c r="S34" s="1902"/>
      <c r="T34" s="1902"/>
      <c r="U34" s="1902"/>
      <c r="V34" s="1902"/>
      <c r="W34" s="1902"/>
      <c r="X34" s="1902"/>
      <c r="Y34" s="1903"/>
      <c r="Z34" s="1903"/>
      <c r="AA34" s="1903"/>
      <c r="AB34" s="1903"/>
      <c r="AC34" s="1903">
        <f t="shared" si="21"/>
        <v>1500000</v>
      </c>
      <c r="AD34" s="1890">
        <f>SUM(Y34:AC34)</f>
        <v>1500000</v>
      </c>
      <c r="AE34" s="1513"/>
    </row>
    <row r="35" spans="1:31" s="455" customFormat="1">
      <c r="A35" s="1556" t="s">
        <v>2581</v>
      </c>
      <c r="B35" s="1557"/>
      <c r="C35" s="1886">
        <f>SUM(C33:C34)</f>
        <v>420000000</v>
      </c>
      <c r="D35" s="1887">
        <f t="shared" ref="D35:E35" si="22">SUM(D33:D34)</f>
        <v>0</v>
      </c>
      <c r="E35" s="1886">
        <f t="shared" si="22"/>
        <v>420000000</v>
      </c>
      <c r="F35" s="1558"/>
      <c r="G35" s="1558"/>
      <c r="H35" s="1558"/>
      <c r="I35" s="1616"/>
      <c r="J35" s="1558"/>
      <c r="K35" s="1558"/>
      <c r="L35" s="1550"/>
      <c r="M35" s="1550"/>
      <c r="N35" s="1550"/>
      <c r="O35" s="1550"/>
      <c r="P35" s="1550"/>
      <c r="Q35" s="1550"/>
      <c r="R35" s="1550"/>
      <c r="S35" s="1550"/>
      <c r="T35" s="1550"/>
      <c r="U35" s="1550">
        <f>SUM(U33:U33)</f>
        <v>0</v>
      </c>
      <c r="V35" s="1550">
        <f>SUM(V33:V33)</f>
        <v>0</v>
      </c>
      <c r="W35" s="1550">
        <f>SUM(W33:W33)</f>
        <v>0</v>
      </c>
      <c r="X35" s="1550">
        <f>SUM(X33:X34)</f>
        <v>0</v>
      </c>
      <c r="Y35" s="1887">
        <f t="shared" ref="Y35:AB35" si="23">SUM(Y33:Y34)</f>
        <v>0</v>
      </c>
      <c r="Z35" s="1887">
        <f t="shared" si="23"/>
        <v>0</v>
      </c>
      <c r="AA35" s="1887">
        <f t="shared" si="23"/>
        <v>2000000.0000000002</v>
      </c>
      <c r="AB35" s="1887">
        <f t="shared" si="23"/>
        <v>2000000.0000000002</v>
      </c>
      <c r="AC35" s="1887">
        <f t="shared" ref="AC35" si="24">SUM(AC33:AC34)</f>
        <v>3500000</v>
      </c>
      <c r="AD35" s="1896">
        <f>SUM(AD33:AD34)</f>
        <v>7500000.0000000009</v>
      </c>
      <c r="AE35" s="1513"/>
    </row>
    <row r="36" spans="1:31" s="455" customFormat="1">
      <c r="A36" s="1535"/>
      <c r="B36" s="1541"/>
      <c r="C36" s="1893"/>
      <c r="D36" s="1893"/>
      <c r="E36" s="1893"/>
      <c r="F36" s="1538"/>
      <c r="G36" s="1537"/>
      <c r="H36" s="1539"/>
      <c r="I36" s="1539"/>
      <c r="J36" s="1539"/>
      <c r="K36" s="1540"/>
      <c r="L36" s="1540"/>
      <c r="M36" s="630"/>
      <c r="N36" s="630"/>
      <c r="O36" s="630"/>
      <c r="P36" s="630"/>
      <c r="Q36" s="630"/>
      <c r="R36" s="630"/>
      <c r="S36" s="630"/>
      <c r="T36" s="630"/>
      <c r="U36" s="630"/>
      <c r="V36" s="630"/>
      <c r="W36" s="630"/>
      <c r="X36" s="630"/>
      <c r="Y36" s="1889"/>
      <c r="Z36" s="1889"/>
      <c r="AA36" s="1889"/>
      <c r="AB36" s="1889"/>
      <c r="AC36" s="1889"/>
      <c r="AD36" s="1891"/>
      <c r="AE36" s="1513"/>
    </row>
    <row r="37" spans="1:31" s="1472" customFormat="1" ht="29.4" thickBot="1">
      <c r="A37" s="1617" t="s">
        <v>2439</v>
      </c>
      <c r="B37" s="1561"/>
      <c r="C37" s="1888">
        <f>+C31+C35</f>
        <v>690000000</v>
      </c>
      <c r="D37" s="1888">
        <f t="shared" ref="D37:E37" si="25">+D31+D35</f>
        <v>-75000000</v>
      </c>
      <c r="E37" s="1888">
        <f t="shared" si="25"/>
        <v>615000000</v>
      </c>
      <c r="F37" s="1562"/>
      <c r="G37" s="1562">
        <f>+G13+G23</f>
        <v>0</v>
      </c>
      <c r="H37" s="1562">
        <f>+H13+H23</f>
        <v>0</v>
      </c>
      <c r="I37" s="1562"/>
      <c r="J37" s="1562">
        <f t="shared" ref="J37:T37" si="26">+J13+J23</f>
        <v>0</v>
      </c>
      <c r="K37" s="1562">
        <f t="shared" si="26"/>
        <v>0</v>
      </c>
      <c r="L37" s="1563">
        <f t="shared" si="26"/>
        <v>0</v>
      </c>
      <c r="M37" s="1563">
        <f t="shared" si="26"/>
        <v>0</v>
      </c>
      <c r="N37" s="1563">
        <f t="shared" si="26"/>
        <v>0</v>
      </c>
      <c r="O37" s="1563">
        <f t="shared" si="26"/>
        <v>87083.33</v>
      </c>
      <c r="P37" s="1563">
        <f t="shared" si="26"/>
        <v>174166.67</v>
      </c>
      <c r="Q37" s="1563">
        <f t="shared" si="26"/>
        <v>547035.12479999999</v>
      </c>
      <c r="R37" s="1563">
        <f t="shared" si="26"/>
        <v>941235.63322222221</v>
      </c>
      <c r="S37" s="1563">
        <f t="shared" si="26"/>
        <v>1648804.1839999999</v>
      </c>
      <c r="T37" s="1563">
        <f t="shared" si="26"/>
        <v>1500000.0059999998</v>
      </c>
      <c r="U37" s="1563">
        <f>+U13+U23+U31</f>
        <v>3826211.0557999997</v>
      </c>
      <c r="V37" s="1563">
        <f>+V13+V23+V31</f>
        <v>1550000.0061999999</v>
      </c>
      <c r="W37" s="1563">
        <f>+W13+W23+W31</f>
        <v>1500000.0059999998</v>
      </c>
      <c r="X37" s="1563">
        <f>+X13+X23+X31</f>
        <v>1572418.8679700401</v>
      </c>
      <c r="Y37" s="1892">
        <f>+Y31+Y35</f>
        <v>2864583.333333334</v>
      </c>
      <c r="Z37" s="1892">
        <f t="shared" ref="Z37:AD37" si="27">+Z31+Z35</f>
        <v>3131944.444444445</v>
      </c>
      <c r="AA37" s="1892">
        <f t="shared" si="27"/>
        <v>4234375</v>
      </c>
      <c r="AB37" s="1892">
        <f t="shared" si="27"/>
        <v>4234375</v>
      </c>
      <c r="AC37" s="1892">
        <f t="shared" si="27"/>
        <v>4932291.666666667</v>
      </c>
      <c r="AD37" s="1892">
        <f t="shared" si="27"/>
        <v>19397569.444444448</v>
      </c>
    </row>
    <row r="40" spans="1:31">
      <c r="X40" s="368"/>
    </row>
    <row r="41" spans="1:31">
      <c r="X41" s="368"/>
    </row>
    <row r="42" spans="1:31">
      <c r="X42" s="368"/>
    </row>
    <row r="43" spans="1:31">
      <c r="X43" s="509"/>
    </row>
  </sheetData>
  <pageMargins left="0.7" right="0.7" top="0.75" bottom="0.75" header="0.3" footer="0.3"/>
  <pageSetup orientation="portrait" r:id="rId1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B07B5-83BB-4660-A795-6F29D99FC91A}">
  <dimension ref="A1:I22"/>
  <sheetViews>
    <sheetView showGridLines="0" zoomScaleNormal="100" workbookViewId="0">
      <selection activeCell="L21" sqref="L21"/>
    </sheetView>
  </sheetViews>
  <sheetFormatPr baseColWidth="10" defaultColWidth="8" defaultRowHeight="11.4"/>
  <cols>
    <col min="1" max="1" width="42.21875" style="1440" customWidth="1"/>
    <col min="2" max="2" width="11" style="1440" bestFit="1" customWidth="1"/>
    <col min="3" max="4" width="10" style="1440" bestFit="1" customWidth="1"/>
    <col min="5" max="6" width="9" style="1440" bestFit="1" customWidth="1"/>
    <col min="7" max="7" width="5.77734375" style="1440" bestFit="1" customWidth="1"/>
    <col min="8" max="8" width="11" style="1440" bestFit="1" customWidth="1"/>
    <col min="9" max="9" width="11.44140625" style="1440" bestFit="1" customWidth="1"/>
    <col min="10" max="16384" width="8" style="1440"/>
  </cols>
  <sheetData>
    <row r="1" spans="1:9" s="1437" customFormat="1" ht="16.649999999999999" customHeight="1">
      <c r="A1" s="1436" t="s">
        <v>771</v>
      </c>
      <c r="B1" s="1436"/>
      <c r="C1" s="1436"/>
      <c r="D1" s="1436"/>
      <c r="E1" s="1436"/>
      <c r="F1" s="1436"/>
      <c r="G1" s="1436"/>
      <c r="H1" s="1436"/>
      <c r="I1" s="1436"/>
    </row>
    <row r="2" spans="1:9" s="1439" customFormat="1" ht="14.4" customHeight="1">
      <c r="A2" s="1438" t="s">
        <v>236</v>
      </c>
      <c r="B2" s="1438"/>
      <c r="C2" s="1438"/>
      <c r="D2" s="1438"/>
      <c r="E2" s="1438"/>
      <c r="F2" s="1438"/>
      <c r="G2" s="1438"/>
      <c r="H2" s="1438"/>
      <c r="I2" s="1438"/>
    </row>
    <row r="3" spans="1:9" s="1439" customFormat="1" ht="14.4" customHeight="1">
      <c r="A3" s="1438" t="s">
        <v>2729</v>
      </c>
      <c r="B3" s="1438"/>
      <c r="C3" s="1438"/>
      <c r="D3" s="1438"/>
      <c r="E3" s="1438"/>
      <c r="F3" s="1438"/>
      <c r="G3" s="1438"/>
      <c r="H3" s="1438"/>
      <c r="I3" s="1438"/>
    </row>
    <row r="4" spans="1:9" s="1439" customFormat="1" ht="14.4" customHeight="1">
      <c r="A4" s="1438" t="s">
        <v>724</v>
      </c>
      <c r="B4" s="1438"/>
      <c r="C4" s="1438"/>
      <c r="D4" s="1438"/>
      <c r="E4" s="1438"/>
      <c r="F4" s="1438"/>
      <c r="G4" s="1438"/>
      <c r="H4" s="1438"/>
      <c r="I4" s="1438"/>
    </row>
    <row r="5" spans="1:9" ht="13.35" customHeight="1"/>
    <row r="6" spans="1:9" s="1444" customFormat="1" ht="12.15" customHeight="1">
      <c r="A6" s="1441" t="s">
        <v>862</v>
      </c>
      <c r="B6" s="1442" t="s">
        <v>861</v>
      </c>
      <c r="C6" s="1442" t="s">
        <v>824</v>
      </c>
      <c r="D6" s="1442" t="s">
        <v>825</v>
      </c>
      <c r="E6" s="1442" t="s">
        <v>826</v>
      </c>
      <c r="F6" s="1442" t="s">
        <v>827</v>
      </c>
      <c r="G6" s="1442" t="s">
        <v>828</v>
      </c>
      <c r="H6" s="1442" t="s">
        <v>164</v>
      </c>
      <c r="I6" s="1442" t="s">
        <v>2731</v>
      </c>
    </row>
    <row r="7" spans="1:9" ht="10.95" customHeight="1">
      <c r="A7" s="1446" t="s">
        <v>1025</v>
      </c>
      <c r="B7" s="2027">
        <v>1064528.18</v>
      </c>
      <c r="C7" s="2027">
        <v>0</v>
      </c>
      <c r="D7" s="2027">
        <v>0</v>
      </c>
      <c r="E7" s="2027">
        <v>0</v>
      </c>
      <c r="F7" s="2027">
        <v>0</v>
      </c>
      <c r="G7" s="2027">
        <v>0</v>
      </c>
      <c r="H7" s="2027">
        <v>1064528.18</v>
      </c>
      <c r="I7" s="2029">
        <f>+H7/$H$20</f>
        <v>5.6024964143156414E-2</v>
      </c>
    </row>
    <row r="8" spans="1:9" ht="10.95" customHeight="1">
      <c r="A8" s="1450" t="s">
        <v>1795</v>
      </c>
      <c r="B8" s="1736">
        <v>11142281.050000001</v>
      </c>
      <c r="C8" s="1736">
        <v>2569870.5700000003</v>
      </c>
      <c r="D8" s="1736">
        <v>78914.16</v>
      </c>
      <c r="E8" s="1736">
        <v>0</v>
      </c>
      <c r="F8" s="1736">
        <v>0</v>
      </c>
      <c r="G8" s="1736">
        <v>0</v>
      </c>
      <c r="H8" s="1736">
        <v>13791065.780000005</v>
      </c>
      <c r="I8" s="2030">
        <f t="shared" ref="I8:I18" si="0">+H8/$H$20</f>
        <v>0.72580884220501496</v>
      </c>
    </row>
    <row r="9" spans="1:9" ht="10.95" customHeight="1">
      <c r="A9" s="1450" t="s">
        <v>1390</v>
      </c>
      <c r="B9" s="1736">
        <v>0</v>
      </c>
      <c r="C9" s="1736">
        <v>94777.600000000006</v>
      </c>
      <c r="D9" s="1736">
        <v>0</v>
      </c>
      <c r="E9" s="1736">
        <v>0</v>
      </c>
      <c r="F9" s="1736">
        <v>0</v>
      </c>
      <c r="G9" s="1736">
        <v>0</v>
      </c>
      <c r="H9" s="1736">
        <v>94777.600000000006</v>
      </c>
      <c r="I9" s="2030">
        <f t="shared" si="0"/>
        <v>4.9880423471499102E-3</v>
      </c>
    </row>
    <row r="10" spans="1:9" ht="10.95" customHeight="1">
      <c r="A10" s="1450" t="s">
        <v>2190</v>
      </c>
      <c r="B10" s="1736">
        <v>0</v>
      </c>
      <c r="C10" s="1736">
        <v>0</v>
      </c>
      <c r="D10" s="1736">
        <v>1040911.48</v>
      </c>
      <c r="E10" s="1736">
        <v>0</v>
      </c>
      <c r="F10" s="1736">
        <v>0</v>
      </c>
      <c r="G10" s="1736">
        <v>0</v>
      </c>
      <c r="H10" s="1736">
        <v>1040911.48</v>
      </c>
      <c r="I10" s="2030">
        <f t="shared" si="0"/>
        <v>5.4782042823140552E-2</v>
      </c>
    </row>
    <row r="11" spans="1:9" ht="10.95" customHeight="1">
      <c r="A11" s="1450" t="s">
        <v>2235</v>
      </c>
      <c r="B11" s="1736">
        <v>506964.3</v>
      </c>
      <c r="C11" s="1736">
        <v>0</v>
      </c>
      <c r="D11" s="1736">
        <v>0</v>
      </c>
      <c r="E11" s="1736">
        <v>0</v>
      </c>
      <c r="F11" s="1736">
        <v>0</v>
      </c>
      <c r="G11" s="1736">
        <v>0</v>
      </c>
      <c r="H11" s="1736">
        <v>506964.3</v>
      </c>
      <c r="I11" s="2030">
        <f t="shared" si="0"/>
        <v>2.6680981549366208E-2</v>
      </c>
    </row>
    <row r="12" spans="1:9" ht="10.95" customHeight="1">
      <c r="A12" s="1450" t="s">
        <v>1610</v>
      </c>
      <c r="B12" s="1736">
        <v>0</v>
      </c>
      <c r="C12" s="1736">
        <v>1847822.94</v>
      </c>
      <c r="D12" s="1736">
        <v>0</v>
      </c>
      <c r="E12" s="1736">
        <v>0</v>
      </c>
      <c r="F12" s="1736">
        <v>0</v>
      </c>
      <c r="G12" s="1736">
        <v>0</v>
      </c>
      <c r="H12" s="1736">
        <v>1847822.94</v>
      </c>
      <c r="I12" s="2030">
        <f t="shared" si="0"/>
        <v>9.7248918254472017E-2</v>
      </c>
    </row>
    <row r="13" spans="1:9" ht="10.95" customHeight="1">
      <c r="A13" s="1450" t="s">
        <v>1757</v>
      </c>
      <c r="B13" s="1736">
        <v>14789.94</v>
      </c>
      <c r="C13" s="1736">
        <v>70233.600000000006</v>
      </c>
      <c r="D13" s="1736">
        <v>0</v>
      </c>
      <c r="E13" s="1736">
        <v>0</v>
      </c>
      <c r="F13" s="1736">
        <v>0</v>
      </c>
      <c r="G13" s="1736">
        <v>0</v>
      </c>
      <c r="H13" s="1736">
        <v>85023.54</v>
      </c>
      <c r="I13" s="2030">
        <f t="shared" si="0"/>
        <v>4.4746967429497497E-3</v>
      </c>
    </row>
    <row r="14" spans="1:9" ht="10.95" customHeight="1">
      <c r="A14" s="1450" t="s">
        <v>2730</v>
      </c>
      <c r="B14" s="1736">
        <v>0</v>
      </c>
      <c r="C14" s="1736">
        <v>9528.5</v>
      </c>
      <c r="D14" s="1736">
        <v>0</v>
      </c>
      <c r="E14" s="1736">
        <v>0</v>
      </c>
      <c r="F14" s="1736">
        <v>0</v>
      </c>
      <c r="G14" s="1736">
        <v>0</v>
      </c>
      <c r="H14" s="1736">
        <v>9528.5</v>
      </c>
      <c r="I14" s="2030">
        <f t="shared" si="0"/>
        <v>5.014746259117968E-4</v>
      </c>
    </row>
    <row r="15" spans="1:9" ht="10.95" customHeight="1">
      <c r="A15" s="1450" t="s">
        <v>2191</v>
      </c>
      <c r="B15" s="1736">
        <v>71154</v>
      </c>
      <c r="C15" s="1736">
        <v>0</v>
      </c>
      <c r="D15" s="1736">
        <v>0</v>
      </c>
      <c r="E15" s="1736">
        <v>0</v>
      </c>
      <c r="F15" s="1736">
        <v>0</v>
      </c>
      <c r="G15" s="1736">
        <v>0</v>
      </c>
      <c r="H15" s="1736">
        <v>71154</v>
      </c>
      <c r="I15" s="2030">
        <f t="shared" si="0"/>
        <v>3.7447578876137894E-3</v>
      </c>
    </row>
    <row r="16" spans="1:9" ht="10.95" customHeight="1">
      <c r="A16" s="1450" t="s">
        <v>2073</v>
      </c>
      <c r="B16" s="1736">
        <v>232709.5</v>
      </c>
      <c r="C16" s="1736">
        <v>0</v>
      </c>
      <c r="D16" s="1736">
        <v>0</v>
      </c>
      <c r="E16" s="1736">
        <v>0</v>
      </c>
      <c r="F16" s="1736">
        <v>0</v>
      </c>
      <c r="G16" s="1736">
        <v>0</v>
      </c>
      <c r="H16" s="1736">
        <v>232709.5</v>
      </c>
      <c r="I16" s="2030">
        <f t="shared" si="0"/>
        <v>1.2247248723159078E-2</v>
      </c>
    </row>
    <row r="17" spans="1:9" ht="10.95" customHeight="1">
      <c r="A17" s="1450" t="s">
        <v>2043</v>
      </c>
      <c r="B17" s="1736">
        <v>0</v>
      </c>
      <c r="C17" s="1736">
        <v>140420</v>
      </c>
      <c r="D17" s="1736">
        <v>0</v>
      </c>
      <c r="E17" s="1736">
        <v>0</v>
      </c>
      <c r="F17" s="1736">
        <v>0</v>
      </c>
      <c r="G17" s="1736">
        <v>0</v>
      </c>
      <c r="H17" s="1736">
        <v>140420</v>
      </c>
      <c r="I17" s="2030">
        <f t="shared" si="0"/>
        <v>7.3901523818580587E-3</v>
      </c>
    </row>
    <row r="18" spans="1:9" ht="10.95" customHeight="1">
      <c r="A18" s="1450" t="s">
        <v>860</v>
      </c>
      <c r="B18" s="1736">
        <v>0</v>
      </c>
      <c r="C18" s="1736">
        <v>0</v>
      </c>
      <c r="D18" s="1736">
        <v>116055.56</v>
      </c>
      <c r="E18" s="1736">
        <v>0</v>
      </c>
      <c r="F18" s="1736">
        <v>0</v>
      </c>
      <c r="G18" s="1736">
        <v>0</v>
      </c>
      <c r="H18" s="1736">
        <v>116055.56</v>
      </c>
      <c r="I18" s="2030">
        <f t="shared" si="0"/>
        <v>6.1078783162075972E-3</v>
      </c>
    </row>
    <row r="19" spans="1:9" ht="13.35" customHeight="1">
      <c r="B19" s="2028"/>
      <c r="C19" s="2028"/>
      <c r="D19" s="2028"/>
      <c r="E19" s="2028"/>
      <c r="F19" s="2028"/>
      <c r="G19" s="2028"/>
      <c r="H19" s="2028"/>
      <c r="I19" s="2028"/>
    </row>
    <row r="20" spans="1:9" ht="10.95" customHeight="1">
      <c r="A20" s="1461" t="s">
        <v>164</v>
      </c>
      <c r="B20" s="1835">
        <f t="shared" ref="B20:H20" si="1">SUM(B7:B18)</f>
        <v>13032426.970000001</v>
      </c>
      <c r="C20" s="1835">
        <f t="shared" si="1"/>
        <v>4732653.21</v>
      </c>
      <c r="D20" s="1835">
        <f t="shared" si="1"/>
        <v>1235881.2</v>
      </c>
      <c r="E20" s="1835">
        <f t="shared" si="1"/>
        <v>0</v>
      </c>
      <c r="F20" s="1835">
        <f t="shared" si="1"/>
        <v>0</v>
      </c>
      <c r="G20" s="1835">
        <f t="shared" si="1"/>
        <v>0</v>
      </c>
      <c r="H20" s="1835">
        <f t="shared" si="1"/>
        <v>19000961.380000003</v>
      </c>
      <c r="I20" s="2031"/>
    </row>
    <row r="21" spans="1:9" ht="13.35" customHeight="1"/>
    <row r="22" spans="1:9" ht="10.95" customHeight="1">
      <c r="A22" s="1461" t="s">
        <v>732</v>
      </c>
      <c r="B22" s="2032">
        <f>(SUM(B7:B18) / SUM(B7:G7,B8:G8,B9:G9,B10:G10,B11:G11,B12:G12,B13:G13,B14:G14,B15:G15,B16:G16,B17:G17,B18:G18))</f>
        <v>0.68588250401464679</v>
      </c>
      <c r="C22" s="2032">
        <f>(SUM(C7:C18) / SUM(B7:G7,B8:G8,B9:G9,B10:G10,B11:G11,B12:G12,B13:G13,B14:G14,B15:G15,B16:G16,B17:G17,B18:G18))</f>
        <v>0.24907440814976275</v>
      </c>
      <c r="D22" s="2032">
        <f>(SUM(D7:D18) / SUM(B7:G7,B8:G8,B9:G9,B10:G10,B11:G11,B12:G12,B13:G13,B14:G14,B15:G15,B16:G16,B17:G17,B18:G18))</f>
        <v>6.5043087835590332E-2</v>
      </c>
      <c r="E22" s="2032">
        <f>(SUM(E7:E18) / SUM(B7:G7,B8:G8,B9:G9,B10:G10,B11:G11,B12:G12,B13:G13,B14:G14,B15:G15,B16:G16,B17:G17,B18:G18))</f>
        <v>0</v>
      </c>
      <c r="F22" s="2032">
        <f>(SUM(F7:F18) / SUM(B7:G7,B8:G8,B9:G9,B10:G10,B11:G11,B12:G12,B13:G13,B14:G14,B15:G15,B16:G16,B17:G17,B18:G18))</f>
        <v>0</v>
      </c>
      <c r="G22" s="2032">
        <f>(SUM(G7:G18) / SUM(B7:G7,B8:G8,B9:G9,B10:G10,B11:G11,B12:G12,B13:G13,B14:G14,B15:G15,B16:G16,B17:G17,B18:G18))</f>
        <v>0</v>
      </c>
      <c r="H22" s="2032">
        <f>(SUM(H7:H18) / SUM(H7:H18))</f>
        <v>1</v>
      </c>
      <c r="I22" s="2032">
        <f>(SUM(I7:I18) / SUM(I7:I18))</f>
        <v>1</v>
      </c>
    </row>
  </sheetData>
  <pageMargins left="0.7" right="0.7" top="0.75" bottom="0.75" header="0.3" footer="0.3"/>
  <pageSetup paperSize="9" fitToWidth="0" fitToHeight="0" orientation="portrait" horizontalDpi="0" verticalDpi="0"/>
  <ignoredErrors>
    <ignoredError sqref="B22:H22" formulaRange="1"/>
  </ignoredErrors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CC828-C205-48CD-9F55-BC880B6BDD08}">
  <dimension ref="A1:O186"/>
  <sheetViews>
    <sheetView showGridLines="0" topLeftCell="A160" zoomScaleNormal="100" workbookViewId="0">
      <selection activeCell="G129" sqref="G129:J129"/>
    </sheetView>
  </sheetViews>
  <sheetFormatPr baseColWidth="10" defaultColWidth="8" defaultRowHeight="11.4"/>
  <cols>
    <col min="1" max="1" width="56.44140625" style="1440" customWidth="1"/>
    <col min="2" max="2" width="12.77734375" style="1440" customWidth="1"/>
    <col min="3" max="3" width="28.33203125" style="1440" customWidth="1"/>
    <col min="4" max="4" width="13" style="1747" bestFit="1" customWidth="1"/>
    <col min="5" max="5" width="18.109375" style="2069" bestFit="1" customWidth="1"/>
    <col min="6" max="6" width="12.6640625" style="1440" bestFit="1" customWidth="1"/>
    <col min="7" max="7" width="13.5546875" style="1440" bestFit="1" customWidth="1"/>
    <col min="8" max="9" width="12.6640625" style="1440" bestFit="1" customWidth="1"/>
    <col min="10" max="10" width="13.5546875" style="1440" bestFit="1" customWidth="1"/>
    <col min="11" max="11" width="22.88671875" style="1440" customWidth="1"/>
    <col min="12" max="12" width="10.44140625" style="1440" bestFit="1" customWidth="1"/>
    <col min="13" max="13" width="23.88671875" style="1440" hidden="1" customWidth="1"/>
    <col min="14" max="14" width="12.77734375" style="1440" bestFit="1" customWidth="1"/>
    <col min="15" max="15" width="10.88671875" style="1440" bestFit="1" customWidth="1"/>
    <col min="16" max="16384" width="8" style="1440"/>
  </cols>
  <sheetData>
    <row r="1" spans="1:10" s="1437" customFormat="1" ht="16.649999999999999" customHeight="1">
      <c r="A1" s="1436" t="s">
        <v>771</v>
      </c>
      <c r="B1" s="1436"/>
      <c r="C1" s="1436"/>
      <c r="D1" s="1778"/>
      <c r="E1" s="2067"/>
    </row>
    <row r="2" spans="1:10" s="1439" customFormat="1" ht="14.4" customHeight="1">
      <c r="A2" s="1438" t="s">
        <v>236</v>
      </c>
      <c r="B2" s="1438"/>
      <c r="C2" s="1438"/>
      <c r="D2" s="1776"/>
      <c r="E2" s="2068"/>
    </row>
    <row r="3" spans="1:10" s="1439" customFormat="1" ht="14.4" customHeight="1">
      <c r="A3" s="1438" t="s">
        <v>2729</v>
      </c>
      <c r="B3" s="1438"/>
      <c r="C3" s="1438"/>
      <c r="D3" s="1776"/>
      <c r="E3" s="2068"/>
    </row>
    <row r="4" spans="1:10" s="1439" customFormat="1" ht="14.4" customHeight="1">
      <c r="A4" s="1438" t="s">
        <v>724</v>
      </c>
      <c r="B4" s="1438"/>
      <c r="C4" s="1438"/>
      <c r="D4" s="1776"/>
      <c r="E4" s="2068"/>
    </row>
    <row r="5" spans="1:10" ht="13.35" customHeight="1"/>
    <row r="6" spans="1:10" s="1444" customFormat="1" ht="12.15" customHeight="1">
      <c r="A6" s="1441" t="s">
        <v>690</v>
      </c>
      <c r="B6" s="1441" t="s">
        <v>689</v>
      </c>
      <c r="C6" s="1441" t="s">
        <v>773</v>
      </c>
      <c r="D6" s="1774" t="s">
        <v>2744</v>
      </c>
      <c r="E6" s="2070" t="s">
        <v>2053</v>
      </c>
      <c r="F6" s="1773">
        <v>46143</v>
      </c>
      <c r="G6" s="1773">
        <v>46174</v>
      </c>
      <c r="H6" s="1773">
        <v>46204</v>
      </c>
      <c r="I6" s="1773">
        <v>46235</v>
      </c>
      <c r="J6" s="1773">
        <v>46266</v>
      </c>
    </row>
    <row r="7" spans="1:10" ht="13.35" customHeight="1"/>
    <row r="8" spans="1:10" s="1444" customFormat="1" ht="12.15" customHeight="1">
      <c r="A8" s="1445" t="s">
        <v>1030</v>
      </c>
      <c r="B8" s="1445"/>
      <c r="C8" s="1445"/>
      <c r="D8" s="2063"/>
      <c r="E8" s="2071"/>
    </row>
    <row r="9" spans="1:10" ht="10.95" hidden="1" customHeight="1">
      <c r="A9" s="1446" t="s">
        <v>1031</v>
      </c>
      <c r="B9" s="1447">
        <v>46126</v>
      </c>
      <c r="C9" s="1446" t="s">
        <v>2728</v>
      </c>
      <c r="D9" s="2064">
        <v>55481</v>
      </c>
      <c r="E9" s="1670">
        <f>SUM(F9:J9)</f>
        <v>55481</v>
      </c>
      <c r="F9" s="1975">
        <v>55481</v>
      </c>
      <c r="G9" s="1975"/>
      <c r="H9" s="1975"/>
      <c r="I9" s="1975"/>
      <c r="J9" s="1975"/>
    </row>
    <row r="10" spans="1:10" ht="10.95" hidden="1" customHeight="1">
      <c r="A10" s="1450" t="s">
        <v>2361</v>
      </c>
      <c r="B10" s="1451">
        <v>46128</v>
      </c>
      <c r="C10" s="1450" t="s">
        <v>2727</v>
      </c>
      <c r="D10" s="2065">
        <v>484815.93</v>
      </c>
      <c r="E10" s="2072">
        <f t="shared" ref="E10:E26" si="0">SUM(F10:J10)</f>
        <v>484815.93</v>
      </c>
      <c r="F10" s="1980">
        <v>484815.93</v>
      </c>
      <c r="G10" s="1980"/>
      <c r="H10" s="1980"/>
      <c r="I10" s="1980"/>
      <c r="J10" s="1980"/>
    </row>
    <row r="11" spans="1:10" ht="10.95" hidden="1" customHeight="1">
      <c r="A11" s="1450" t="s">
        <v>1116</v>
      </c>
      <c r="B11" s="1451">
        <v>46129</v>
      </c>
      <c r="C11" s="1450" t="s">
        <v>2726</v>
      </c>
      <c r="D11" s="2065">
        <v>516</v>
      </c>
      <c r="E11" s="2072">
        <f t="shared" si="0"/>
        <v>516</v>
      </c>
      <c r="F11" s="1980">
        <v>516</v>
      </c>
      <c r="G11" s="1980"/>
      <c r="H11" s="1980"/>
      <c r="I11" s="1980"/>
      <c r="J11" s="1980"/>
    </row>
    <row r="12" spans="1:10" ht="10.95" hidden="1" customHeight="1">
      <c r="A12" s="1450" t="s">
        <v>1116</v>
      </c>
      <c r="B12" s="1451">
        <v>46134</v>
      </c>
      <c r="C12" s="1450" t="s">
        <v>2725</v>
      </c>
      <c r="D12" s="2065">
        <v>76750</v>
      </c>
      <c r="E12" s="2072">
        <f t="shared" si="0"/>
        <v>76750</v>
      </c>
      <c r="F12" s="1980">
        <v>76750</v>
      </c>
      <c r="G12" s="1980"/>
      <c r="H12" s="1980"/>
      <c r="I12" s="1980"/>
      <c r="J12" s="1980"/>
    </row>
    <row r="13" spans="1:10" ht="10.95" hidden="1" customHeight="1">
      <c r="A13" s="1450" t="s">
        <v>1116</v>
      </c>
      <c r="B13" s="1451">
        <v>46135</v>
      </c>
      <c r="C13" s="1450" t="s">
        <v>2724</v>
      </c>
      <c r="D13" s="2065">
        <v>67744</v>
      </c>
      <c r="E13" s="2072">
        <f t="shared" si="0"/>
        <v>67744</v>
      </c>
      <c r="F13" s="1980">
        <v>67744</v>
      </c>
      <c r="G13" s="1980"/>
      <c r="H13" s="1980"/>
      <c r="I13" s="1980"/>
      <c r="J13" s="1980"/>
    </row>
    <row r="14" spans="1:10" ht="10.95" hidden="1" customHeight="1">
      <c r="A14" s="1450" t="s">
        <v>2361</v>
      </c>
      <c r="B14" s="1451">
        <v>46136</v>
      </c>
      <c r="C14" s="1450" t="s">
        <v>2723</v>
      </c>
      <c r="D14" s="2065">
        <v>36000</v>
      </c>
      <c r="E14" s="2072">
        <f t="shared" si="0"/>
        <v>36000</v>
      </c>
      <c r="F14" s="1980">
        <v>36000</v>
      </c>
      <c r="G14" s="1980"/>
      <c r="H14" s="1980"/>
      <c r="I14" s="1980"/>
      <c r="J14" s="1980"/>
    </row>
    <row r="15" spans="1:10" ht="10.95" hidden="1" customHeight="1">
      <c r="A15" s="1450" t="s">
        <v>2361</v>
      </c>
      <c r="B15" s="1451">
        <v>46136</v>
      </c>
      <c r="C15" s="1450" t="s">
        <v>2722</v>
      </c>
      <c r="D15" s="2065">
        <v>64000</v>
      </c>
      <c r="E15" s="2072">
        <f t="shared" si="0"/>
        <v>64000</v>
      </c>
      <c r="F15" s="1980">
        <v>64000</v>
      </c>
      <c r="G15" s="1980"/>
      <c r="H15" s="1980"/>
      <c r="I15" s="1980"/>
      <c r="J15" s="1980"/>
    </row>
    <row r="16" spans="1:10" ht="10.95" hidden="1" customHeight="1">
      <c r="A16" s="1450" t="s">
        <v>2220</v>
      </c>
      <c r="B16" s="1451">
        <v>46139</v>
      </c>
      <c r="C16" s="1450" t="s">
        <v>2721</v>
      </c>
      <c r="D16" s="2065">
        <v>91649.89</v>
      </c>
      <c r="E16" s="2072">
        <f t="shared" si="0"/>
        <v>91649.89</v>
      </c>
      <c r="F16" s="1980">
        <v>91649.89</v>
      </c>
      <c r="G16" s="1980"/>
      <c r="H16" s="1980"/>
      <c r="I16" s="1980"/>
      <c r="J16" s="1980"/>
    </row>
    <row r="17" spans="1:15" ht="10.95" hidden="1" customHeight="1">
      <c r="A17" s="1450" t="s">
        <v>1084</v>
      </c>
      <c r="B17" s="1451">
        <v>46140</v>
      </c>
      <c r="C17" s="1450" t="s">
        <v>2720</v>
      </c>
      <c r="D17" s="2065">
        <v>38157</v>
      </c>
      <c r="E17" s="2072">
        <f t="shared" si="0"/>
        <v>38157</v>
      </c>
      <c r="F17" s="1980">
        <v>38157</v>
      </c>
      <c r="G17" s="1980"/>
      <c r="H17" s="1980"/>
      <c r="I17" s="1980"/>
      <c r="J17" s="1980"/>
    </row>
    <row r="18" spans="1:15" ht="10.95" hidden="1" customHeight="1">
      <c r="A18" s="1450" t="s">
        <v>1116</v>
      </c>
      <c r="B18" s="1451">
        <v>46141</v>
      </c>
      <c r="C18" s="1450" t="s">
        <v>2719</v>
      </c>
      <c r="D18" s="2065">
        <v>572.26</v>
      </c>
      <c r="E18" s="2072">
        <f t="shared" si="0"/>
        <v>572.26</v>
      </c>
      <c r="F18" s="1980">
        <v>572.26</v>
      </c>
      <c r="G18" s="1980"/>
      <c r="H18" s="1980"/>
      <c r="I18" s="1980"/>
      <c r="J18" s="1980"/>
    </row>
    <row r="19" spans="1:15" ht="10.95" hidden="1" customHeight="1">
      <c r="A19" s="1450" t="s">
        <v>2210</v>
      </c>
      <c r="B19" s="1451">
        <v>46128</v>
      </c>
      <c r="C19" s="1450" t="s">
        <v>2718</v>
      </c>
      <c r="D19" s="2065">
        <v>9926.6200000000008</v>
      </c>
      <c r="E19" s="2072">
        <f t="shared" si="0"/>
        <v>9926.6200000000008</v>
      </c>
      <c r="F19" s="1980">
        <v>9926.6200000000008</v>
      </c>
      <c r="G19" s="1980"/>
      <c r="H19" s="1980"/>
      <c r="I19" s="1980"/>
      <c r="J19" s="1980"/>
    </row>
    <row r="20" spans="1:15" ht="10.95" hidden="1" customHeight="1">
      <c r="A20" s="1450" t="s">
        <v>2210</v>
      </c>
      <c r="B20" s="1451">
        <v>46128</v>
      </c>
      <c r="C20" s="1450" t="s">
        <v>2717</v>
      </c>
      <c r="D20" s="2065">
        <v>49042.45</v>
      </c>
      <c r="E20" s="2072">
        <f t="shared" si="0"/>
        <v>49042.45</v>
      </c>
      <c r="F20" s="1980">
        <v>49042.45</v>
      </c>
      <c r="G20" s="1980"/>
      <c r="H20" s="1980"/>
      <c r="I20" s="1980"/>
      <c r="J20" s="1980"/>
    </row>
    <row r="21" spans="1:15" ht="10.95" hidden="1" customHeight="1">
      <c r="A21" s="1450" t="s">
        <v>2210</v>
      </c>
      <c r="B21" s="1451">
        <v>46129</v>
      </c>
      <c r="C21" s="1450" t="s">
        <v>2716</v>
      </c>
      <c r="D21" s="2065">
        <v>5629.78</v>
      </c>
      <c r="E21" s="2072">
        <f t="shared" si="0"/>
        <v>5629.78</v>
      </c>
      <c r="F21" s="1980">
        <v>5629.78</v>
      </c>
      <c r="G21" s="1980"/>
      <c r="H21" s="1980"/>
      <c r="I21" s="1980"/>
      <c r="J21" s="1980"/>
    </row>
    <row r="22" spans="1:15" ht="10.95" hidden="1" customHeight="1">
      <c r="A22" s="1450" t="s">
        <v>2210</v>
      </c>
      <c r="B22" s="1451">
        <v>46132</v>
      </c>
      <c r="C22" s="1450" t="s">
        <v>2715</v>
      </c>
      <c r="D22" s="2065">
        <v>1815</v>
      </c>
      <c r="E22" s="2072">
        <f t="shared" si="0"/>
        <v>1815</v>
      </c>
      <c r="F22" s="1980">
        <v>1815</v>
      </c>
      <c r="G22" s="1980"/>
      <c r="H22" s="1980"/>
      <c r="I22" s="1980"/>
      <c r="J22" s="1980"/>
    </row>
    <row r="23" spans="1:15" ht="10.95" hidden="1" customHeight="1">
      <c r="A23" s="1450" t="s">
        <v>2210</v>
      </c>
      <c r="B23" s="1451">
        <v>46133</v>
      </c>
      <c r="C23" s="1450" t="s">
        <v>2714</v>
      </c>
      <c r="D23" s="2065">
        <v>136.25</v>
      </c>
      <c r="E23" s="2072">
        <f t="shared" si="0"/>
        <v>136.25</v>
      </c>
      <c r="F23" s="1980">
        <v>136.25</v>
      </c>
      <c r="G23" s="1980"/>
      <c r="H23" s="1980"/>
      <c r="I23" s="1980"/>
      <c r="J23" s="1980"/>
    </row>
    <row r="24" spans="1:15" ht="10.95" hidden="1" customHeight="1">
      <c r="A24" s="1450" t="s">
        <v>1116</v>
      </c>
      <c r="B24" s="1451">
        <v>46134</v>
      </c>
      <c r="C24" s="1450" t="s">
        <v>2713</v>
      </c>
      <c r="D24" s="2065">
        <v>4130</v>
      </c>
      <c r="E24" s="2072">
        <f t="shared" si="0"/>
        <v>4130</v>
      </c>
      <c r="F24" s="1980">
        <v>4130</v>
      </c>
      <c r="G24" s="1980"/>
      <c r="H24" s="1980"/>
      <c r="I24" s="1980"/>
      <c r="J24" s="1980"/>
    </row>
    <row r="25" spans="1:15" ht="10.95" hidden="1" customHeight="1">
      <c r="A25" s="1450" t="s">
        <v>1116</v>
      </c>
      <c r="B25" s="1451">
        <v>46135</v>
      </c>
      <c r="C25" s="1450" t="s">
        <v>2712</v>
      </c>
      <c r="D25" s="2065">
        <v>44664</v>
      </c>
      <c r="E25" s="2072">
        <f t="shared" si="0"/>
        <v>44664</v>
      </c>
      <c r="F25" s="1980">
        <v>44664</v>
      </c>
      <c r="G25" s="1980"/>
      <c r="H25" s="1980"/>
      <c r="I25" s="1980"/>
      <c r="J25" s="1980"/>
    </row>
    <row r="26" spans="1:15" ht="10.95" customHeight="1">
      <c r="A26" s="1450" t="s">
        <v>1116</v>
      </c>
      <c r="B26" s="1451">
        <v>46136</v>
      </c>
      <c r="C26" s="1450" t="s">
        <v>2711</v>
      </c>
      <c r="D26" s="2065">
        <v>33498</v>
      </c>
      <c r="E26" s="2072">
        <f t="shared" si="0"/>
        <v>33498</v>
      </c>
      <c r="F26" s="1980">
        <v>33498</v>
      </c>
      <c r="G26" s="1980"/>
      <c r="H26" s="1980"/>
      <c r="I26" s="1980"/>
      <c r="J26" s="1980"/>
    </row>
    <row r="27" spans="1:15" ht="10.95" customHeight="1">
      <c r="A27" s="1672" t="s">
        <v>2346</v>
      </c>
      <c r="B27" s="1673"/>
      <c r="C27" s="1672"/>
      <c r="D27" s="1843"/>
      <c r="E27" s="1757">
        <f>SUM(F27:J27)</f>
        <v>62950000</v>
      </c>
      <c r="F27" s="1771">
        <v>4600000</v>
      </c>
      <c r="G27" s="1771">
        <v>11200000</v>
      </c>
      <c r="H27" s="1771">
        <v>2250000</v>
      </c>
      <c r="I27" s="1771">
        <v>25900000</v>
      </c>
      <c r="J27" s="1771">
        <v>19000000</v>
      </c>
    </row>
    <row r="28" spans="1:15" ht="10.95" customHeight="1">
      <c r="A28" s="1454" t="s">
        <v>1831</v>
      </c>
      <c r="B28" s="1454"/>
      <c r="C28" s="1454"/>
      <c r="D28" s="1681">
        <f>SUM(D9:D27)</f>
        <v>1064528.18</v>
      </c>
      <c r="E28" s="1667">
        <f>SUM(E9:E27)</f>
        <v>64014528.18</v>
      </c>
      <c r="F28" s="1976">
        <f>SUM(F9:F27)</f>
        <v>5664528.1799999997</v>
      </c>
      <c r="G28" s="1976">
        <f t="shared" ref="G28:J28" si="1">SUM(G9:G27)</f>
        <v>11200000</v>
      </c>
      <c r="H28" s="1976">
        <f t="shared" si="1"/>
        <v>2250000</v>
      </c>
      <c r="I28" s="1976">
        <f t="shared" si="1"/>
        <v>25900000</v>
      </c>
      <c r="J28" s="1976">
        <f t="shared" si="1"/>
        <v>19000000</v>
      </c>
    </row>
    <row r="29" spans="1:15" ht="13.35" customHeight="1">
      <c r="E29" s="1658"/>
      <c r="F29" s="400"/>
      <c r="G29" s="400"/>
      <c r="H29" s="400"/>
      <c r="I29" s="400"/>
      <c r="J29" s="400"/>
    </row>
    <row r="30" spans="1:15" s="1444" customFormat="1" ht="12.15" customHeight="1">
      <c r="A30" s="1445" t="s">
        <v>2056</v>
      </c>
      <c r="B30" s="1445"/>
      <c r="C30" s="1445"/>
      <c r="D30" s="2063"/>
      <c r="E30" s="1677"/>
      <c r="F30" s="1974"/>
      <c r="G30" s="1974"/>
      <c r="H30" s="1974"/>
      <c r="I30" s="1974"/>
      <c r="J30" s="1974" t="s">
        <v>1764</v>
      </c>
      <c r="L30" s="2081" t="s">
        <v>1764</v>
      </c>
      <c r="M30" s="1980"/>
      <c r="N30" s="1976" t="s">
        <v>1765</v>
      </c>
    </row>
    <row r="31" spans="1:15" ht="10.95" customHeight="1">
      <c r="A31" s="1450" t="s">
        <v>2210</v>
      </c>
      <c r="B31" s="1451">
        <v>46128</v>
      </c>
      <c r="C31" s="1450" t="s">
        <v>2718</v>
      </c>
      <c r="D31" s="2065">
        <v>3360.64</v>
      </c>
      <c r="E31" s="2072">
        <f t="shared" ref="E31:E94" si="2">SUM(F31:J31)</f>
        <v>3360.64</v>
      </c>
      <c r="F31" s="1980">
        <v>3360.64</v>
      </c>
      <c r="G31" s="1980"/>
      <c r="H31" s="1980"/>
      <c r="K31" s="1980" t="s">
        <v>2746</v>
      </c>
      <c r="L31" s="1571">
        <f>+'Costos a Abr-26'!T6</f>
        <v>7556146.9900000021</v>
      </c>
      <c r="M31" s="1980" t="s">
        <v>2746</v>
      </c>
      <c r="N31" s="1571">
        <f>+'Costos a Abr-26'!S8</f>
        <v>50694288.109999999</v>
      </c>
      <c r="O31" s="2082">
        <f>+L31+N31</f>
        <v>58250435.100000001</v>
      </c>
    </row>
    <row r="32" spans="1:15" ht="10.95" customHeight="1">
      <c r="A32" s="1450" t="s">
        <v>2210</v>
      </c>
      <c r="B32" s="1451">
        <v>46128</v>
      </c>
      <c r="C32" s="1450" t="s">
        <v>2717</v>
      </c>
      <c r="D32" s="2065">
        <v>9000.1</v>
      </c>
      <c r="E32" s="2072">
        <f t="shared" si="2"/>
        <v>9000.1</v>
      </c>
      <c r="F32" s="1980">
        <v>9000.1</v>
      </c>
      <c r="G32" s="1980"/>
      <c r="H32" s="1980"/>
      <c r="K32" s="1980" t="s">
        <v>2052</v>
      </c>
      <c r="L32" s="1571">
        <f>+D28</f>
        <v>1064528.18</v>
      </c>
      <c r="M32" s="1980" t="s">
        <v>2052</v>
      </c>
      <c r="N32" s="1571">
        <f>+D105</f>
        <v>13791065.780000005</v>
      </c>
      <c r="O32" s="1855">
        <f t="shared" ref="O32:O38" si="3">+L32+N32</f>
        <v>14855593.960000005</v>
      </c>
    </row>
    <row r="33" spans="1:15" ht="10.95" customHeight="1">
      <c r="A33" s="1450" t="s">
        <v>2210</v>
      </c>
      <c r="B33" s="1451">
        <v>46129</v>
      </c>
      <c r="C33" s="1450" t="s">
        <v>2716</v>
      </c>
      <c r="D33" s="2065">
        <v>14542.26</v>
      </c>
      <c r="E33" s="2072">
        <f t="shared" si="2"/>
        <v>14542.26</v>
      </c>
      <c r="F33" s="1980">
        <v>14542.26</v>
      </c>
      <c r="G33" s="1980"/>
      <c r="H33" s="1980"/>
      <c r="K33" s="1980" t="s">
        <v>1868</v>
      </c>
      <c r="L33" s="1571">
        <f>+L31-L32</f>
        <v>6491618.8100000024</v>
      </c>
      <c r="M33" s="1980" t="s">
        <v>1868</v>
      </c>
      <c r="N33" s="1571">
        <f>+N31-N32</f>
        <v>36903222.329999998</v>
      </c>
      <c r="O33" s="1855">
        <f t="shared" si="3"/>
        <v>43394841.140000001</v>
      </c>
    </row>
    <row r="34" spans="1:15" ht="10.95" customHeight="1">
      <c r="A34" s="1450" t="s">
        <v>2210</v>
      </c>
      <c r="B34" s="1451">
        <v>46132</v>
      </c>
      <c r="C34" s="1450" t="s">
        <v>2715</v>
      </c>
      <c r="D34" s="2065">
        <v>109778.94</v>
      </c>
      <c r="E34" s="2072">
        <f t="shared" si="2"/>
        <v>109778.94</v>
      </c>
      <c r="F34" s="1980">
        <v>109778.94</v>
      </c>
      <c r="G34" s="1980"/>
      <c r="H34" s="1980"/>
      <c r="K34" s="1980" t="s">
        <v>2462</v>
      </c>
      <c r="L34" s="1571">
        <v>0</v>
      </c>
      <c r="M34" s="1980" t="s">
        <v>2462</v>
      </c>
      <c r="N34" s="1571">
        <f>+'Anticipos 04-26'!D7</f>
        <v>91255.239999999991</v>
      </c>
      <c r="O34" s="1855">
        <f t="shared" si="3"/>
        <v>91255.239999999991</v>
      </c>
    </row>
    <row r="35" spans="1:15" ht="10.95" customHeight="1">
      <c r="A35" s="1450" t="s">
        <v>2210</v>
      </c>
      <c r="B35" s="1451">
        <v>46133</v>
      </c>
      <c r="C35" s="1450" t="s">
        <v>2714</v>
      </c>
      <c r="D35" s="2065">
        <v>2382.35</v>
      </c>
      <c r="E35" s="2072">
        <f t="shared" si="2"/>
        <v>2382.35</v>
      </c>
      <c r="F35" s="1980">
        <v>2382.35</v>
      </c>
      <c r="G35" s="1980"/>
      <c r="H35" s="1980"/>
      <c r="K35" s="1980" t="s">
        <v>1868</v>
      </c>
      <c r="L35" s="1571">
        <f>+L33+L34</f>
        <v>6491618.8100000024</v>
      </c>
      <c r="M35" s="1980" t="s">
        <v>1868</v>
      </c>
      <c r="N35" s="1571">
        <f>+N33+N34</f>
        <v>36994477.57</v>
      </c>
      <c r="O35" s="1855">
        <f t="shared" si="3"/>
        <v>43486096.380000003</v>
      </c>
    </row>
    <row r="36" spans="1:15" ht="10.95" customHeight="1">
      <c r="A36" s="1450" t="s">
        <v>1116</v>
      </c>
      <c r="B36" s="1451">
        <v>46134</v>
      </c>
      <c r="C36" s="1450" t="s">
        <v>2713</v>
      </c>
      <c r="D36" s="2065">
        <v>2806.33</v>
      </c>
      <c r="E36" s="2072">
        <f t="shared" si="2"/>
        <v>2806.33</v>
      </c>
      <c r="F36" s="1980">
        <v>2806.33</v>
      </c>
      <c r="G36" s="1980"/>
      <c r="H36" s="1980"/>
      <c r="K36" s="1976" t="s">
        <v>2602</v>
      </c>
      <c r="L36" s="1572">
        <v>9935000</v>
      </c>
      <c r="M36" s="1976" t="s">
        <v>2602</v>
      </c>
      <c r="N36" s="1572">
        <v>47900000</v>
      </c>
      <c r="O36" s="2082">
        <f t="shared" si="3"/>
        <v>57835000</v>
      </c>
    </row>
    <row r="37" spans="1:15" ht="10.95" customHeight="1">
      <c r="A37" s="1450" t="s">
        <v>1116</v>
      </c>
      <c r="B37" s="1451">
        <v>46135</v>
      </c>
      <c r="C37" s="1450" t="s">
        <v>2712</v>
      </c>
      <c r="D37" s="2065">
        <v>22785</v>
      </c>
      <c r="E37" s="2072">
        <f t="shared" si="2"/>
        <v>22785</v>
      </c>
      <c r="F37" s="1980">
        <v>22785</v>
      </c>
      <c r="G37" s="1980"/>
      <c r="H37" s="1980"/>
      <c r="K37" s="1980" t="s">
        <v>2747</v>
      </c>
      <c r="L37" s="1571">
        <f>+L35-L36</f>
        <v>-3443381.1899999976</v>
      </c>
      <c r="M37" s="1980" t="s">
        <v>2603</v>
      </c>
      <c r="N37" s="1571">
        <f>+N35-N36</f>
        <v>-10905522.43</v>
      </c>
      <c r="O37" s="1855">
        <f t="shared" si="3"/>
        <v>-14348903.619999997</v>
      </c>
    </row>
    <row r="38" spans="1:15" s="1444" customFormat="1" ht="12.15" customHeight="1">
      <c r="A38" s="1450" t="s">
        <v>1116</v>
      </c>
      <c r="B38" s="1451">
        <v>46136</v>
      </c>
      <c r="C38" s="1450" t="s">
        <v>2711</v>
      </c>
      <c r="D38" s="2065">
        <v>465</v>
      </c>
      <c r="E38" s="2072">
        <f t="shared" si="2"/>
        <v>465</v>
      </c>
      <c r="F38" s="1679">
        <v>465</v>
      </c>
      <c r="G38" s="1679"/>
      <c r="H38" s="1679"/>
      <c r="I38" s="1679"/>
      <c r="J38" s="1679"/>
      <c r="L38" s="1855">
        <f>+L32+L37</f>
        <v>-2378853.0099999979</v>
      </c>
      <c r="M38" s="1868"/>
      <c r="N38" s="1855">
        <f>+N32+N37</f>
        <v>2885543.3500000052</v>
      </c>
      <c r="O38" s="2082">
        <f t="shared" si="3"/>
        <v>506690.3400000073</v>
      </c>
    </row>
    <row r="39" spans="1:15" ht="10.95" customHeight="1">
      <c r="A39" s="1446" t="s">
        <v>2220</v>
      </c>
      <c r="B39" s="1447">
        <v>46078</v>
      </c>
      <c r="C39" s="1446" t="s">
        <v>2418</v>
      </c>
      <c r="D39" s="2064">
        <v>49.4</v>
      </c>
      <c r="E39" s="2072">
        <f t="shared" si="2"/>
        <v>49.4</v>
      </c>
      <c r="F39" s="1975">
        <v>49.4</v>
      </c>
      <c r="G39" s="1975"/>
      <c r="H39" s="1975"/>
      <c r="I39" s="1975"/>
      <c r="J39" s="1975"/>
    </row>
    <row r="40" spans="1:15" ht="10.95" hidden="1" customHeight="1">
      <c r="A40" s="1450" t="s">
        <v>2406</v>
      </c>
      <c r="B40" s="1451">
        <v>46086</v>
      </c>
      <c r="C40" s="1450" t="s">
        <v>2496</v>
      </c>
      <c r="D40" s="2065">
        <v>43956.18</v>
      </c>
      <c r="E40" s="2072">
        <f t="shared" si="2"/>
        <v>43956.18</v>
      </c>
      <c r="F40" s="1980">
        <v>43956.18</v>
      </c>
      <c r="G40" s="1980"/>
      <c r="H40" s="1980"/>
      <c r="I40" s="1980"/>
      <c r="J40" s="1980"/>
    </row>
    <row r="41" spans="1:15" ht="10.95" hidden="1" customHeight="1">
      <c r="A41" s="1450" t="s">
        <v>2265</v>
      </c>
      <c r="B41" s="1451">
        <v>46108</v>
      </c>
      <c r="C41" s="1450" t="s">
        <v>2542</v>
      </c>
      <c r="D41" s="2065">
        <v>240640.42</v>
      </c>
      <c r="E41" s="2072">
        <f t="shared" si="2"/>
        <v>240640.42</v>
      </c>
      <c r="F41" s="1980">
        <v>240640.42</v>
      </c>
      <c r="G41" s="1980"/>
      <c r="H41" s="1980"/>
      <c r="I41" s="1980"/>
      <c r="J41" s="1980"/>
      <c r="N41" s="1857">
        <f>+L38+N38</f>
        <v>506690.3400000073</v>
      </c>
    </row>
    <row r="42" spans="1:15" ht="10.95" hidden="1" customHeight="1">
      <c r="A42" s="1450" t="s">
        <v>2265</v>
      </c>
      <c r="B42" s="1451">
        <v>46111</v>
      </c>
      <c r="C42" s="1450" t="s">
        <v>2543</v>
      </c>
      <c r="D42" s="2065">
        <v>495436.45</v>
      </c>
      <c r="E42" s="2072">
        <f t="shared" si="2"/>
        <v>495436.45</v>
      </c>
      <c r="F42" s="1980">
        <v>495436.45</v>
      </c>
      <c r="G42" s="1980"/>
      <c r="H42" s="1980"/>
      <c r="I42" s="1980"/>
      <c r="J42" s="1980"/>
    </row>
    <row r="43" spans="1:15" ht="10.95" hidden="1" customHeight="1">
      <c r="A43" s="1450" t="s">
        <v>2506</v>
      </c>
      <c r="B43" s="1451">
        <v>46111</v>
      </c>
      <c r="C43" s="1450" t="s">
        <v>2546</v>
      </c>
      <c r="D43" s="2065">
        <v>175200</v>
      </c>
      <c r="E43" s="2072">
        <f t="shared" si="2"/>
        <v>175200</v>
      </c>
      <c r="F43" s="1980">
        <v>175200</v>
      </c>
      <c r="G43" s="1980"/>
      <c r="H43" s="1980"/>
      <c r="I43" s="1980"/>
      <c r="J43" s="1980"/>
    </row>
    <row r="44" spans="1:15" ht="10.95" hidden="1" customHeight="1">
      <c r="A44" s="1450" t="s">
        <v>2220</v>
      </c>
      <c r="B44" s="1451">
        <v>46111</v>
      </c>
      <c r="C44" s="1450" t="s">
        <v>2547</v>
      </c>
      <c r="D44" s="2065">
        <v>70.8</v>
      </c>
      <c r="E44" s="2072">
        <f t="shared" si="2"/>
        <v>70.8</v>
      </c>
      <c r="F44" s="1980">
        <v>70.8</v>
      </c>
      <c r="G44" s="1980"/>
      <c r="H44" s="1980"/>
      <c r="I44" s="1980"/>
      <c r="J44" s="1980"/>
    </row>
    <row r="45" spans="1:15" ht="10.95" hidden="1" customHeight="1">
      <c r="A45" s="1450" t="s">
        <v>2220</v>
      </c>
      <c r="B45" s="1451">
        <v>46111</v>
      </c>
      <c r="C45" s="1450" t="s">
        <v>2548</v>
      </c>
      <c r="D45" s="2065">
        <v>212320.06</v>
      </c>
      <c r="E45" s="2072">
        <f t="shared" si="2"/>
        <v>212320.06</v>
      </c>
      <c r="F45" s="1980">
        <v>212320.06</v>
      </c>
      <c r="G45" s="1980"/>
      <c r="H45" s="1980"/>
      <c r="I45" s="1980"/>
      <c r="J45" s="1980"/>
    </row>
    <row r="46" spans="1:15" ht="10.95" hidden="1" customHeight="1">
      <c r="A46" s="1450" t="s">
        <v>2265</v>
      </c>
      <c r="B46" s="1451">
        <v>46112</v>
      </c>
      <c r="C46" s="1450" t="s">
        <v>2551</v>
      </c>
      <c r="D46" s="2065">
        <v>240640.56</v>
      </c>
      <c r="E46" s="2072">
        <f t="shared" si="2"/>
        <v>240640.56</v>
      </c>
      <c r="F46" s="1980">
        <v>240640.56</v>
      </c>
      <c r="G46" s="1980"/>
      <c r="H46" s="1980"/>
      <c r="I46" s="1980"/>
      <c r="J46" s="1980"/>
    </row>
    <row r="47" spans="1:15" ht="10.95" hidden="1" customHeight="1">
      <c r="A47" s="1450" t="s">
        <v>2265</v>
      </c>
      <c r="B47" s="1451">
        <v>46112</v>
      </c>
      <c r="C47" s="1450" t="s">
        <v>2550</v>
      </c>
      <c r="D47" s="2065">
        <v>1338262.28</v>
      </c>
      <c r="E47" s="2072">
        <f t="shared" si="2"/>
        <v>1338262.28</v>
      </c>
      <c r="F47" s="1980">
        <v>1338262.28</v>
      </c>
      <c r="G47" s="1980"/>
      <c r="H47" s="1980"/>
      <c r="I47" s="1980"/>
      <c r="J47" s="1980"/>
    </row>
    <row r="48" spans="1:15" ht="10.95" hidden="1" customHeight="1">
      <c r="A48" s="1450" t="s">
        <v>2220</v>
      </c>
      <c r="B48" s="1451">
        <v>46118</v>
      </c>
      <c r="C48" s="1450" t="s">
        <v>2710</v>
      </c>
      <c r="D48" s="2065">
        <v>45174.93</v>
      </c>
      <c r="E48" s="2072">
        <f t="shared" si="2"/>
        <v>45174.93</v>
      </c>
      <c r="F48" s="1980">
        <v>45174.93</v>
      </c>
      <c r="G48" s="1980"/>
      <c r="H48" s="1980"/>
      <c r="I48" s="1980"/>
      <c r="J48" s="1980"/>
    </row>
    <row r="49" spans="1:10" ht="10.95" hidden="1" customHeight="1">
      <c r="A49" s="1450" t="s">
        <v>1116</v>
      </c>
      <c r="B49" s="1451">
        <v>46120</v>
      </c>
      <c r="C49" s="1450" t="s">
        <v>2709</v>
      </c>
      <c r="D49" s="2065">
        <v>1144982.48</v>
      </c>
      <c r="E49" s="2072">
        <f t="shared" si="2"/>
        <v>1144982.48</v>
      </c>
      <c r="F49" s="1980">
        <v>1144982.48</v>
      </c>
      <c r="G49" s="1980"/>
      <c r="H49" s="1980"/>
      <c r="I49" s="1980"/>
      <c r="J49" s="1980"/>
    </row>
    <row r="50" spans="1:10" ht="10.95" hidden="1" customHeight="1">
      <c r="A50" s="1450" t="s">
        <v>2265</v>
      </c>
      <c r="B50" s="1451">
        <v>46120</v>
      </c>
      <c r="C50" s="1450" t="s">
        <v>2708</v>
      </c>
      <c r="D50" s="2065">
        <v>1226275.77</v>
      </c>
      <c r="E50" s="2072">
        <f t="shared" si="2"/>
        <v>1226275.77</v>
      </c>
      <c r="F50" s="1980">
        <v>1226275.77</v>
      </c>
      <c r="G50" s="1980"/>
      <c r="H50" s="1980"/>
      <c r="I50" s="1980"/>
      <c r="J50" s="1980"/>
    </row>
    <row r="51" spans="1:10" ht="10.95" hidden="1" customHeight="1">
      <c r="A51" s="1450" t="s">
        <v>2220</v>
      </c>
      <c r="B51" s="1451">
        <v>46121</v>
      </c>
      <c r="C51" s="1450" t="s">
        <v>2707</v>
      </c>
      <c r="D51" s="2065">
        <v>36282.67</v>
      </c>
      <c r="E51" s="2072">
        <f t="shared" si="2"/>
        <v>36282.67</v>
      </c>
      <c r="F51" s="1980">
        <v>36282.67</v>
      </c>
      <c r="G51" s="1980"/>
      <c r="H51" s="1980"/>
      <c r="I51" s="1980"/>
      <c r="J51" s="1980"/>
    </row>
    <row r="52" spans="1:10" ht="10.95" hidden="1" customHeight="1">
      <c r="A52" s="1450" t="s">
        <v>2220</v>
      </c>
      <c r="B52" s="1451">
        <v>46121</v>
      </c>
      <c r="C52" s="1450" t="s">
        <v>2706</v>
      </c>
      <c r="D52" s="2065">
        <v>34908.58</v>
      </c>
      <c r="E52" s="2072">
        <f t="shared" si="2"/>
        <v>34908.58</v>
      </c>
      <c r="F52" s="1980">
        <v>34908.58</v>
      </c>
      <c r="G52" s="1980"/>
      <c r="H52" s="1980"/>
      <c r="I52" s="1980"/>
      <c r="J52" s="1980"/>
    </row>
    <row r="53" spans="1:10" ht="10.95" hidden="1" customHeight="1">
      <c r="A53" s="1450" t="s">
        <v>2220</v>
      </c>
      <c r="B53" s="1451">
        <v>46121</v>
      </c>
      <c r="C53" s="1450" t="s">
        <v>2705</v>
      </c>
      <c r="D53" s="2065">
        <v>19624</v>
      </c>
      <c r="E53" s="2072">
        <f t="shared" si="2"/>
        <v>19624</v>
      </c>
      <c r="F53" s="1980">
        <v>19624</v>
      </c>
      <c r="G53" s="1980"/>
      <c r="H53" s="1980"/>
      <c r="I53" s="1980"/>
      <c r="J53" s="1980"/>
    </row>
    <row r="54" spans="1:10" ht="10.95" hidden="1" customHeight="1">
      <c r="A54" s="1450" t="s">
        <v>1116</v>
      </c>
      <c r="B54" s="1451">
        <v>46122</v>
      </c>
      <c r="C54" s="1450" t="s">
        <v>2704</v>
      </c>
      <c r="D54" s="2065">
        <v>4314</v>
      </c>
      <c r="E54" s="2072">
        <f t="shared" si="2"/>
        <v>4314</v>
      </c>
      <c r="F54" s="1980">
        <v>4314</v>
      </c>
      <c r="G54" s="1980"/>
      <c r="H54" s="1980"/>
      <c r="I54" s="1980"/>
      <c r="J54" s="1980"/>
    </row>
    <row r="55" spans="1:10" ht="10.95" hidden="1" customHeight="1">
      <c r="A55" s="1450" t="s">
        <v>1116</v>
      </c>
      <c r="B55" s="1451">
        <v>46122</v>
      </c>
      <c r="C55" s="1450" t="s">
        <v>2703</v>
      </c>
      <c r="D55" s="2065">
        <v>27842.1</v>
      </c>
      <c r="E55" s="2072">
        <f t="shared" si="2"/>
        <v>27842.1</v>
      </c>
      <c r="F55" s="1980">
        <v>27842.1</v>
      </c>
      <c r="G55" s="1980"/>
      <c r="H55" s="1980"/>
      <c r="I55" s="1980"/>
      <c r="J55" s="1980"/>
    </row>
    <row r="56" spans="1:10" ht="10.95" hidden="1" customHeight="1">
      <c r="A56" s="1450" t="s">
        <v>1116</v>
      </c>
      <c r="B56" s="1451">
        <v>46122</v>
      </c>
      <c r="C56" s="1450" t="s">
        <v>2702</v>
      </c>
      <c r="D56" s="2065">
        <v>225</v>
      </c>
      <c r="E56" s="2072">
        <f t="shared" si="2"/>
        <v>225</v>
      </c>
      <c r="F56" s="1980">
        <v>225</v>
      </c>
      <c r="G56" s="1980"/>
      <c r="H56" s="1980"/>
      <c r="I56" s="1980"/>
      <c r="J56" s="1980"/>
    </row>
    <row r="57" spans="1:10" ht="10.95" hidden="1" customHeight="1">
      <c r="A57" s="1450" t="s">
        <v>1116</v>
      </c>
      <c r="B57" s="1451">
        <v>46122</v>
      </c>
      <c r="C57" s="1450" t="s">
        <v>2701</v>
      </c>
      <c r="D57" s="2065">
        <v>24826</v>
      </c>
      <c r="E57" s="2072">
        <f t="shared" si="2"/>
        <v>24826</v>
      </c>
      <c r="F57" s="1980">
        <v>24826</v>
      </c>
      <c r="G57" s="1980"/>
      <c r="H57" s="1980"/>
      <c r="I57" s="1980"/>
      <c r="J57" s="1980"/>
    </row>
    <row r="58" spans="1:10" ht="10.95" hidden="1" customHeight="1">
      <c r="A58" s="1450" t="s">
        <v>2265</v>
      </c>
      <c r="B58" s="1451">
        <v>46122</v>
      </c>
      <c r="C58" s="1450" t="s">
        <v>2700</v>
      </c>
      <c r="D58" s="2065">
        <v>28310.65</v>
      </c>
      <c r="E58" s="2072">
        <f t="shared" si="2"/>
        <v>28310.65</v>
      </c>
      <c r="F58" s="1980">
        <v>28310.65</v>
      </c>
      <c r="G58" s="1980"/>
      <c r="H58" s="1980"/>
      <c r="I58" s="1980"/>
      <c r="J58" s="1980"/>
    </row>
    <row r="59" spans="1:10" ht="10.95" hidden="1" customHeight="1">
      <c r="A59" s="1450" t="s">
        <v>2265</v>
      </c>
      <c r="B59" s="1451">
        <v>46122</v>
      </c>
      <c r="C59" s="1450" t="s">
        <v>2699</v>
      </c>
      <c r="D59" s="2065">
        <v>79228.5</v>
      </c>
      <c r="E59" s="2072">
        <f t="shared" si="2"/>
        <v>79228.5</v>
      </c>
      <c r="F59" s="1980">
        <v>79228.5</v>
      </c>
      <c r="G59" s="1980"/>
      <c r="H59" s="1980"/>
      <c r="I59" s="1980"/>
      <c r="J59" s="1980"/>
    </row>
    <row r="60" spans="1:10" ht="10.95" hidden="1" customHeight="1">
      <c r="A60" s="1450" t="s">
        <v>950</v>
      </c>
      <c r="B60" s="1451">
        <v>46122</v>
      </c>
      <c r="C60" s="1450" t="s">
        <v>2698</v>
      </c>
      <c r="D60" s="2065">
        <v>42500</v>
      </c>
      <c r="E60" s="2072">
        <f t="shared" si="2"/>
        <v>42500</v>
      </c>
      <c r="F60" s="1980">
        <v>42500</v>
      </c>
      <c r="G60" s="1980"/>
      <c r="H60" s="1980"/>
      <c r="I60" s="1980"/>
      <c r="J60" s="1980"/>
    </row>
    <row r="61" spans="1:10" ht="10.95" hidden="1" customHeight="1">
      <c r="A61" s="1450" t="s">
        <v>2265</v>
      </c>
      <c r="B61" s="1451">
        <v>46125</v>
      </c>
      <c r="C61" s="1450" t="s">
        <v>2697</v>
      </c>
      <c r="D61" s="2065">
        <v>556776.19999999995</v>
      </c>
      <c r="E61" s="2072">
        <f t="shared" si="2"/>
        <v>556776.19999999995</v>
      </c>
      <c r="F61" s="1980">
        <v>556776.19999999995</v>
      </c>
      <c r="G61" s="1980"/>
      <c r="H61" s="1980"/>
      <c r="I61" s="1980"/>
      <c r="J61" s="1980"/>
    </row>
    <row r="62" spans="1:10" ht="10.95" hidden="1" customHeight="1">
      <c r="A62" s="1450" t="s">
        <v>1116</v>
      </c>
      <c r="B62" s="1451">
        <v>46126</v>
      </c>
      <c r="C62" s="1450" t="s">
        <v>2696</v>
      </c>
      <c r="D62" s="2065">
        <v>43226.3</v>
      </c>
      <c r="E62" s="2072">
        <f t="shared" si="2"/>
        <v>43226.3</v>
      </c>
      <c r="F62" s="1980">
        <v>43226.3</v>
      </c>
      <c r="G62" s="1980"/>
      <c r="H62" s="1980"/>
      <c r="I62" s="1980"/>
      <c r="J62" s="1980"/>
    </row>
    <row r="63" spans="1:10" ht="10.95" hidden="1" customHeight="1">
      <c r="A63" s="1450" t="s">
        <v>2220</v>
      </c>
      <c r="B63" s="1451">
        <v>46126</v>
      </c>
      <c r="C63" s="1450" t="s">
        <v>2695</v>
      </c>
      <c r="D63" s="2065">
        <v>874.91</v>
      </c>
      <c r="E63" s="2072">
        <f t="shared" si="2"/>
        <v>874.91</v>
      </c>
      <c r="F63" s="1980">
        <v>874.91</v>
      </c>
      <c r="G63" s="1980"/>
      <c r="H63" s="1980"/>
      <c r="I63" s="1980"/>
      <c r="J63" s="1980"/>
    </row>
    <row r="64" spans="1:10" ht="10.95" hidden="1" customHeight="1">
      <c r="A64" s="1450" t="s">
        <v>2220</v>
      </c>
      <c r="B64" s="1451">
        <v>46126</v>
      </c>
      <c r="C64" s="1450" t="s">
        <v>2694</v>
      </c>
      <c r="D64" s="2065">
        <v>7552.38</v>
      </c>
      <c r="E64" s="2072">
        <f t="shared" si="2"/>
        <v>7552.38</v>
      </c>
      <c r="F64" s="1980">
        <v>7552.38</v>
      </c>
      <c r="G64" s="1980"/>
      <c r="H64" s="1980"/>
      <c r="I64" s="1980"/>
      <c r="J64" s="1980"/>
    </row>
    <row r="65" spans="1:10" ht="10.95" hidden="1" customHeight="1">
      <c r="A65" s="1450" t="s">
        <v>2265</v>
      </c>
      <c r="B65" s="1451">
        <v>46128</v>
      </c>
      <c r="C65" s="1450" t="s">
        <v>2693</v>
      </c>
      <c r="D65" s="2065">
        <v>537902.43999999994</v>
      </c>
      <c r="E65" s="2072">
        <f t="shared" si="2"/>
        <v>537902.43999999994</v>
      </c>
      <c r="F65" s="1980">
        <v>537902.43999999994</v>
      </c>
      <c r="G65" s="1980"/>
      <c r="H65" s="1980"/>
      <c r="I65" s="1980"/>
      <c r="J65" s="1980"/>
    </row>
    <row r="66" spans="1:10" ht="10.95" hidden="1" customHeight="1">
      <c r="A66" s="1450" t="s">
        <v>1116</v>
      </c>
      <c r="B66" s="1451">
        <v>46129</v>
      </c>
      <c r="C66" s="1450" t="s">
        <v>2692</v>
      </c>
      <c r="D66" s="2065">
        <v>3829</v>
      </c>
      <c r="E66" s="2072">
        <f t="shared" si="2"/>
        <v>3829</v>
      </c>
      <c r="F66" s="1980">
        <v>3829</v>
      </c>
      <c r="G66" s="1980"/>
      <c r="H66" s="1980"/>
      <c r="I66" s="1980"/>
      <c r="J66" s="1980"/>
    </row>
    <row r="67" spans="1:10" ht="10.95" hidden="1" customHeight="1">
      <c r="A67" s="1450" t="s">
        <v>2685</v>
      </c>
      <c r="B67" s="1451">
        <v>46129</v>
      </c>
      <c r="C67" s="1450" t="s">
        <v>2691</v>
      </c>
      <c r="D67" s="2065">
        <v>318870.44</v>
      </c>
      <c r="E67" s="2072">
        <f t="shared" si="2"/>
        <v>318870.44</v>
      </c>
      <c r="F67" s="1980">
        <v>318870.44</v>
      </c>
      <c r="G67" s="1980"/>
      <c r="H67" s="1980"/>
      <c r="I67" s="1980"/>
      <c r="J67" s="1980"/>
    </row>
    <row r="68" spans="1:10" ht="10.95" hidden="1" customHeight="1">
      <c r="A68" s="1450" t="s">
        <v>2685</v>
      </c>
      <c r="B68" s="1451">
        <v>46129</v>
      </c>
      <c r="C68" s="1450" t="s">
        <v>2690</v>
      </c>
      <c r="D68" s="2065">
        <v>318870.44</v>
      </c>
      <c r="E68" s="2072">
        <f t="shared" si="2"/>
        <v>318870.44</v>
      </c>
      <c r="F68" s="1980">
        <v>318870.44</v>
      </c>
      <c r="G68" s="1980"/>
      <c r="H68" s="1980"/>
      <c r="I68" s="1980"/>
      <c r="J68" s="1980"/>
    </row>
    <row r="69" spans="1:10" ht="10.95" hidden="1" customHeight="1">
      <c r="A69" s="1450" t="s">
        <v>2685</v>
      </c>
      <c r="B69" s="1451">
        <v>46129</v>
      </c>
      <c r="C69" s="1450" t="s">
        <v>2689</v>
      </c>
      <c r="D69" s="2065">
        <v>318870.44</v>
      </c>
      <c r="E69" s="2072">
        <f t="shared" si="2"/>
        <v>318870.44</v>
      </c>
      <c r="F69" s="1980">
        <v>318870.44</v>
      </c>
      <c r="G69" s="1980"/>
      <c r="H69" s="1980"/>
      <c r="I69" s="1980"/>
      <c r="J69" s="1980"/>
    </row>
    <row r="70" spans="1:10" ht="10.95" hidden="1" customHeight="1">
      <c r="A70" s="1450" t="s">
        <v>1116</v>
      </c>
      <c r="B70" s="1451">
        <v>46130</v>
      </c>
      <c r="C70" s="1450" t="s">
        <v>2688</v>
      </c>
      <c r="D70" s="2065">
        <v>3609.2</v>
      </c>
      <c r="E70" s="2072">
        <f t="shared" si="2"/>
        <v>3609.2</v>
      </c>
      <c r="F70" s="1980">
        <v>3609.2</v>
      </c>
      <c r="G70" s="1980"/>
      <c r="H70" s="1980"/>
      <c r="I70" s="1980"/>
      <c r="J70" s="1980"/>
    </row>
    <row r="71" spans="1:10" ht="10.95" hidden="1" customHeight="1">
      <c r="A71" s="1450" t="s">
        <v>2220</v>
      </c>
      <c r="B71" s="1451">
        <v>46132</v>
      </c>
      <c r="C71" s="1450" t="s">
        <v>2687</v>
      </c>
      <c r="D71" s="2065">
        <v>8368.5499999999993</v>
      </c>
      <c r="E71" s="2072">
        <f t="shared" si="2"/>
        <v>8368.5499999999993</v>
      </c>
      <c r="F71" s="1980">
        <v>8368.5499999999993</v>
      </c>
      <c r="G71" s="1980"/>
      <c r="H71" s="1980"/>
      <c r="I71" s="1980"/>
      <c r="J71" s="1980"/>
    </row>
    <row r="72" spans="1:10" ht="10.95" hidden="1" customHeight="1">
      <c r="A72" s="1450" t="s">
        <v>2265</v>
      </c>
      <c r="B72" s="1451">
        <v>46133</v>
      </c>
      <c r="C72" s="1450" t="s">
        <v>2686</v>
      </c>
      <c r="D72" s="2065">
        <v>1346637.85</v>
      </c>
      <c r="E72" s="2072">
        <f t="shared" si="2"/>
        <v>1346637.85</v>
      </c>
      <c r="F72" s="1980">
        <v>1346637.85</v>
      </c>
      <c r="G72" s="1980"/>
      <c r="H72" s="1980"/>
      <c r="I72" s="1980"/>
      <c r="J72" s="1980"/>
    </row>
    <row r="73" spans="1:10" ht="10.95" hidden="1" customHeight="1">
      <c r="A73" s="1450" t="s">
        <v>2685</v>
      </c>
      <c r="B73" s="1451">
        <v>46133</v>
      </c>
      <c r="C73" s="1450" t="s">
        <v>2684</v>
      </c>
      <c r="D73" s="2065">
        <v>413789.08</v>
      </c>
      <c r="E73" s="2072">
        <f t="shared" si="2"/>
        <v>413789.08</v>
      </c>
      <c r="F73" s="1980">
        <v>413789.08</v>
      </c>
      <c r="G73" s="1980"/>
      <c r="H73" s="1980"/>
      <c r="I73" s="1980"/>
      <c r="J73" s="1980"/>
    </row>
    <row r="74" spans="1:10" ht="10.95" hidden="1" customHeight="1">
      <c r="A74" s="1450" t="s">
        <v>2534</v>
      </c>
      <c r="B74" s="1451">
        <v>46133</v>
      </c>
      <c r="C74" s="1450" t="s">
        <v>2683</v>
      </c>
      <c r="D74" s="2065">
        <v>116800</v>
      </c>
      <c r="E74" s="2072">
        <f t="shared" si="2"/>
        <v>116800</v>
      </c>
      <c r="F74" s="1980">
        <v>116800</v>
      </c>
      <c r="G74" s="1980"/>
      <c r="H74" s="1980"/>
      <c r="I74" s="1980"/>
      <c r="J74" s="1980"/>
    </row>
    <row r="75" spans="1:10" ht="10.95" hidden="1" customHeight="1">
      <c r="A75" s="1450" t="s">
        <v>1116</v>
      </c>
      <c r="B75" s="1451">
        <v>46134</v>
      </c>
      <c r="C75" s="1450" t="s">
        <v>2682</v>
      </c>
      <c r="D75" s="2065">
        <v>3461</v>
      </c>
      <c r="E75" s="2072">
        <f t="shared" si="2"/>
        <v>3461</v>
      </c>
      <c r="F75" s="1980">
        <v>3461</v>
      </c>
      <c r="G75" s="1980"/>
      <c r="H75" s="1980"/>
      <c r="I75" s="1980"/>
      <c r="J75" s="1980"/>
    </row>
    <row r="76" spans="1:10" ht="10.95" hidden="1" customHeight="1">
      <c r="A76" s="1450" t="s">
        <v>1116</v>
      </c>
      <c r="B76" s="1451">
        <v>46134</v>
      </c>
      <c r="C76" s="1450" t="s">
        <v>2681</v>
      </c>
      <c r="D76" s="2065">
        <v>26250</v>
      </c>
      <c r="E76" s="2072">
        <f t="shared" si="2"/>
        <v>26250</v>
      </c>
      <c r="F76" s="1980">
        <v>26250</v>
      </c>
      <c r="G76" s="1980"/>
      <c r="H76" s="1980"/>
      <c r="I76" s="1980"/>
      <c r="J76" s="1980"/>
    </row>
    <row r="77" spans="1:10" ht="10.95" hidden="1" customHeight="1">
      <c r="A77" s="1450" t="s">
        <v>2265</v>
      </c>
      <c r="B77" s="1451">
        <v>46134</v>
      </c>
      <c r="C77" s="1450" t="s">
        <v>2680</v>
      </c>
      <c r="D77" s="2065">
        <v>632800.30000000005</v>
      </c>
      <c r="E77" s="2072">
        <f t="shared" si="2"/>
        <v>632800.30000000005</v>
      </c>
      <c r="F77" s="1980">
        <v>632800.30000000005</v>
      </c>
      <c r="G77" s="1980"/>
      <c r="H77" s="1980"/>
      <c r="I77" s="1980"/>
      <c r="J77" s="1980"/>
    </row>
    <row r="78" spans="1:10" ht="10.95" hidden="1" customHeight="1">
      <c r="A78" s="1450" t="s">
        <v>2220</v>
      </c>
      <c r="B78" s="1451">
        <v>46134</v>
      </c>
      <c r="C78" s="1450" t="s">
        <v>2679</v>
      </c>
      <c r="D78" s="2065">
        <v>18290</v>
      </c>
      <c r="E78" s="2072">
        <f t="shared" si="2"/>
        <v>18290</v>
      </c>
      <c r="F78" s="1980">
        <v>18290</v>
      </c>
      <c r="G78" s="1980"/>
      <c r="H78" s="1980"/>
      <c r="I78" s="1980"/>
      <c r="J78" s="1980"/>
    </row>
    <row r="79" spans="1:10" ht="10.95" hidden="1" customHeight="1">
      <c r="A79" s="1450" t="s">
        <v>1116</v>
      </c>
      <c r="B79" s="1451">
        <v>46136</v>
      </c>
      <c r="C79" s="1450" t="s">
        <v>2678</v>
      </c>
      <c r="D79" s="2065">
        <v>5240</v>
      </c>
      <c r="E79" s="2072">
        <f t="shared" si="2"/>
        <v>5240</v>
      </c>
      <c r="F79" s="1980">
        <v>5240</v>
      </c>
      <c r="G79" s="1980"/>
      <c r="H79" s="1980"/>
      <c r="I79" s="1980"/>
      <c r="J79" s="1980"/>
    </row>
    <row r="80" spans="1:10" ht="10.95" hidden="1" customHeight="1">
      <c r="A80" s="1450" t="s">
        <v>1116</v>
      </c>
      <c r="B80" s="1451">
        <v>46136</v>
      </c>
      <c r="C80" s="1450" t="s">
        <v>2677</v>
      </c>
      <c r="D80" s="2065">
        <v>5240</v>
      </c>
      <c r="E80" s="2072">
        <f t="shared" si="2"/>
        <v>5240</v>
      </c>
      <c r="F80" s="1980">
        <v>5240</v>
      </c>
      <c r="G80" s="1980"/>
      <c r="H80" s="1980"/>
      <c r="I80" s="1980"/>
      <c r="J80" s="1980"/>
    </row>
    <row r="81" spans="1:10" ht="10.95" hidden="1" customHeight="1">
      <c r="A81" s="1450" t="s">
        <v>1116</v>
      </c>
      <c r="B81" s="1451">
        <v>46136</v>
      </c>
      <c r="C81" s="1450" t="s">
        <v>2676</v>
      </c>
      <c r="D81" s="2065">
        <v>142997.6</v>
      </c>
      <c r="E81" s="2072">
        <f t="shared" si="2"/>
        <v>142997.6</v>
      </c>
      <c r="F81" s="1980">
        <v>142997.6</v>
      </c>
      <c r="G81" s="1980"/>
      <c r="H81" s="1980"/>
      <c r="I81" s="1980"/>
      <c r="J81" s="1980"/>
    </row>
    <row r="82" spans="1:10" ht="10.95" hidden="1" customHeight="1">
      <c r="A82" s="1450" t="s">
        <v>2265</v>
      </c>
      <c r="B82" s="1451">
        <v>46136</v>
      </c>
      <c r="C82" s="1450" t="s">
        <v>2675</v>
      </c>
      <c r="D82" s="2065">
        <v>552057.76</v>
      </c>
      <c r="E82" s="2072">
        <f t="shared" si="2"/>
        <v>552057.76</v>
      </c>
      <c r="F82" s="1980">
        <v>552057.76</v>
      </c>
      <c r="G82" s="1980"/>
      <c r="H82" s="1980"/>
      <c r="I82" s="1980"/>
      <c r="J82" s="1980"/>
    </row>
    <row r="83" spans="1:10" ht="10.95" hidden="1" customHeight="1">
      <c r="A83" s="1450" t="s">
        <v>2265</v>
      </c>
      <c r="B83" s="1451">
        <v>46136</v>
      </c>
      <c r="C83" s="1450" t="s">
        <v>2674</v>
      </c>
      <c r="D83" s="2065">
        <v>90640.99</v>
      </c>
      <c r="E83" s="2072">
        <f t="shared" si="2"/>
        <v>90640.99</v>
      </c>
      <c r="F83" s="1980">
        <v>90640.99</v>
      </c>
      <c r="G83" s="1980"/>
      <c r="H83" s="1980"/>
      <c r="I83" s="1980"/>
      <c r="J83" s="1980"/>
    </row>
    <row r="84" spans="1:10" ht="10.95" hidden="1" customHeight="1">
      <c r="A84" s="1450" t="s">
        <v>2506</v>
      </c>
      <c r="B84" s="1451">
        <v>46136</v>
      </c>
      <c r="C84" s="1450" t="s">
        <v>2673</v>
      </c>
      <c r="D84" s="2065">
        <v>435000</v>
      </c>
      <c r="E84" s="2072">
        <f t="shared" si="2"/>
        <v>435000</v>
      </c>
      <c r="F84" s="1980">
        <v>435000</v>
      </c>
      <c r="G84" s="1980"/>
      <c r="H84" s="1980"/>
      <c r="I84" s="1980"/>
      <c r="J84" s="1980"/>
    </row>
    <row r="85" spans="1:10" ht="10.95" hidden="1" customHeight="1">
      <c r="A85" s="1450" t="s">
        <v>1116</v>
      </c>
      <c r="B85" s="1451">
        <v>46137</v>
      </c>
      <c r="C85" s="1450" t="s">
        <v>2672</v>
      </c>
      <c r="D85" s="2065">
        <v>6360</v>
      </c>
      <c r="E85" s="2072">
        <f t="shared" si="2"/>
        <v>6360</v>
      </c>
      <c r="F85" s="1980">
        <v>6360</v>
      </c>
      <c r="G85" s="1980"/>
      <c r="H85" s="1980"/>
      <c r="I85" s="1980"/>
      <c r="J85" s="1980"/>
    </row>
    <row r="86" spans="1:10" ht="10.95" hidden="1" customHeight="1">
      <c r="A86" s="1450" t="s">
        <v>2280</v>
      </c>
      <c r="B86" s="1451">
        <v>46137</v>
      </c>
      <c r="C86" s="1450" t="s">
        <v>2671</v>
      </c>
      <c r="D86" s="2065">
        <v>75673.399999999994</v>
      </c>
      <c r="E86" s="2072">
        <f t="shared" si="2"/>
        <v>75673.399999999994</v>
      </c>
      <c r="F86" s="1980">
        <v>75673.399999999994</v>
      </c>
      <c r="G86" s="1980"/>
      <c r="H86" s="1980"/>
      <c r="I86" s="1980"/>
      <c r="J86" s="1980"/>
    </row>
    <row r="87" spans="1:10" ht="10.95" hidden="1" customHeight="1">
      <c r="A87" s="1450" t="s">
        <v>1116</v>
      </c>
      <c r="B87" s="1451">
        <v>46139</v>
      </c>
      <c r="C87" s="1450" t="s">
        <v>2670</v>
      </c>
      <c r="D87" s="2065">
        <v>786486.8</v>
      </c>
      <c r="E87" s="2072">
        <f t="shared" si="2"/>
        <v>786486.8</v>
      </c>
      <c r="F87" s="1980">
        <v>786486.8</v>
      </c>
      <c r="G87" s="1980"/>
      <c r="H87" s="1980"/>
      <c r="I87" s="1980"/>
      <c r="J87" s="1980"/>
    </row>
    <row r="88" spans="1:10" ht="10.95" hidden="1" customHeight="1">
      <c r="A88" s="1450" t="s">
        <v>1116</v>
      </c>
      <c r="B88" s="1451">
        <v>46139</v>
      </c>
      <c r="C88" s="1450" t="s">
        <v>2669</v>
      </c>
      <c r="D88" s="2065">
        <v>106334</v>
      </c>
      <c r="E88" s="2072">
        <f t="shared" si="2"/>
        <v>106334</v>
      </c>
      <c r="F88" s="1980">
        <v>106334</v>
      </c>
      <c r="G88" s="1980"/>
      <c r="H88" s="1980"/>
      <c r="I88" s="1980"/>
      <c r="J88" s="1980"/>
    </row>
    <row r="89" spans="1:10" ht="10.95" hidden="1" customHeight="1">
      <c r="A89" s="1450" t="s">
        <v>1116</v>
      </c>
      <c r="B89" s="1451">
        <v>46140</v>
      </c>
      <c r="C89" s="1450" t="s">
        <v>2668</v>
      </c>
      <c r="D89" s="2065">
        <v>1422.72</v>
      </c>
      <c r="E89" s="2072">
        <f t="shared" si="2"/>
        <v>1422.72</v>
      </c>
      <c r="F89" s="1980">
        <v>1422.72</v>
      </c>
      <c r="G89" s="1980"/>
      <c r="H89" s="1980"/>
      <c r="I89" s="1980"/>
      <c r="J89" s="1980"/>
    </row>
    <row r="90" spans="1:10" ht="10.95" customHeight="1">
      <c r="A90" s="1450" t="s">
        <v>1116</v>
      </c>
      <c r="B90" s="1451">
        <v>46140</v>
      </c>
      <c r="C90" s="1450" t="s">
        <v>2667</v>
      </c>
      <c r="D90" s="2065">
        <v>73633.919999999998</v>
      </c>
      <c r="E90" s="2072">
        <f t="shared" si="2"/>
        <v>73633.919999999998</v>
      </c>
      <c r="F90" s="1980">
        <v>73633.919999999998</v>
      </c>
      <c r="G90" s="1980"/>
      <c r="H90" s="1980"/>
    </row>
    <row r="91" spans="1:10" ht="10.95" customHeight="1">
      <c r="A91" s="1450" t="s">
        <v>1116</v>
      </c>
      <c r="B91" s="1451">
        <v>46140</v>
      </c>
      <c r="C91" s="1450" t="s">
        <v>2666</v>
      </c>
      <c r="D91" s="2065">
        <v>21450</v>
      </c>
      <c r="E91" s="2072">
        <f t="shared" si="2"/>
        <v>21450</v>
      </c>
      <c r="F91" s="1980">
        <v>21450</v>
      </c>
      <c r="G91" s="1980"/>
      <c r="H91" s="1980"/>
    </row>
    <row r="92" spans="1:10" ht="10.95" customHeight="1">
      <c r="A92" s="1450" t="s">
        <v>1116</v>
      </c>
      <c r="B92" s="1451">
        <v>46140</v>
      </c>
      <c r="C92" s="1450" t="s">
        <v>2665</v>
      </c>
      <c r="D92" s="2065">
        <v>11461.68</v>
      </c>
      <c r="E92" s="2072">
        <f t="shared" si="2"/>
        <v>11461.68</v>
      </c>
      <c r="F92" s="1980">
        <v>11461.68</v>
      </c>
      <c r="G92" s="1980"/>
      <c r="H92" s="1980"/>
    </row>
    <row r="93" spans="1:10" ht="10.95" customHeight="1">
      <c r="A93" s="1450" t="s">
        <v>1116</v>
      </c>
      <c r="B93" s="1451">
        <v>46140</v>
      </c>
      <c r="C93" s="1450" t="s">
        <v>2664</v>
      </c>
      <c r="D93" s="2065">
        <v>63239.35</v>
      </c>
      <c r="E93" s="2072">
        <f t="shared" si="2"/>
        <v>63239.35</v>
      </c>
      <c r="F93" s="1980">
        <v>63239.35</v>
      </c>
      <c r="G93" s="1980"/>
      <c r="H93" s="1980"/>
    </row>
    <row r="94" spans="1:10" ht="10.95" customHeight="1">
      <c r="A94" s="1450" t="s">
        <v>2265</v>
      </c>
      <c r="B94" s="1451">
        <v>46140</v>
      </c>
      <c r="C94" s="1450" t="s">
        <v>2663</v>
      </c>
      <c r="D94" s="2065">
        <v>785143.21</v>
      </c>
      <c r="E94" s="2072">
        <f t="shared" si="2"/>
        <v>785143.21</v>
      </c>
      <c r="F94" s="1980">
        <v>785143.21</v>
      </c>
      <c r="G94" s="1980"/>
      <c r="H94" s="1980"/>
    </row>
    <row r="95" spans="1:10" ht="10.95" customHeight="1">
      <c r="A95" s="1450" t="s">
        <v>2220</v>
      </c>
      <c r="B95" s="1451">
        <v>46140</v>
      </c>
      <c r="C95" s="1450" t="s">
        <v>2662</v>
      </c>
      <c r="D95" s="2065">
        <v>153055</v>
      </c>
      <c r="E95" s="2072">
        <f t="shared" ref="E95:E102" si="4">SUM(F95:J95)</f>
        <v>153055</v>
      </c>
      <c r="F95" s="1980">
        <v>153055</v>
      </c>
      <c r="G95" s="1980"/>
      <c r="H95" s="1980"/>
    </row>
    <row r="96" spans="1:10" ht="10.95" customHeight="1">
      <c r="A96" s="1450" t="s">
        <v>2220</v>
      </c>
      <c r="B96" s="1451">
        <v>46140</v>
      </c>
      <c r="C96" s="1450" t="s">
        <v>2661</v>
      </c>
      <c r="D96" s="2065">
        <v>33560.910000000003</v>
      </c>
      <c r="E96" s="2072">
        <f t="shared" si="4"/>
        <v>33560.910000000003</v>
      </c>
      <c r="F96" s="1980">
        <v>33560.910000000003</v>
      </c>
      <c r="G96" s="1980"/>
      <c r="H96" s="1980"/>
    </row>
    <row r="97" spans="1:15" ht="10.95" customHeight="1">
      <c r="A97" s="1450" t="s">
        <v>1116</v>
      </c>
      <c r="B97" s="1451">
        <v>46141</v>
      </c>
      <c r="C97" s="1450" t="s">
        <v>2660</v>
      </c>
      <c r="D97" s="2065">
        <v>3712.08</v>
      </c>
      <c r="E97" s="2072">
        <f t="shared" si="4"/>
        <v>3712.08</v>
      </c>
      <c r="F97" s="1980">
        <v>3712.08</v>
      </c>
      <c r="G97" s="1980"/>
      <c r="H97" s="1980"/>
    </row>
    <row r="98" spans="1:15" ht="10.95" customHeight="1">
      <c r="A98" s="1450" t="s">
        <v>1116</v>
      </c>
      <c r="B98" s="1451">
        <v>46141</v>
      </c>
      <c r="C98" s="1450" t="s">
        <v>2659</v>
      </c>
      <c r="D98" s="2065">
        <v>8227</v>
      </c>
      <c r="E98" s="2072">
        <f t="shared" si="4"/>
        <v>8227</v>
      </c>
      <c r="F98" s="1980">
        <v>8227</v>
      </c>
      <c r="G98" s="1980"/>
      <c r="H98" s="1980"/>
      <c r="I98" s="1980"/>
      <c r="J98" s="1980"/>
    </row>
    <row r="99" spans="1:15" ht="10.95" customHeight="1">
      <c r="A99" s="1450" t="s">
        <v>1116</v>
      </c>
      <c r="B99" s="1451">
        <v>46141</v>
      </c>
      <c r="C99" s="1450" t="s">
        <v>2658</v>
      </c>
      <c r="D99" s="2065">
        <v>15379.41</v>
      </c>
      <c r="E99" s="2072">
        <f t="shared" si="4"/>
        <v>15379.41</v>
      </c>
      <c r="F99" s="1980">
        <v>15379.41</v>
      </c>
      <c r="G99" s="1980"/>
      <c r="H99" s="1980"/>
      <c r="I99" s="1980"/>
      <c r="J99" s="1980"/>
    </row>
    <row r="100" spans="1:15" ht="10.95" customHeight="1">
      <c r="A100" s="1450" t="s">
        <v>1116</v>
      </c>
      <c r="B100" s="1451">
        <v>46141</v>
      </c>
      <c r="C100" s="1450" t="s">
        <v>2657</v>
      </c>
      <c r="D100" s="2065">
        <v>33200</v>
      </c>
      <c r="E100" s="2072">
        <f t="shared" si="4"/>
        <v>33200</v>
      </c>
      <c r="F100" s="1980">
        <v>33200</v>
      </c>
      <c r="G100" s="1980"/>
      <c r="H100" s="1980"/>
      <c r="I100" s="1980"/>
      <c r="J100" s="1980"/>
    </row>
    <row r="101" spans="1:15" ht="10.95" customHeight="1">
      <c r="A101" s="1450" t="s">
        <v>1116</v>
      </c>
      <c r="B101" s="1451">
        <v>46142</v>
      </c>
      <c r="C101" s="1450" t="s">
        <v>2656</v>
      </c>
      <c r="D101" s="2065">
        <v>3230</v>
      </c>
      <c r="E101" s="2072">
        <f t="shared" si="4"/>
        <v>3230</v>
      </c>
      <c r="F101" s="1980">
        <v>3230</v>
      </c>
      <c r="G101" s="1980"/>
      <c r="H101" s="1980"/>
      <c r="I101" s="1980"/>
      <c r="J101" s="1980"/>
    </row>
    <row r="102" spans="1:15" ht="10.95" customHeight="1">
      <c r="A102" s="1450" t="s">
        <v>2210</v>
      </c>
      <c r="B102" s="1451">
        <v>46142</v>
      </c>
      <c r="C102" s="1450" t="s">
        <v>2655</v>
      </c>
      <c r="D102" s="2065">
        <v>75349.97</v>
      </c>
      <c r="E102" s="2072">
        <f t="shared" si="4"/>
        <v>75349.97</v>
      </c>
      <c r="F102" s="1980">
        <v>75349.97</v>
      </c>
      <c r="G102" s="1980"/>
      <c r="H102" s="1980"/>
      <c r="I102" s="1980"/>
      <c r="J102" s="1980"/>
    </row>
    <row r="103" spans="1:15" ht="10.95" customHeight="1">
      <c r="A103" s="1672" t="s">
        <v>2346</v>
      </c>
      <c r="B103" s="1673"/>
      <c r="C103" s="1672"/>
      <c r="D103" s="1843"/>
      <c r="E103" s="1757">
        <f>SUM(F103:J103)</f>
        <v>282000000</v>
      </c>
      <c r="F103" s="1771">
        <f>38000000+9000000-M111</f>
        <v>47000000</v>
      </c>
      <c r="G103" s="1771">
        <f>68100000+9000000</f>
        <v>77100000</v>
      </c>
      <c r="H103" s="1771">
        <f>41600000+7000000</f>
        <v>48600000</v>
      </c>
      <c r="I103" s="1771">
        <v>50600000</v>
      </c>
      <c r="J103" s="1771">
        <v>58700000</v>
      </c>
      <c r="K103" s="1578"/>
      <c r="M103" s="1568"/>
    </row>
    <row r="104" spans="1:15" ht="10.95" customHeight="1">
      <c r="A104" s="1672" t="s">
        <v>2054</v>
      </c>
      <c r="B104" s="1673"/>
      <c r="C104" s="1672"/>
      <c r="D104" s="1843"/>
      <c r="E104" s="1757">
        <f>SUM(F104:J104)</f>
        <v>3400000</v>
      </c>
      <c r="F104" s="1771">
        <f>850000*0.8</f>
        <v>680000</v>
      </c>
      <c r="G104" s="1771">
        <f>850000*0.8</f>
        <v>680000</v>
      </c>
      <c r="H104" s="1771">
        <f>850000*0.8</f>
        <v>680000</v>
      </c>
      <c r="I104" s="1771">
        <f>850000*0.8</f>
        <v>680000</v>
      </c>
      <c r="J104" s="1771">
        <f>850000*0.8</f>
        <v>680000</v>
      </c>
      <c r="K104" s="1578"/>
      <c r="M104" s="1568"/>
    </row>
    <row r="105" spans="1:15" ht="10.95" customHeight="1">
      <c r="A105" s="1454" t="s">
        <v>2057</v>
      </c>
      <c r="B105" s="1454"/>
      <c r="C105" s="1454"/>
      <c r="D105" s="1681">
        <f>SUM(D31:D104)</f>
        <v>13791065.780000005</v>
      </c>
      <c r="E105" s="1667">
        <f>SUM(E31:E104)</f>
        <v>299191065.78000003</v>
      </c>
      <c r="F105" s="1976">
        <f>SUM(F31:F104)</f>
        <v>61471065.780000001</v>
      </c>
      <c r="G105" s="1976">
        <f t="shared" ref="G105:I105" si="5">SUM(G103:G104)</f>
        <v>77780000</v>
      </c>
      <c r="H105" s="1976">
        <f t="shared" si="5"/>
        <v>49280000</v>
      </c>
      <c r="I105" s="1976">
        <f t="shared" si="5"/>
        <v>51280000</v>
      </c>
      <c r="J105" s="1976">
        <f>SUM(J103:J104)</f>
        <v>59380000</v>
      </c>
    </row>
    <row r="106" spans="1:15" ht="13.35" customHeight="1">
      <c r="E106" s="1658"/>
      <c r="F106" s="400"/>
      <c r="G106" s="400"/>
      <c r="H106" s="400"/>
      <c r="I106" s="400"/>
      <c r="J106" s="400"/>
    </row>
    <row r="107" spans="1:15" ht="13.35" customHeight="1">
      <c r="A107" s="1445" t="s">
        <v>1036</v>
      </c>
      <c r="B107" s="1445"/>
      <c r="C107" s="1445"/>
      <c r="D107" s="1766"/>
      <c r="E107" s="1760"/>
      <c r="F107" s="1759"/>
      <c r="G107" s="1759"/>
      <c r="H107" s="1759"/>
      <c r="I107" s="1759"/>
      <c r="J107" s="1759"/>
      <c r="K107" s="1578"/>
      <c r="O107" s="1578"/>
    </row>
    <row r="108" spans="1:15" ht="13.35" customHeight="1">
      <c r="A108" s="1672" t="s">
        <v>2347</v>
      </c>
      <c r="B108" s="1673"/>
      <c r="C108" s="1672"/>
      <c r="D108" s="1843"/>
      <c r="E108" s="1757">
        <f>SUM(F108:J108)</f>
        <v>11800000</v>
      </c>
      <c r="F108" s="1756">
        <f>2000000*1.18</f>
        <v>2360000</v>
      </c>
      <c r="G108" s="1756">
        <f t="shared" ref="G108:J108" si="6">2000000*1.18</f>
        <v>2360000</v>
      </c>
      <c r="H108" s="1756">
        <f t="shared" si="6"/>
        <v>2360000</v>
      </c>
      <c r="I108" s="1756">
        <f t="shared" si="6"/>
        <v>2360000</v>
      </c>
      <c r="J108" s="1756">
        <f t="shared" si="6"/>
        <v>2360000</v>
      </c>
      <c r="M108" s="1578"/>
    </row>
    <row r="109" spans="1:15" ht="13.35" customHeight="1">
      <c r="A109" s="1454" t="s">
        <v>2348</v>
      </c>
      <c r="B109" s="1454"/>
      <c r="C109" s="1454"/>
      <c r="D109" s="1763">
        <f t="shared" ref="D109:J109" si="7">SUM(D108:D108)</f>
        <v>0</v>
      </c>
      <c r="E109" s="1754">
        <f t="shared" si="7"/>
        <v>11800000</v>
      </c>
      <c r="F109" s="1753">
        <f t="shared" si="7"/>
        <v>2360000</v>
      </c>
      <c r="G109" s="1753">
        <f t="shared" si="7"/>
        <v>2360000</v>
      </c>
      <c r="H109" s="1753">
        <f t="shared" si="7"/>
        <v>2360000</v>
      </c>
      <c r="I109" s="1753">
        <f t="shared" si="7"/>
        <v>2360000</v>
      </c>
      <c r="J109" s="1753">
        <f t="shared" si="7"/>
        <v>2360000</v>
      </c>
      <c r="M109" s="1857"/>
    </row>
    <row r="110" spans="1:15" ht="13.35" customHeight="1">
      <c r="E110" s="1658"/>
      <c r="F110" s="400"/>
      <c r="G110" s="400"/>
      <c r="H110" s="400"/>
      <c r="I110" s="400"/>
      <c r="J110" s="400"/>
    </row>
    <row r="111" spans="1:15" s="1444" customFormat="1" ht="12.15" customHeight="1">
      <c r="A111" s="1445" t="s">
        <v>2745</v>
      </c>
      <c r="B111" s="1445"/>
      <c r="C111" s="1445"/>
      <c r="D111" s="2063"/>
      <c r="E111" s="1677"/>
      <c r="F111" s="1974"/>
      <c r="G111" s="1974"/>
      <c r="H111" s="1974"/>
      <c r="I111" s="1974"/>
      <c r="J111" s="1974"/>
    </row>
    <row r="112" spans="1:15" ht="10.95" customHeight="1">
      <c r="A112" s="1446" t="s">
        <v>1045</v>
      </c>
      <c r="B112" s="1447">
        <v>46113</v>
      </c>
      <c r="C112" s="1446" t="s">
        <v>2654</v>
      </c>
      <c r="D112" s="2064">
        <v>94777.600000000006</v>
      </c>
      <c r="E112" s="1670">
        <f t="shared" ref="E112:E154" si="8">SUM(F112:J112)</f>
        <v>94777.600000000006</v>
      </c>
      <c r="F112" s="1975">
        <v>94777.600000000006</v>
      </c>
      <c r="G112" s="1975"/>
      <c r="H112" s="1975"/>
      <c r="I112" s="1975"/>
      <c r="J112" s="1975"/>
    </row>
    <row r="113" spans="1:13" ht="10.95" customHeight="1">
      <c r="A113" s="1446" t="s">
        <v>2558</v>
      </c>
      <c r="B113" s="1447">
        <v>46086</v>
      </c>
      <c r="C113" s="1446" t="s">
        <v>2559</v>
      </c>
      <c r="D113" s="2064">
        <v>1040911.48</v>
      </c>
      <c r="E113" s="1670">
        <f t="shared" si="8"/>
        <v>1040911.48</v>
      </c>
      <c r="F113" s="1975">
        <v>1040911.48</v>
      </c>
      <c r="G113" s="1975"/>
      <c r="H113" s="1975"/>
      <c r="I113" s="1975"/>
      <c r="J113" s="1975"/>
    </row>
    <row r="114" spans="1:13" ht="13.35" customHeight="1">
      <c r="A114" s="1672" t="s">
        <v>2349</v>
      </c>
      <c r="B114" s="1673"/>
      <c r="C114" s="1672"/>
      <c r="D114" s="1843"/>
      <c r="E114" s="1757">
        <f>SUM(F114:J114)</f>
        <v>3250000</v>
      </c>
      <c r="F114" s="1756">
        <v>650000</v>
      </c>
      <c r="G114" s="1756">
        <v>650000</v>
      </c>
      <c r="H114" s="1756">
        <v>650000</v>
      </c>
      <c r="I114" s="1756">
        <v>650000</v>
      </c>
      <c r="J114" s="1756">
        <v>650000</v>
      </c>
    </row>
    <row r="115" spans="1:13" ht="10.95" customHeight="1">
      <c r="A115" s="1672" t="s">
        <v>1045</v>
      </c>
      <c r="B115" s="1673"/>
      <c r="C115" s="1672"/>
      <c r="D115" s="1843"/>
      <c r="E115" s="1757">
        <f>SUM(F115:J115)</f>
        <v>494777.59999999998</v>
      </c>
      <c r="F115" s="1769">
        <v>94777.600000000006</v>
      </c>
      <c r="G115" s="1769">
        <v>100000</v>
      </c>
      <c r="H115" s="1769">
        <v>100000</v>
      </c>
      <c r="I115" s="1769">
        <v>100000</v>
      </c>
      <c r="J115" s="1769">
        <v>100000</v>
      </c>
    </row>
    <row r="116" spans="1:13" ht="10.95" customHeight="1">
      <c r="A116" s="1454" t="s">
        <v>2560</v>
      </c>
      <c r="B116" s="1454"/>
      <c r="C116" s="1454"/>
      <c r="D116" s="1681">
        <f>SUM(D112:D115)</f>
        <v>1135689.08</v>
      </c>
      <c r="E116" s="1667">
        <f>SUM(E112:E115)</f>
        <v>4880466.68</v>
      </c>
      <c r="F116" s="1976">
        <f>SUM(F112:F115)</f>
        <v>1880466.6800000002</v>
      </c>
      <c r="G116" s="1976">
        <f t="shared" ref="G116:J116" si="9">SUM(G112:G115)</f>
        <v>750000</v>
      </c>
      <c r="H116" s="1976">
        <f t="shared" si="9"/>
        <v>750000</v>
      </c>
      <c r="I116" s="1976">
        <f t="shared" si="9"/>
        <v>750000</v>
      </c>
      <c r="J116" s="1976">
        <f t="shared" si="9"/>
        <v>750000</v>
      </c>
    </row>
    <row r="117" spans="1:13" ht="13.35" customHeight="1">
      <c r="E117" s="1658"/>
      <c r="F117" s="400"/>
      <c r="G117" s="400"/>
      <c r="H117" s="400"/>
      <c r="I117" s="400"/>
      <c r="J117" s="400"/>
    </row>
    <row r="118" spans="1:13" s="1444" customFormat="1" ht="12.15" customHeight="1">
      <c r="A118" s="1445" t="s">
        <v>2022</v>
      </c>
      <c r="B118" s="1445"/>
      <c r="C118" s="1445"/>
      <c r="D118" s="2063"/>
      <c r="E118" s="1677"/>
      <c r="F118" s="1974"/>
      <c r="G118" s="1974"/>
      <c r="H118" s="1974"/>
      <c r="I118" s="1974"/>
      <c r="J118" s="1974"/>
    </row>
    <row r="119" spans="1:13" ht="10.95" customHeight="1">
      <c r="A119" s="1446" t="s">
        <v>2023</v>
      </c>
      <c r="B119" s="1447">
        <v>46140</v>
      </c>
      <c r="C119" s="1446" t="s">
        <v>2036</v>
      </c>
      <c r="D119" s="2064">
        <v>506964.3</v>
      </c>
      <c r="E119" s="1670">
        <f t="shared" si="8"/>
        <v>506964.3</v>
      </c>
      <c r="F119" s="1975">
        <v>506964.3</v>
      </c>
      <c r="G119" s="1975"/>
      <c r="H119" s="1975"/>
      <c r="I119" s="1975"/>
      <c r="J119" s="1975"/>
    </row>
    <row r="120" spans="1:13" ht="10.95" customHeight="1">
      <c r="A120" s="1672" t="s">
        <v>2023</v>
      </c>
      <c r="B120" s="1673"/>
      <c r="C120" s="1672"/>
      <c r="D120" s="1843"/>
      <c r="E120" s="1757">
        <f>SUM(F120:J120)</f>
        <v>2027857.2</v>
      </c>
      <c r="F120" s="1756"/>
      <c r="G120" s="1756">
        <v>506964.3</v>
      </c>
      <c r="H120" s="1756">
        <v>506964.3</v>
      </c>
      <c r="I120" s="1756">
        <v>506964.3</v>
      </c>
      <c r="J120" s="1756">
        <v>506964.3</v>
      </c>
      <c r="M120" s="1568"/>
    </row>
    <row r="121" spans="1:13" ht="10.95" customHeight="1">
      <c r="A121" s="1454" t="s">
        <v>2024</v>
      </c>
      <c r="B121" s="1454"/>
      <c r="C121" s="1454"/>
      <c r="D121" s="1681">
        <f>SUM(D119:D120)</f>
        <v>506964.3</v>
      </c>
      <c r="E121" s="1667">
        <f>SUM(E119:E120)</f>
        <v>2534821.5</v>
      </c>
      <c r="F121" s="1976">
        <f>SUM(F119:F120)</f>
        <v>506964.3</v>
      </c>
      <c r="G121" s="1976">
        <f t="shared" ref="G121:J121" si="10">SUM(G119:G120)</f>
        <v>506964.3</v>
      </c>
      <c r="H121" s="1976">
        <f t="shared" si="10"/>
        <v>506964.3</v>
      </c>
      <c r="I121" s="1976">
        <f t="shared" si="10"/>
        <v>506964.3</v>
      </c>
      <c r="J121" s="1976">
        <f t="shared" si="10"/>
        <v>506964.3</v>
      </c>
    </row>
    <row r="122" spans="1:13" ht="13.35" customHeight="1">
      <c r="E122" s="1658"/>
      <c r="F122" s="400"/>
      <c r="G122" s="400"/>
      <c r="H122" s="400"/>
      <c r="I122" s="400"/>
      <c r="J122" s="400"/>
    </row>
    <row r="123" spans="1:13" ht="13.35" customHeight="1">
      <c r="A123" s="1445" t="s">
        <v>1836</v>
      </c>
      <c r="B123" s="1445"/>
      <c r="C123" s="1445"/>
      <c r="D123" s="1766"/>
      <c r="E123" s="1760"/>
      <c r="F123" s="1759"/>
      <c r="G123" s="1759"/>
      <c r="H123" s="1759"/>
      <c r="I123" s="1759"/>
      <c r="J123" s="1759"/>
    </row>
    <row r="124" spans="1:13" ht="13.35" customHeight="1">
      <c r="A124" s="1672" t="s">
        <v>295</v>
      </c>
      <c r="B124" s="1673"/>
      <c r="C124" s="1672"/>
      <c r="D124" s="1843"/>
      <c r="E124" s="1757">
        <f>SUM(F124:J124)</f>
        <v>8850000</v>
      </c>
      <c r="F124" s="1756">
        <v>1770000</v>
      </c>
      <c r="G124" s="1756">
        <v>1770000</v>
      </c>
      <c r="H124" s="1756">
        <v>1770000</v>
      </c>
      <c r="I124" s="1756">
        <v>1770000</v>
      </c>
      <c r="J124" s="1756">
        <v>1770000</v>
      </c>
      <c r="L124" s="1444"/>
      <c r="M124" s="1444"/>
    </row>
    <row r="125" spans="1:13" ht="13.35" customHeight="1">
      <c r="A125" s="1454" t="s">
        <v>1838</v>
      </c>
      <c r="B125" s="1454"/>
      <c r="C125" s="1454"/>
      <c r="D125" s="1763">
        <f t="shared" ref="D125:J125" si="11">SUM(D124)</f>
        <v>0</v>
      </c>
      <c r="E125" s="1754">
        <f t="shared" si="11"/>
        <v>8850000</v>
      </c>
      <c r="F125" s="1753">
        <f t="shared" si="11"/>
        <v>1770000</v>
      </c>
      <c r="G125" s="1753">
        <f t="shared" si="11"/>
        <v>1770000</v>
      </c>
      <c r="H125" s="1753">
        <f t="shared" si="11"/>
        <v>1770000</v>
      </c>
      <c r="I125" s="1753">
        <f t="shared" si="11"/>
        <v>1770000</v>
      </c>
      <c r="J125" s="1753">
        <f t="shared" si="11"/>
        <v>1770000</v>
      </c>
    </row>
    <row r="126" spans="1:13" ht="13.35" customHeight="1">
      <c r="E126" s="1658"/>
      <c r="F126" s="400"/>
      <c r="G126" s="400"/>
      <c r="H126" s="400"/>
      <c r="I126" s="400"/>
      <c r="J126" s="400"/>
    </row>
    <row r="127" spans="1:13" s="1444" customFormat="1" ht="12.15" customHeight="1">
      <c r="A127" s="1445" t="s">
        <v>1475</v>
      </c>
      <c r="B127" s="1445"/>
      <c r="C127" s="1445"/>
      <c r="D127" s="2063"/>
      <c r="E127" s="1677"/>
      <c r="F127" s="1974"/>
      <c r="G127" s="1974"/>
      <c r="H127" s="1974"/>
      <c r="I127" s="1974"/>
      <c r="J127" s="1974"/>
    </row>
    <row r="128" spans="1:13" ht="10.95" customHeight="1">
      <c r="A128" s="1446" t="s">
        <v>389</v>
      </c>
      <c r="B128" s="1447">
        <v>46120</v>
      </c>
      <c r="C128" s="1446" t="s">
        <v>2653</v>
      </c>
      <c r="D128" s="2064">
        <v>1847822.94</v>
      </c>
      <c r="E128" s="1670">
        <f t="shared" si="8"/>
        <v>1847822.94</v>
      </c>
      <c r="F128" s="1975">
        <v>1847822.94</v>
      </c>
      <c r="G128" s="1975"/>
      <c r="H128" s="1975"/>
      <c r="I128" s="1975"/>
      <c r="J128" s="1975"/>
    </row>
    <row r="129" spans="1:10" ht="10.95" customHeight="1">
      <c r="A129" s="1672" t="s">
        <v>2061</v>
      </c>
      <c r="B129" s="1673"/>
      <c r="C129" s="1672"/>
      <c r="D129" s="1843"/>
      <c r="E129" s="1757">
        <f>SUM(F129:J129)</f>
        <v>43715422.300000004</v>
      </c>
      <c r="F129" s="1772">
        <v>1889308.42</v>
      </c>
      <c r="G129" s="1772">
        <f>+'Proyección VTA 04-26'!G22</f>
        <v>14079452.279999999</v>
      </c>
      <c r="H129" s="1772">
        <f>+'Proyección VTA 04-26'!H22</f>
        <v>9248887.2000000011</v>
      </c>
      <c r="I129" s="1772">
        <f>+'Proyección VTA 04-26'!I22</f>
        <v>9248887.2000000011</v>
      </c>
      <c r="J129" s="1772">
        <f>+'Proyección VTA 04-26'!J22</f>
        <v>9248887.2000000011</v>
      </c>
    </row>
    <row r="130" spans="1:10" ht="10.95" customHeight="1">
      <c r="A130" s="1454" t="s">
        <v>1841</v>
      </c>
      <c r="B130" s="1454"/>
      <c r="C130" s="1454"/>
      <c r="D130" s="1681">
        <f>SUM(D128:D129)</f>
        <v>1847822.94</v>
      </c>
      <c r="E130" s="1667">
        <f>SUM(E128:E129)</f>
        <v>45563245.240000002</v>
      </c>
      <c r="F130" s="1976">
        <f>SUM(F128:F129)</f>
        <v>3737131.36</v>
      </c>
      <c r="G130" s="1976">
        <f t="shared" ref="G130:J130" si="12">SUM(G128:G129)</f>
        <v>14079452.279999999</v>
      </c>
      <c r="H130" s="1976">
        <f t="shared" si="12"/>
        <v>9248887.2000000011</v>
      </c>
      <c r="I130" s="1976">
        <f t="shared" si="12"/>
        <v>9248887.2000000011</v>
      </c>
      <c r="J130" s="1976">
        <f t="shared" si="12"/>
        <v>9248887.2000000011</v>
      </c>
    </row>
    <row r="131" spans="1:10" ht="10.95" customHeight="1">
      <c r="A131" s="1458"/>
      <c r="B131" s="1458"/>
      <c r="C131" s="1458"/>
      <c r="D131" s="2073"/>
      <c r="E131" s="2074"/>
      <c r="F131" s="1978"/>
      <c r="G131" s="1978"/>
      <c r="H131" s="1978"/>
      <c r="I131" s="1978"/>
      <c r="J131" s="1978"/>
    </row>
    <row r="132" spans="1:10" ht="10.95" customHeight="1">
      <c r="A132" s="1445" t="s">
        <v>2150</v>
      </c>
      <c r="B132" s="1445"/>
      <c r="C132" s="1445"/>
      <c r="D132" s="1766"/>
      <c r="E132" s="1760"/>
      <c r="F132" s="1759"/>
      <c r="G132" s="1759"/>
      <c r="H132" s="1759"/>
      <c r="I132" s="1759"/>
      <c r="J132" s="1759"/>
    </row>
    <row r="133" spans="1:10" ht="10.95" customHeight="1">
      <c r="A133" s="1672"/>
      <c r="B133" s="1673"/>
      <c r="C133" s="1672"/>
      <c r="D133" s="1843"/>
      <c r="E133" s="1757">
        <f>SUM(F133:J133)</f>
        <v>3835000</v>
      </c>
      <c r="F133" s="1756">
        <v>767000</v>
      </c>
      <c r="G133" s="1756">
        <v>767000</v>
      </c>
      <c r="H133" s="1756">
        <v>767000</v>
      </c>
      <c r="I133" s="1756">
        <v>767000</v>
      </c>
      <c r="J133" s="1756">
        <v>767000</v>
      </c>
    </row>
    <row r="134" spans="1:10" ht="10.95" customHeight="1">
      <c r="A134" s="1454" t="s">
        <v>2152</v>
      </c>
      <c r="B134" s="1454"/>
      <c r="C134" s="1454"/>
      <c r="D134" s="1763">
        <f t="shared" ref="D134:J134" si="13">SUM(D133)</f>
        <v>0</v>
      </c>
      <c r="E134" s="1754">
        <f t="shared" si="13"/>
        <v>3835000</v>
      </c>
      <c r="F134" s="1753">
        <f t="shared" si="13"/>
        <v>767000</v>
      </c>
      <c r="G134" s="1753">
        <f t="shared" si="13"/>
        <v>767000</v>
      </c>
      <c r="H134" s="1753">
        <f t="shared" si="13"/>
        <v>767000</v>
      </c>
      <c r="I134" s="1753">
        <f t="shared" si="13"/>
        <v>767000</v>
      </c>
      <c r="J134" s="1753">
        <f t="shared" si="13"/>
        <v>767000</v>
      </c>
    </row>
    <row r="135" spans="1:10" ht="10.95" customHeight="1">
      <c r="D135" s="1749"/>
      <c r="E135" s="1762"/>
      <c r="F135" s="1767"/>
      <c r="G135" s="1767"/>
      <c r="H135" s="1767"/>
      <c r="I135" s="1767"/>
      <c r="J135" s="1767"/>
    </row>
    <row r="136" spans="1:10" ht="10.95" customHeight="1">
      <c r="A136" s="1445" t="s">
        <v>1314</v>
      </c>
      <c r="B136" s="1445"/>
      <c r="C136" s="1445"/>
      <c r="D136" s="1766"/>
      <c r="E136" s="1760"/>
      <c r="F136" s="1759"/>
      <c r="G136" s="1759"/>
      <c r="H136" s="1759"/>
      <c r="I136" s="1759"/>
      <c r="J136" s="1759"/>
    </row>
    <row r="137" spans="1:10" ht="10.95" customHeight="1">
      <c r="A137" s="1672"/>
      <c r="B137" s="1673"/>
      <c r="C137" s="1672"/>
      <c r="D137" s="1843"/>
      <c r="E137" s="1757">
        <f>SUM(F137:J137)</f>
        <v>10073415</v>
      </c>
      <c r="F137" s="1756">
        <v>1650000</v>
      </c>
      <c r="G137" s="1756">
        <f>+F137*1.1</f>
        <v>1815000.0000000002</v>
      </c>
      <c r="H137" s="1756">
        <f t="shared" ref="H137:J137" si="14">+G137*1.1</f>
        <v>1996500.0000000005</v>
      </c>
      <c r="I137" s="1756">
        <f t="shared" si="14"/>
        <v>2196150.0000000005</v>
      </c>
      <c r="J137" s="1756">
        <f t="shared" si="14"/>
        <v>2415765.0000000009</v>
      </c>
    </row>
    <row r="138" spans="1:10" ht="10.95" customHeight="1">
      <c r="A138" s="1454" t="s">
        <v>1846</v>
      </c>
      <c r="B138" s="1454"/>
      <c r="C138" s="1454"/>
      <c r="D138" s="1763">
        <f t="shared" ref="D138:J138" si="15">SUM(D137)</f>
        <v>0</v>
      </c>
      <c r="E138" s="1754">
        <f t="shared" si="15"/>
        <v>10073415</v>
      </c>
      <c r="F138" s="1753">
        <f t="shared" si="15"/>
        <v>1650000</v>
      </c>
      <c r="G138" s="1753">
        <f t="shared" si="15"/>
        <v>1815000.0000000002</v>
      </c>
      <c r="H138" s="1753">
        <f t="shared" si="15"/>
        <v>1996500.0000000005</v>
      </c>
      <c r="I138" s="1753">
        <f t="shared" si="15"/>
        <v>2196150.0000000005</v>
      </c>
      <c r="J138" s="1753">
        <f t="shared" si="15"/>
        <v>2415765.0000000009</v>
      </c>
    </row>
    <row r="139" spans="1:10" ht="13.35" customHeight="1">
      <c r="E139" s="1658"/>
      <c r="F139" s="400"/>
      <c r="G139" s="400"/>
      <c r="H139" s="400"/>
      <c r="I139" s="400"/>
      <c r="J139" s="400"/>
    </row>
    <row r="140" spans="1:10" s="1444" customFormat="1" ht="12.15" customHeight="1">
      <c r="A140" s="1445" t="s">
        <v>1847</v>
      </c>
      <c r="B140" s="1445"/>
      <c r="C140" s="1445"/>
      <c r="D140" s="2063"/>
      <c r="E140" s="1677"/>
      <c r="F140" s="1974"/>
      <c r="G140" s="1974"/>
      <c r="H140" s="1974"/>
      <c r="I140" s="1974"/>
      <c r="J140" s="1974"/>
    </row>
    <row r="141" spans="1:10" ht="10.95" customHeight="1">
      <c r="A141" s="1446" t="s">
        <v>1043</v>
      </c>
      <c r="B141" s="1447">
        <v>46129</v>
      </c>
      <c r="C141" s="1446" t="s">
        <v>2652</v>
      </c>
      <c r="D141" s="2064">
        <v>14789.94</v>
      </c>
      <c r="E141" s="1670">
        <f t="shared" si="8"/>
        <v>14789.94</v>
      </c>
      <c r="F141" s="1975">
        <v>14789.94</v>
      </c>
      <c r="G141" s="1975"/>
      <c r="H141" s="1975"/>
      <c r="I141" s="1975"/>
      <c r="J141" s="1975"/>
    </row>
    <row r="142" spans="1:10" ht="10.95" customHeight="1">
      <c r="A142" s="1450" t="s">
        <v>1045</v>
      </c>
      <c r="B142" s="1451">
        <v>46142</v>
      </c>
      <c r="C142" s="1450" t="s">
        <v>2651</v>
      </c>
      <c r="D142" s="2065">
        <v>70233.600000000006</v>
      </c>
      <c r="E142" s="2072">
        <f t="shared" si="8"/>
        <v>70233.600000000006</v>
      </c>
      <c r="F142" s="1980">
        <v>70233.600000000006</v>
      </c>
      <c r="G142" s="1980"/>
      <c r="H142" s="1980"/>
      <c r="I142" s="1980"/>
      <c r="J142" s="1980"/>
    </row>
    <row r="143" spans="1:10" ht="10.95" customHeight="1">
      <c r="A143" s="1672" t="s">
        <v>2350</v>
      </c>
      <c r="B143" s="1451"/>
      <c r="C143" s="1450"/>
      <c r="D143" s="1764"/>
      <c r="E143" s="1757">
        <f t="shared" si="8"/>
        <v>250000</v>
      </c>
      <c r="F143" s="1769">
        <v>50000</v>
      </c>
      <c r="G143" s="1769">
        <v>50000</v>
      </c>
      <c r="H143" s="1769">
        <v>50000</v>
      </c>
      <c r="I143" s="1769">
        <v>50000</v>
      </c>
      <c r="J143" s="1769">
        <v>50000</v>
      </c>
    </row>
    <row r="144" spans="1:10" ht="10.95" customHeight="1">
      <c r="A144" s="1672" t="s">
        <v>1045</v>
      </c>
      <c r="B144" s="1673"/>
      <c r="C144" s="1672"/>
      <c r="D144" s="1843"/>
      <c r="E144" s="1757">
        <f>SUM(F144:J144)</f>
        <v>390223.6</v>
      </c>
      <c r="F144" s="1769">
        <v>70223.600000000006</v>
      </c>
      <c r="G144" s="1769">
        <v>80000</v>
      </c>
      <c r="H144" s="1769">
        <v>80000</v>
      </c>
      <c r="I144" s="1769">
        <v>80000</v>
      </c>
      <c r="J144" s="1769">
        <v>80000</v>
      </c>
    </row>
    <row r="145" spans="1:13" ht="10.95" customHeight="1">
      <c r="A145" s="1454" t="s">
        <v>1850</v>
      </c>
      <c r="B145" s="1454"/>
      <c r="C145" s="1454"/>
      <c r="D145" s="1681">
        <f>SUM(D141:D144)</f>
        <v>85023.540000000008</v>
      </c>
      <c r="E145" s="1667">
        <f>SUM(E141:E144)</f>
        <v>725247.14</v>
      </c>
      <c r="F145" s="1976">
        <f>SUM(F141:F144)</f>
        <v>205247.14</v>
      </c>
      <c r="G145" s="1976">
        <f t="shared" ref="G145:J145" si="16">SUM(G141:G144)</f>
        <v>130000</v>
      </c>
      <c r="H145" s="1976">
        <f t="shared" si="16"/>
        <v>130000</v>
      </c>
      <c r="I145" s="1976">
        <f t="shared" si="16"/>
        <v>130000</v>
      </c>
      <c r="J145" s="1976">
        <f t="shared" si="16"/>
        <v>130000</v>
      </c>
    </row>
    <row r="146" spans="1:13" ht="13.35" customHeight="1">
      <c r="E146" s="1658"/>
      <c r="F146" s="400"/>
      <c r="G146" s="400"/>
      <c r="H146" s="400"/>
      <c r="I146" s="400"/>
      <c r="J146" s="400"/>
    </row>
    <row r="147" spans="1:13" ht="13.35" customHeight="1">
      <c r="A147" s="1445" t="s">
        <v>2351</v>
      </c>
      <c r="B147" s="1445"/>
      <c r="C147" s="1445"/>
      <c r="D147" s="1766"/>
      <c r="E147" s="1760"/>
      <c r="F147" s="1759"/>
      <c r="G147" s="1759"/>
      <c r="H147" s="1759"/>
      <c r="I147" s="1759"/>
      <c r="J147" s="1759"/>
    </row>
    <row r="148" spans="1:13" ht="13.35" customHeight="1">
      <c r="A148" s="1672" t="s">
        <v>2604</v>
      </c>
      <c r="B148" s="1673"/>
      <c r="C148" s="1672"/>
      <c r="D148" s="1843"/>
      <c r="E148" s="1757">
        <f>SUM(F148:J148)</f>
        <v>2561905.0999999996</v>
      </c>
      <c r="F148" s="1756">
        <f>8264.21*62</f>
        <v>512381.01999999996</v>
      </c>
      <c r="G148" s="1756">
        <f t="shared" ref="G148:J148" si="17">8264.21*62</f>
        <v>512381.01999999996</v>
      </c>
      <c r="H148" s="1756">
        <f t="shared" si="17"/>
        <v>512381.01999999996</v>
      </c>
      <c r="I148" s="1756">
        <f t="shared" si="17"/>
        <v>512381.01999999996</v>
      </c>
      <c r="J148" s="1756">
        <f t="shared" si="17"/>
        <v>512381.01999999996</v>
      </c>
    </row>
    <row r="149" spans="1:13" ht="13.35" customHeight="1">
      <c r="A149" s="1672" t="s">
        <v>2605</v>
      </c>
      <c r="B149" s="1673"/>
      <c r="C149" s="1672"/>
      <c r="D149" s="1843"/>
      <c r="E149" s="1757">
        <f>SUM(F149:J149)</f>
        <v>669600</v>
      </c>
      <c r="F149" s="1756">
        <f>(12*180)*62</f>
        <v>133920</v>
      </c>
      <c r="G149" s="1756">
        <f t="shared" ref="G149:J149" si="18">(12*180)*62</f>
        <v>133920</v>
      </c>
      <c r="H149" s="1756">
        <f t="shared" si="18"/>
        <v>133920</v>
      </c>
      <c r="I149" s="1756">
        <f t="shared" si="18"/>
        <v>133920</v>
      </c>
      <c r="J149" s="1756">
        <f t="shared" si="18"/>
        <v>133920</v>
      </c>
    </row>
    <row r="150" spans="1:13" ht="13.35" customHeight="1">
      <c r="A150" s="1454" t="s">
        <v>2353</v>
      </c>
      <c r="B150" s="1454"/>
      <c r="C150" s="1454"/>
      <c r="D150" s="1763">
        <f t="shared" ref="D150:J150" si="19">SUM(D148:D149)</f>
        <v>0</v>
      </c>
      <c r="E150" s="1754">
        <f t="shared" si="19"/>
        <v>3231505.0999999996</v>
      </c>
      <c r="F150" s="1572">
        <f t="shared" si="19"/>
        <v>646301.02</v>
      </c>
      <c r="G150" s="1572">
        <f t="shared" si="19"/>
        <v>646301.02</v>
      </c>
      <c r="H150" s="1572">
        <f t="shared" si="19"/>
        <v>646301.02</v>
      </c>
      <c r="I150" s="1572">
        <f t="shared" si="19"/>
        <v>646301.02</v>
      </c>
      <c r="J150" s="1572">
        <f t="shared" si="19"/>
        <v>646301.02</v>
      </c>
    </row>
    <row r="151" spans="1:13" ht="13.35" customHeight="1">
      <c r="E151" s="1658"/>
      <c r="F151" s="400"/>
      <c r="G151" s="400"/>
      <c r="H151" s="400"/>
      <c r="I151" s="400"/>
      <c r="J151" s="400"/>
    </row>
    <row r="152" spans="1:13" s="1444" customFormat="1" ht="12.15" customHeight="1">
      <c r="A152" s="1445" t="s">
        <v>2751</v>
      </c>
      <c r="B152" s="1445"/>
      <c r="C152" s="1445"/>
      <c r="D152" s="2063"/>
      <c r="E152" s="1677"/>
      <c r="F152" s="1974"/>
      <c r="G152" s="1974"/>
      <c r="H152" s="1974"/>
      <c r="I152" s="1974"/>
      <c r="J152" s="1974"/>
    </row>
    <row r="153" spans="1:13" ht="10.95" customHeight="1">
      <c r="A153" s="1446" t="s">
        <v>740</v>
      </c>
      <c r="B153" s="1447">
        <v>46119</v>
      </c>
      <c r="C153" s="1446" t="s">
        <v>2649</v>
      </c>
      <c r="D153" s="2064">
        <v>9528.5</v>
      </c>
      <c r="E153" s="1670">
        <f t="shared" si="8"/>
        <v>9528.5</v>
      </c>
      <c r="F153" s="1975">
        <v>9528.5</v>
      </c>
      <c r="G153" s="1975"/>
      <c r="H153" s="1975"/>
      <c r="I153" s="1975"/>
      <c r="J153" s="1975"/>
    </row>
    <row r="154" spans="1:13" ht="13.35" customHeight="1">
      <c r="A154" s="1672" t="s">
        <v>2354</v>
      </c>
      <c r="B154" s="1673"/>
      <c r="C154" s="1672"/>
      <c r="D154" s="1843"/>
      <c r="E154" s="1670">
        <f t="shared" si="8"/>
        <v>2373835.6164383562</v>
      </c>
      <c r="F154" s="1756">
        <f>(7950/0.73)*62</f>
        <v>675205.47945205471</v>
      </c>
      <c r="G154" s="1756">
        <f t="shared" ref="G154:J154" si="20">(5000/0.73)*62</f>
        <v>424657.53424657532</v>
      </c>
      <c r="H154" s="1756">
        <f t="shared" si="20"/>
        <v>424657.53424657532</v>
      </c>
      <c r="I154" s="1756">
        <f t="shared" si="20"/>
        <v>424657.53424657532</v>
      </c>
      <c r="J154" s="1756">
        <f t="shared" si="20"/>
        <v>424657.53424657532</v>
      </c>
      <c r="K154" s="1440" t="s">
        <v>2606</v>
      </c>
      <c r="L154" s="1444"/>
      <c r="M154" s="1444"/>
    </row>
    <row r="155" spans="1:13" ht="10.95" customHeight="1">
      <c r="A155" s="1446" t="s">
        <v>1631</v>
      </c>
      <c r="B155" s="1447">
        <v>46132</v>
      </c>
      <c r="C155" s="1446" t="s">
        <v>2647</v>
      </c>
      <c r="D155" s="2064">
        <v>71154</v>
      </c>
      <c r="E155" s="1670">
        <f t="shared" ref="E155:E171" si="21">SUM(F155:J155)</f>
        <v>71154</v>
      </c>
      <c r="F155" s="1975">
        <v>71154</v>
      </c>
      <c r="G155" s="1975"/>
      <c r="H155" s="1975"/>
      <c r="I155" s="1975"/>
      <c r="J155" s="1975"/>
    </row>
    <row r="156" spans="1:13" ht="10.95" customHeight="1">
      <c r="A156" s="1672" t="s">
        <v>1631</v>
      </c>
      <c r="B156" s="1673"/>
      <c r="C156" s="1672"/>
      <c r="D156" s="1843"/>
      <c r="E156" s="1670">
        <f t="shared" si="21"/>
        <v>380000</v>
      </c>
      <c r="F156" s="1756">
        <v>76000</v>
      </c>
      <c r="G156" s="1756">
        <v>76000</v>
      </c>
      <c r="H156" s="1756">
        <v>76000</v>
      </c>
      <c r="I156" s="1756">
        <v>76000</v>
      </c>
      <c r="J156" s="1756">
        <v>76000</v>
      </c>
    </row>
    <row r="157" spans="1:13" ht="10.95" customHeight="1">
      <c r="A157" s="1446" t="s">
        <v>2230</v>
      </c>
      <c r="B157" s="1447">
        <v>46122</v>
      </c>
      <c r="C157" s="1446" t="s">
        <v>2646</v>
      </c>
      <c r="D157" s="2064">
        <v>101960</v>
      </c>
      <c r="E157" s="1670">
        <f t="shared" si="21"/>
        <v>101960</v>
      </c>
      <c r="F157" s="1975">
        <v>101960</v>
      </c>
      <c r="G157" s="1975"/>
      <c r="H157" s="1975"/>
      <c r="I157" s="1975"/>
      <c r="J157" s="1975"/>
    </row>
    <row r="158" spans="1:13" ht="10.95" customHeight="1">
      <c r="A158" s="1672" t="s">
        <v>2230</v>
      </c>
      <c r="B158" s="1673"/>
      <c r="C158" s="1672"/>
      <c r="D158" s="1843"/>
      <c r="E158" s="1670">
        <f t="shared" si="21"/>
        <v>511825</v>
      </c>
      <c r="F158" s="1756">
        <v>102365</v>
      </c>
      <c r="G158" s="1756">
        <v>102365</v>
      </c>
      <c r="H158" s="1756">
        <v>102365</v>
      </c>
      <c r="I158" s="1756">
        <v>102365</v>
      </c>
      <c r="J158" s="1756">
        <v>102365</v>
      </c>
      <c r="L158" s="1444"/>
      <c r="M158" s="1444"/>
    </row>
    <row r="159" spans="1:13" ht="10.95" customHeight="1">
      <c r="A159" s="1450" t="s">
        <v>746</v>
      </c>
      <c r="B159" s="1451">
        <v>46122</v>
      </c>
      <c r="C159" s="1450" t="s">
        <v>2645</v>
      </c>
      <c r="D159" s="2065">
        <v>42480</v>
      </c>
      <c r="E159" s="1670">
        <f t="shared" si="21"/>
        <v>42480</v>
      </c>
      <c r="F159" s="1980">
        <v>42480</v>
      </c>
      <c r="G159" s="1980"/>
      <c r="H159" s="1980"/>
      <c r="I159" s="1980"/>
      <c r="J159" s="1980"/>
    </row>
    <row r="160" spans="1:13" ht="10.95" customHeight="1">
      <c r="A160" s="1672" t="s">
        <v>746</v>
      </c>
      <c r="B160" s="1673"/>
      <c r="C160" s="1672"/>
      <c r="D160" s="1843"/>
      <c r="E160" s="1670">
        <f t="shared" si="21"/>
        <v>106200</v>
      </c>
      <c r="F160" s="1756">
        <v>21240</v>
      </c>
      <c r="G160" s="1756">
        <v>21240</v>
      </c>
      <c r="H160" s="1756">
        <v>21240</v>
      </c>
      <c r="I160" s="1756">
        <v>21240</v>
      </c>
      <c r="J160" s="1756">
        <v>21240</v>
      </c>
    </row>
    <row r="161" spans="1:13" ht="10.95" customHeight="1">
      <c r="A161" s="1450" t="s">
        <v>2228</v>
      </c>
      <c r="B161" s="1451">
        <v>46127</v>
      </c>
      <c r="C161" s="1450" t="s">
        <v>2644</v>
      </c>
      <c r="D161" s="2065">
        <v>88269.5</v>
      </c>
      <c r="E161" s="1670">
        <f t="shared" si="21"/>
        <v>88269.5</v>
      </c>
      <c r="F161" s="1980">
        <v>88269.5</v>
      </c>
      <c r="G161" s="1980"/>
      <c r="H161" s="1980"/>
      <c r="I161" s="1980"/>
      <c r="J161" s="1980"/>
    </row>
    <row r="162" spans="1:13" ht="10.95" customHeight="1">
      <c r="A162" s="1672" t="s">
        <v>2188</v>
      </c>
      <c r="B162" s="1673"/>
      <c r="C162" s="1672"/>
      <c r="D162" s="1843"/>
      <c r="E162" s="1670">
        <f t="shared" si="21"/>
        <v>441347.5</v>
      </c>
      <c r="F162" s="1756">
        <v>88269.5</v>
      </c>
      <c r="G162" s="1756">
        <v>88269.5</v>
      </c>
      <c r="H162" s="1756">
        <v>88269.5</v>
      </c>
      <c r="I162" s="1756">
        <v>88269.5</v>
      </c>
      <c r="J162" s="1756">
        <v>88269.5</v>
      </c>
    </row>
    <row r="163" spans="1:13" ht="10.95" customHeight="1">
      <c r="A163" s="1446" t="s">
        <v>935</v>
      </c>
      <c r="B163" s="1447">
        <v>46119</v>
      </c>
      <c r="C163" s="1446" t="s">
        <v>1653</v>
      </c>
      <c r="D163" s="2064">
        <v>140420</v>
      </c>
      <c r="E163" s="1670">
        <f t="shared" si="21"/>
        <v>140420</v>
      </c>
      <c r="F163" s="1975">
        <v>140420</v>
      </c>
      <c r="G163" s="1975"/>
      <c r="H163" s="1975"/>
      <c r="I163" s="1975"/>
      <c r="J163" s="1975"/>
    </row>
    <row r="164" spans="1:13" ht="13.35" customHeight="1">
      <c r="A164" s="1672" t="s">
        <v>2749</v>
      </c>
      <c r="B164" s="1673"/>
      <c r="C164" s="1672"/>
      <c r="D164" s="1843"/>
      <c r="E164" s="1670">
        <f t="shared" si="21"/>
        <v>750000</v>
      </c>
      <c r="F164" s="1756">
        <v>150000</v>
      </c>
      <c r="G164" s="1756">
        <v>150000</v>
      </c>
      <c r="H164" s="1756">
        <v>150000</v>
      </c>
      <c r="I164" s="1756">
        <v>150000</v>
      </c>
      <c r="J164" s="1756">
        <v>150000</v>
      </c>
    </row>
    <row r="165" spans="1:13" ht="13.35" customHeight="1">
      <c r="A165" s="1672" t="s">
        <v>2241</v>
      </c>
      <c r="B165" s="1673"/>
      <c r="C165" s="1672"/>
      <c r="D165" s="1843"/>
      <c r="E165" s="1670">
        <f t="shared" si="21"/>
        <v>721050</v>
      </c>
      <c r="F165" s="1756">
        <f>11500*62.7</f>
        <v>721050</v>
      </c>
      <c r="G165" s="1756"/>
      <c r="H165" s="1756"/>
      <c r="I165" s="1756"/>
      <c r="J165" s="1756"/>
    </row>
    <row r="166" spans="1:13" ht="13.35" customHeight="1">
      <c r="A166" s="1672" t="s">
        <v>2607</v>
      </c>
      <c r="B166" s="1673"/>
      <c r="C166" s="1672"/>
      <c r="D166" s="1843"/>
      <c r="E166" s="1670">
        <f t="shared" si="21"/>
        <v>1500000</v>
      </c>
      <c r="F166" s="713"/>
      <c r="G166" s="2028">
        <v>1500000</v>
      </c>
      <c r="H166" s="713"/>
      <c r="I166" s="713"/>
      <c r="J166" s="713"/>
    </row>
    <row r="167" spans="1:13" ht="13.35" customHeight="1">
      <c r="A167" s="1672" t="s">
        <v>2242</v>
      </c>
      <c r="B167" s="1673"/>
      <c r="C167" s="1672"/>
      <c r="D167" s="1843"/>
      <c r="E167" s="1670">
        <f t="shared" si="21"/>
        <v>2000000</v>
      </c>
      <c r="F167" s="713"/>
      <c r="G167" s="2028">
        <v>2000000</v>
      </c>
      <c r="H167" s="713"/>
      <c r="I167" s="713"/>
      <c r="J167" s="713"/>
    </row>
    <row r="168" spans="1:13" ht="13.35" customHeight="1">
      <c r="A168" s="1672" t="s">
        <v>2243</v>
      </c>
      <c r="B168" s="1673"/>
      <c r="C168" s="1672"/>
      <c r="D168" s="1843"/>
      <c r="E168" s="1670">
        <f t="shared" si="21"/>
        <v>32000</v>
      </c>
      <c r="F168" s="1756">
        <v>32000</v>
      </c>
      <c r="G168" s="1756"/>
      <c r="H168" s="1756"/>
      <c r="I168" s="1756"/>
      <c r="J168" s="1756"/>
    </row>
    <row r="169" spans="1:13" ht="10.95" customHeight="1">
      <c r="A169" s="1672" t="s">
        <v>1855</v>
      </c>
      <c r="B169" s="1673"/>
      <c r="C169" s="1672"/>
      <c r="D169" s="1843"/>
      <c r="E169" s="1670">
        <f t="shared" si="21"/>
        <v>472000</v>
      </c>
      <c r="F169" s="1756">
        <v>94400</v>
      </c>
      <c r="G169" s="1756">
        <v>94400</v>
      </c>
      <c r="H169" s="1756">
        <v>94400</v>
      </c>
      <c r="I169" s="1756">
        <v>94400</v>
      </c>
      <c r="J169" s="1756">
        <v>94400</v>
      </c>
    </row>
    <row r="170" spans="1:13" ht="10.95" customHeight="1">
      <c r="A170" s="1672" t="s">
        <v>2750</v>
      </c>
      <c r="B170" s="1673"/>
      <c r="C170" s="1672"/>
      <c r="D170" s="1843"/>
      <c r="E170" s="1670">
        <f t="shared" si="21"/>
        <v>731600</v>
      </c>
      <c r="F170" s="1756">
        <f>2360*62</f>
        <v>146320</v>
      </c>
      <c r="G170" s="1756">
        <f t="shared" ref="G170:J170" si="22">2360*62</f>
        <v>146320</v>
      </c>
      <c r="H170" s="1756">
        <f t="shared" si="22"/>
        <v>146320</v>
      </c>
      <c r="I170" s="1756">
        <f t="shared" si="22"/>
        <v>146320</v>
      </c>
      <c r="J170" s="1756">
        <f t="shared" si="22"/>
        <v>146320</v>
      </c>
      <c r="L170" s="1444"/>
      <c r="M170" s="1444"/>
    </row>
    <row r="171" spans="1:13" ht="10.95" customHeight="1">
      <c r="A171" s="1672" t="s">
        <v>2748</v>
      </c>
      <c r="B171" s="1673"/>
      <c r="C171" s="1672"/>
      <c r="D171" s="1843"/>
      <c r="E171" s="1670">
        <f t="shared" si="21"/>
        <v>2500000</v>
      </c>
      <c r="F171" s="1756">
        <v>500000</v>
      </c>
      <c r="G171" s="1756">
        <v>500000</v>
      </c>
      <c r="H171" s="1756">
        <v>500000</v>
      </c>
      <c r="I171" s="1756">
        <v>500000</v>
      </c>
      <c r="J171" s="1756">
        <v>500000</v>
      </c>
      <c r="L171" s="1444"/>
      <c r="M171" s="1444"/>
    </row>
    <row r="172" spans="1:13" ht="10.95" customHeight="1">
      <c r="A172" s="1454" t="s">
        <v>2752</v>
      </c>
      <c r="B172" s="1454"/>
      <c r="C172" s="1454"/>
      <c r="D172" s="1681">
        <f>SUM(D153:D171)</f>
        <v>453812</v>
      </c>
      <c r="E172" s="1667">
        <f>SUM(E153:E171)</f>
        <v>12973670.116438355</v>
      </c>
      <c r="F172" s="1976">
        <f>SUM(F153:F171)</f>
        <v>3060661.9794520549</v>
      </c>
      <c r="G172" s="1976">
        <f t="shared" ref="G172:J172" si="23">SUM(G153:G171)</f>
        <v>5103252.0342465751</v>
      </c>
      <c r="H172" s="1976">
        <f t="shared" si="23"/>
        <v>1603252.0342465753</v>
      </c>
      <c r="I172" s="1976">
        <f t="shared" si="23"/>
        <v>1603252.0342465753</v>
      </c>
      <c r="J172" s="1976">
        <f t="shared" si="23"/>
        <v>1603252.0342465753</v>
      </c>
    </row>
    <row r="173" spans="1:13" ht="13.35" customHeight="1">
      <c r="E173" s="1658"/>
      <c r="F173" s="400"/>
      <c r="G173" s="400"/>
      <c r="H173" s="400"/>
      <c r="I173" s="400"/>
      <c r="J173" s="400"/>
    </row>
    <row r="174" spans="1:13" s="1444" customFormat="1" ht="12.15" customHeight="1">
      <c r="A174" s="1445" t="s">
        <v>919</v>
      </c>
      <c r="B174" s="1445"/>
      <c r="C174" s="1445"/>
      <c r="D174" s="2063"/>
      <c r="E174" s="1677"/>
      <c r="F174" s="1974"/>
      <c r="G174" s="1974"/>
      <c r="H174" s="1974"/>
      <c r="I174" s="1974"/>
      <c r="J174" s="1974"/>
    </row>
    <row r="175" spans="1:13" ht="10.95" customHeight="1">
      <c r="A175" s="1446" t="s">
        <v>2570</v>
      </c>
      <c r="B175" s="1447">
        <v>46100</v>
      </c>
      <c r="C175" s="1446" t="s">
        <v>2571</v>
      </c>
      <c r="D175" s="2064">
        <v>4755</v>
      </c>
      <c r="E175" s="1670">
        <f t="shared" ref="E175:E177" si="24">SUM(F175:J175)</f>
        <v>4755</v>
      </c>
      <c r="F175" s="1975">
        <v>4755</v>
      </c>
      <c r="G175" s="1975"/>
      <c r="H175" s="1975"/>
      <c r="I175" s="1975"/>
      <c r="J175" s="1975"/>
    </row>
    <row r="176" spans="1:13" ht="10.95" customHeight="1">
      <c r="A176" s="1450" t="s">
        <v>2572</v>
      </c>
      <c r="B176" s="1451">
        <v>46112</v>
      </c>
      <c r="C176" s="1450" t="s">
        <v>2573</v>
      </c>
      <c r="D176" s="2065">
        <v>111300.56</v>
      </c>
      <c r="E176" s="2072">
        <f t="shared" si="24"/>
        <v>111300.56</v>
      </c>
      <c r="F176" s="1980">
        <v>111300.56</v>
      </c>
      <c r="G176" s="1980"/>
      <c r="H176" s="1980"/>
      <c r="I176" s="1980"/>
      <c r="J176" s="1980"/>
    </row>
    <row r="177" spans="1:10" ht="10.95" customHeight="1">
      <c r="A177" s="1672" t="s">
        <v>2753</v>
      </c>
      <c r="B177" s="1451"/>
      <c r="C177" s="1450"/>
      <c r="D177" s="2065"/>
      <c r="E177" s="2072">
        <f t="shared" si="24"/>
        <v>1113330</v>
      </c>
      <c r="F177" s="1756">
        <v>371110</v>
      </c>
      <c r="G177" s="1756"/>
      <c r="H177" s="1756">
        <v>742220</v>
      </c>
      <c r="I177" s="1756"/>
      <c r="J177" s="1756"/>
    </row>
    <row r="178" spans="1:10" ht="10.95" customHeight="1">
      <c r="A178" s="1454" t="s">
        <v>1864</v>
      </c>
      <c r="B178" s="1454"/>
      <c r="C178" s="1454"/>
      <c r="D178" s="1681">
        <f>SUM(D175:D177)</f>
        <v>116055.56</v>
      </c>
      <c r="E178" s="1667">
        <f>SUM(E175:E177)</f>
        <v>1229385.56</v>
      </c>
      <c r="F178" s="1976">
        <f>SUM(F175:F177)</f>
        <v>487165.56</v>
      </c>
      <c r="G178" s="1976">
        <f t="shared" ref="G178:J178" si="25">SUM(G175:G177)</f>
        <v>0</v>
      </c>
      <c r="H178" s="1976">
        <f t="shared" si="25"/>
        <v>742220</v>
      </c>
      <c r="I178" s="1976">
        <f t="shared" si="25"/>
        <v>0</v>
      </c>
      <c r="J178" s="1976">
        <f t="shared" si="25"/>
        <v>0</v>
      </c>
    </row>
    <row r="179" spans="1:10" ht="13.35" customHeight="1">
      <c r="E179" s="1658"/>
      <c r="F179" s="400"/>
      <c r="G179" s="400"/>
      <c r="H179" s="400"/>
      <c r="I179" s="400"/>
      <c r="J179" s="400"/>
    </row>
    <row r="180" spans="1:10" ht="13.35" customHeight="1">
      <c r="A180" s="1445" t="s">
        <v>2609</v>
      </c>
      <c r="B180" s="1445"/>
      <c r="C180" s="1445"/>
      <c r="D180" s="1766"/>
      <c r="E180" s="1760"/>
      <c r="F180" s="1569"/>
      <c r="G180" s="1569"/>
      <c r="H180" s="1569"/>
      <c r="I180" s="1569"/>
      <c r="J180" s="1569"/>
    </row>
    <row r="181" spans="1:10" ht="13.35" customHeight="1">
      <c r="A181" s="1672" t="s">
        <v>2610</v>
      </c>
      <c r="B181" s="1673"/>
      <c r="C181" s="1672"/>
      <c r="D181" s="1843"/>
      <c r="E181" s="1757">
        <f>SUM(F181:J181)</f>
        <v>19397569.444444448</v>
      </c>
      <c r="F181" s="1756">
        <f>+'Intereses 04-26'!Y37</f>
        <v>2864583.333333334</v>
      </c>
      <c r="G181" s="1756">
        <f>+'Intereses 04-26'!Z37</f>
        <v>3131944.444444445</v>
      </c>
      <c r="H181" s="1756">
        <f>+'Intereses 04-26'!AA37</f>
        <v>4234375</v>
      </c>
      <c r="I181" s="1756">
        <f>+'Intereses 04-26'!AB37</f>
        <v>4234375</v>
      </c>
      <c r="J181" s="1756">
        <f>+'Intereses 04-26'!AC37</f>
        <v>4932291.666666667</v>
      </c>
    </row>
    <row r="182" spans="1:10" ht="13.35" customHeight="1">
      <c r="A182" s="1454" t="s">
        <v>1864</v>
      </c>
      <c r="B182" s="1454"/>
      <c r="C182" s="1454"/>
      <c r="D182" s="1763">
        <f t="shared" ref="D182:J182" si="26">SUM(D181:D181)</f>
        <v>0</v>
      </c>
      <c r="E182" s="1754">
        <f t="shared" si="26"/>
        <v>19397569.444444448</v>
      </c>
      <c r="F182" s="1572">
        <f t="shared" si="26"/>
        <v>2864583.333333334</v>
      </c>
      <c r="G182" s="1572">
        <f t="shared" si="26"/>
        <v>3131944.444444445</v>
      </c>
      <c r="H182" s="1572">
        <f t="shared" si="26"/>
        <v>4234375</v>
      </c>
      <c r="I182" s="1572">
        <f t="shared" si="26"/>
        <v>4234375</v>
      </c>
      <c r="J182" s="1572">
        <f t="shared" si="26"/>
        <v>4932291.666666667</v>
      </c>
    </row>
    <row r="183" spans="1:10" ht="13.35" customHeight="1">
      <c r="E183" s="1747"/>
      <c r="F183" s="1747"/>
      <c r="G183" s="1747"/>
      <c r="H183" s="1747"/>
      <c r="I183" s="1747"/>
      <c r="J183" s="1747"/>
    </row>
    <row r="184" spans="1:10" ht="10.95" customHeight="1">
      <c r="A184" s="1461" t="s">
        <v>164</v>
      </c>
      <c r="B184" s="1461"/>
      <c r="C184" s="1461"/>
      <c r="D184" s="2066">
        <f>+D28+D105+D109+D116+D121+D130+D134+D138+D145+D150+D172+D178+D182+D125</f>
        <v>19000961.380000003</v>
      </c>
      <c r="E184" s="2066">
        <f t="shared" ref="E184:J184" si="27">+E28+E105+E109+E116+E121+E130+E134+E138+E145+E150+E172+E178+E182+E125</f>
        <v>488299919.74088287</v>
      </c>
      <c r="F184" s="2066">
        <f t="shared" si="27"/>
        <v>87071115.332785398</v>
      </c>
      <c r="G184" s="2066">
        <f t="shared" si="27"/>
        <v>120039914.07869102</v>
      </c>
      <c r="H184" s="2066">
        <f t="shared" si="27"/>
        <v>76285499.554246575</v>
      </c>
      <c r="I184" s="2066">
        <f t="shared" si="27"/>
        <v>101392929.55424657</v>
      </c>
      <c r="J184" s="2066">
        <f t="shared" si="27"/>
        <v>103510461.22091325</v>
      </c>
    </row>
    <row r="185" spans="1:10" ht="13.35" customHeight="1"/>
    <row r="186" spans="1:10">
      <c r="E186" s="2075"/>
    </row>
  </sheetData>
  <autoFilter ref="A1:J185" xr:uid="{CA6CC828-C205-48CD-9F55-BC880B6BDD08}"/>
  <pageMargins left="0.7" right="0.7" top="0.75" bottom="0.75" header="0.3" footer="0.3"/>
  <pageSetup paperSize="9" fitToWidth="0" fitToHeight="0" orientation="portrait" r:id="rId1"/>
  <drawing r:id="rId2"/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99411-190A-436B-AE69-51939624D7B8}">
  <dimension ref="B1:J22"/>
  <sheetViews>
    <sheetView zoomScale="110" zoomScaleNormal="110" workbookViewId="0">
      <selection activeCell="H10" sqref="H10"/>
    </sheetView>
  </sheetViews>
  <sheetFormatPr baseColWidth="10" defaultColWidth="11.44140625" defaultRowHeight="14.4"/>
  <cols>
    <col min="2" max="2" width="24.33203125" bestFit="1" customWidth="1"/>
    <col min="3" max="3" width="14.109375" bestFit="1" customWidth="1"/>
    <col min="4" max="4" width="12.6640625" customWidth="1"/>
    <col min="5" max="5" width="37.109375" bestFit="1" customWidth="1"/>
    <col min="6" max="6" width="15.6640625" bestFit="1" customWidth="1"/>
    <col min="7" max="7" width="16.88671875" bestFit="1" customWidth="1"/>
    <col min="8" max="10" width="15.6640625" bestFit="1" customWidth="1"/>
  </cols>
  <sheetData>
    <row r="1" spans="2:10">
      <c r="F1" t="s">
        <v>2595</v>
      </c>
      <c r="G1" t="s">
        <v>2596</v>
      </c>
      <c r="H1" t="s">
        <v>2597</v>
      </c>
      <c r="I1" t="s">
        <v>2598</v>
      </c>
      <c r="J1" t="s">
        <v>2599</v>
      </c>
    </row>
    <row r="2" spans="2:10">
      <c r="E2" t="s">
        <v>2098</v>
      </c>
      <c r="F2" s="110">
        <v>12</v>
      </c>
      <c r="G2" s="110">
        <v>12</v>
      </c>
      <c r="H2" s="110">
        <v>12</v>
      </c>
      <c r="I2" s="110">
        <v>12</v>
      </c>
      <c r="J2" s="110">
        <v>12</v>
      </c>
    </row>
    <row r="3" spans="2:10" ht="15" thickBot="1">
      <c r="E3" t="s">
        <v>2099</v>
      </c>
      <c r="F3">
        <f>+F2</f>
        <v>12</v>
      </c>
      <c r="G3">
        <f>+F3+G2</f>
        <v>24</v>
      </c>
      <c r="H3">
        <f t="shared" ref="H3:J3" si="0">+G3+H2</f>
        <v>36</v>
      </c>
      <c r="I3">
        <f t="shared" si="0"/>
        <v>48</v>
      </c>
      <c r="J3">
        <f t="shared" si="0"/>
        <v>60</v>
      </c>
    </row>
    <row r="4" spans="2:10" ht="16.2" thickBot="1">
      <c r="F4" s="735">
        <v>46143</v>
      </c>
      <c r="G4" s="735">
        <v>46174</v>
      </c>
      <c r="H4" s="735">
        <v>46204</v>
      </c>
      <c r="I4" s="735">
        <v>46235</v>
      </c>
      <c r="J4" s="735">
        <v>46266</v>
      </c>
    </row>
    <row r="5" spans="2:10">
      <c r="B5" s="1476" t="s">
        <v>2100</v>
      </c>
      <c r="C5" s="1481">
        <v>150500</v>
      </c>
      <c r="E5" t="s">
        <v>2101</v>
      </c>
      <c r="F5" s="370">
        <f>+(+F2*$C$6)*62</f>
        <v>11197200</v>
      </c>
      <c r="G5" s="370">
        <f t="shared" ref="G5:J5" si="1">+(+G2*$C$6)*62</f>
        <v>11197200</v>
      </c>
      <c r="H5" s="370">
        <f t="shared" si="1"/>
        <v>11197200</v>
      </c>
      <c r="I5" s="370">
        <f t="shared" si="1"/>
        <v>11197200</v>
      </c>
      <c r="J5" s="370">
        <f t="shared" si="1"/>
        <v>11197200</v>
      </c>
    </row>
    <row r="6" spans="2:10" ht="15" thickBot="1">
      <c r="B6" s="1477" t="s">
        <v>2102</v>
      </c>
      <c r="C6" s="1478">
        <f>+C5*0.1</f>
        <v>15050</v>
      </c>
      <c r="E6" t="s">
        <v>2103</v>
      </c>
      <c r="F6" s="370">
        <v>0</v>
      </c>
      <c r="G6" s="370">
        <f>+(+F3*$C$8)*62</f>
        <v>744000</v>
      </c>
      <c r="H6" s="370">
        <f t="shared" ref="H6:J6" si="2">+(+G3*$C$8)*62</f>
        <v>1488000</v>
      </c>
      <c r="I6" s="370">
        <f t="shared" si="2"/>
        <v>2232000</v>
      </c>
      <c r="J6" s="370">
        <f t="shared" si="2"/>
        <v>2976000</v>
      </c>
    </row>
    <row r="7" spans="2:10">
      <c r="C7" s="1479"/>
      <c r="E7" t="s">
        <v>2104</v>
      </c>
      <c r="F7" s="370">
        <f>+F18</f>
        <v>8791932.9399999995</v>
      </c>
      <c r="G7" s="370">
        <f t="shared" ref="G7:J7" si="3">+G18</f>
        <v>9619923.0999999996</v>
      </c>
      <c r="H7" s="370">
        <f t="shared" si="3"/>
        <v>9450314.040000001</v>
      </c>
      <c r="I7" s="370">
        <f t="shared" si="3"/>
        <v>8199795.7399999993</v>
      </c>
      <c r="J7" s="370">
        <f t="shared" si="3"/>
        <v>8261332.5999999996</v>
      </c>
    </row>
    <row r="8" spans="2:10">
      <c r="B8" t="s">
        <v>2105</v>
      </c>
      <c r="C8" s="1480">
        <v>1000</v>
      </c>
      <c r="E8" s="433" t="s">
        <v>2106</v>
      </c>
      <c r="F8" s="1174">
        <f>SUM(F5:F7)</f>
        <v>19989132.939999998</v>
      </c>
      <c r="G8" s="1174">
        <f>SUM(G5:G7)</f>
        <v>21561123.100000001</v>
      </c>
      <c r="H8" s="1174">
        <f>SUM(H5:H7)</f>
        <v>22135514.039999999</v>
      </c>
      <c r="I8" s="1174">
        <f>SUM(I5:I7)</f>
        <v>21628995.739999998</v>
      </c>
      <c r="J8" s="1174">
        <f>SUM(J5:J7)</f>
        <v>22434532.600000001</v>
      </c>
    </row>
    <row r="9" spans="2:10">
      <c r="F9" s="549">
        <v>19000000</v>
      </c>
      <c r="G9" s="370">
        <v>20000000</v>
      </c>
      <c r="H9" s="370">
        <v>21000000</v>
      </c>
      <c r="I9" s="370">
        <v>21000000</v>
      </c>
      <c r="J9" s="370">
        <v>21000000</v>
      </c>
    </row>
    <row r="11" spans="2:10" hidden="1"/>
    <row r="12" spans="2:10" hidden="1">
      <c r="E12" t="s">
        <v>2107</v>
      </c>
      <c r="G12" s="1482">
        <f>((51773+18669)*1.18)*65</f>
        <v>5402901.3999999994</v>
      </c>
    </row>
    <row r="13" spans="2:10" hidden="1">
      <c r="E13" t="s">
        <v>2108</v>
      </c>
      <c r="F13" s="1482">
        <f>((+F2*$C$5)*8.14%)*65</f>
        <v>9555546</v>
      </c>
      <c r="G13" s="1482">
        <f t="shared" ref="G13:J13" si="4">((+G2*$C$5)*8.14%)*65</f>
        <v>9555546</v>
      </c>
      <c r="H13" s="1482">
        <f t="shared" si="4"/>
        <v>9555546</v>
      </c>
      <c r="I13" s="1482">
        <f t="shared" si="4"/>
        <v>9555546</v>
      </c>
      <c r="J13" s="1482">
        <f t="shared" si="4"/>
        <v>9555546</v>
      </c>
    </row>
    <row r="14" spans="2:10" hidden="1">
      <c r="F14" s="1483">
        <f>SUM(F12:F13)</f>
        <v>9555546</v>
      </c>
      <c r="G14" s="1483">
        <f t="shared" ref="G14:J14" si="5">SUM(G12:G13)</f>
        <v>14958447.399999999</v>
      </c>
      <c r="H14" s="1483">
        <f t="shared" si="5"/>
        <v>9555546</v>
      </c>
      <c r="I14" s="1483">
        <f t="shared" si="5"/>
        <v>9555546</v>
      </c>
      <c r="J14" s="1483">
        <f t="shared" si="5"/>
        <v>9555546</v>
      </c>
    </row>
    <row r="15" spans="2:10" ht="15" thickBot="1"/>
    <row r="16" spans="2:10">
      <c r="D16" s="2182" t="s">
        <v>2104</v>
      </c>
      <c r="E16" t="s">
        <v>2344</v>
      </c>
      <c r="F16" s="1707">
        <v>141805.37</v>
      </c>
      <c r="G16" s="1707">
        <v>155160.04999999999</v>
      </c>
      <c r="H16" s="1707">
        <v>152424.42000000001</v>
      </c>
      <c r="I16" s="1707">
        <v>132254.76999999999</v>
      </c>
      <c r="J16" s="1708">
        <v>133247.29999999999</v>
      </c>
    </row>
    <row r="17" spans="4:10">
      <c r="D17" s="2182"/>
      <c r="E17" s="753"/>
      <c r="F17" s="1709">
        <v>62</v>
      </c>
      <c r="G17" s="1709">
        <v>62</v>
      </c>
      <c r="H17" s="1709">
        <v>62</v>
      </c>
      <c r="I17" s="1709">
        <v>62</v>
      </c>
      <c r="J17" s="1710">
        <v>62</v>
      </c>
    </row>
    <row r="18" spans="4:10" ht="15" thickBot="1">
      <c r="D18" s="2182"/>
      <c r="E18" s="1477"/>
      <c r="F18" s="1711">
        <f>+F16*F17</f>
        <v>8791932.9399999995</v>
      </c>
      <c r="G18" s="1711">
        <f t="shared" ref="G18:J18" si="6">+G16*G17</f>
        <v>9619923.0999999996</v>
      </c>
      <c r="H18" s="1711">
        <f t="shared" si="6"/>
        <v>9450314.040000001</v>
      </c>
      <c r="I18" s="1711">
        <f t="shared" si="6"/>
        <v>8199795.7399999993</v>
      </c>
      <c r="J18" s="1712">
        <f t="shared" si="6"/>
        <v>8261332.5999999996</v>
      </c>
    </row>
    <row r="19" spans="4:10" ht="15" thickBot="1"/>
    <row r="20" spans="4:10">
      <c r="E20" s="2175" t="s">
        <v>1721</v>
      </c>
      <c r="F20" s="1840">
        <f>54993.74+29581.41</f>
        <v>84575.15</v>
      </c>
      <c r="G20" s="1701">
        <f>+(+$C$5*0.0826)*F2+(77912.34)</f>
        <v>227087.94</v>
      </c>
      <c r="H20" s="1701">
        <f t="shared" ref="H20:J20" si="7">+(+$C$5*0.0826)*G2</f>
        <v>149175.6</v>
      </c>
      <c r="I20" s="1701">
        <f t="shared" si="7"/>
        <v>149175.6</v>
      </c>
      <c r="J20" s="1701">
        <f t="shared" si="7"/>
        <v>149175.6</v>
      </c>
    </row>
    <row r="21" spans="4:10">
      <c r="E21" s="2176"/>
      <c r="F21" s="455">
        <v>62</v>
      </c>
      <c r="G21" s="455">
        <v>62</v>
      </c>
      <c r="H21" s="455">
        <v>62</v>
      </c>
      <c r="I21" s="455">
        <v>62</v>
      </c>
      <c r="J21" s="1702">
        <v>62</v>
      </c>
    </row>
    <row r="22" spans="4:10" ht="15" thickBot="1">
      <c r="E22" s="2177"/>
      <c r="F22" s="1703">
        <f t="shared" ref="F22:J22" si="8">+F20*F21</f>
        <v>5243659.3</v>
      </c>
      <c r="G22" s="1703">
        <f t="shared" si="8"/>
        <v>14079452.279999999</v>
      </c>
      <c r="H22" s="1703">
        <f t="shared" si="8"/>
        <v>9248887.2000000011</v>
      </c>
      <c r="I22" s="1703">
        <f t="shared" si="8"/>
        <v>9248887.2000000011</v>
      </c>
      <c r="J22" s="1704">
        <f t="shared" si="8"/>
        <v>9248887.2000000011</v>
      </c>
    </row>
  </sheetData>
  <mergeCells count="2">
    <mergeCell ref="D16:D18"/>
    <mergeCell ref="E20:E22"/>
  </mergeCells>
  <pageMargins left="0.7" right="0.7" top="0.75" bottom="0.75" header="0.3" footer="0.3"/>
  <pageSetup orientation="portrait" r:id="rId1"/>
  <drawing r:id="rId2"/>
  <legacyDrawing r:id="rId3"/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2F46F-DEA1-4622-B82A-6665F8DDAAC6}">
  <dimension ref="A1:W55"/>
  <sheetViews>
    <sheetView showGridLines="0" zoomScale="140" zoomScaleNormal="140" workbookViewId="0">
      <pane xSplit="1" ySplit="1" topLeftCell="Q2" activePane="bottomRight" state="frozen"/>
      <selection pane="topRight" activeCell="C1" sqref="C1"/>
      <selection pane="bottomLeft" activeCell="A2" sqref="A2"/>
      <selection pane="bottomRight" activeCell="U10" sqref="U10"/>
    </sheetView>
  </sheetViews>
  <sheetFormatPr baseColWidth="10" defaultColWidth="11.5546875" defaultRowHeight="14.4"/>
  <cols>
    <col min="1" max="1" width="49.33203125" style="412" bestFit="1" customWidth="1"/>
    <col min="2" max="2" width="16.6640625" style="1241" customWidth="1"/>
    <col min="3" max="4" width="14.44140625" style="1241" customWidth="1"/>
    <col min="5" max="5" width="14.44140625" style="1236" customWidth="1"/>
    <col min="6" max="6" width="14.44140625" style="1241" customWidth="1"/>
    <col min="7" max="7" width="14.44140625" style="1236" customWidth="1"/>
    <col min="8" max="9" width="15.5546875" style="1236" customWidth="1"/>
    <col min="10" max="10" width="16.6640625" style="1236" customWidth="1"/>
    <col min="11" max="18" width="15.5546875" style="1236" customWidth="1"/>
    <col min="19" max="19" width="16.44140625" style="2039" bestFit="1" customWidth="1"/>
    <col min="20" max="16384" width="11.5546875" style="408"/>
  </cols>
  <sheetData>
    <row r="1" spans="1:23" s="1228" customFormat="1" ht="13.8">
      <c r="A1" s="1228" t="s">
        <v>1791</v>
      </c>
      <c r="B1" s="1237">
        <v>45627</v>
      </c>
      <c r="C1" s="1237">
        <v>45658</v>
      </c>
      <c r="D1" s="1237">
        <v>45689</v>
      </c>
      <c r="E1" s="1232">
        <v>45717</v>
      </c>
      <c r="F1" s="1237">
        <v>45748</v>
      </c>
      <c r="G1" s="1232">
        <v>45778</v>
      </c>
      <c r="H1" s="1232">
        <v>45809</v>
      </c>
      <c r="I1" s="1232">
        <v>45839</v>
      </c>
      <c r="J1" s="1232">
        <v>45870</v>
      </c>
      <c r="K1" s="1232">
        <v>45901</v>
      </c>
      <c r="L1" s="1232">
        <v>45931</v>
      </c>
      <c r="M1" s="1232">
        <v>45962</v>
      </c>
      <c r="N1" s="1232">
        <v>45992</v>
      </c>
      <c r="O1" s="1232">
        <v>46023</v>
      </c>
      <c r="P1" s="1232">
        <v>46054</v>
      </c>
      <c r="Q1" s="1232">
        <v>46082</v>
      </c>
      <c r="R1" s="1232">
        <v>46113</v>
      </c>
      <c r="S1" s="1232" t="s">
        <v>168</v>
      </c>
    </row>
    <row r="2" spans="1:23" s="1229" customFormat="1" ht="10.199999999999999">
      <c r="A2" s="1229" t="s">
        <v>1487</v>
      </c>
      <c r="B2" s="1238">
        <f>SUM(B3)</f>
        <v>94172341.829999998</v>
      </c>
      <c r="C2" s="1238">
        <f t="shared" ref="C2:R2" si="0">SUM(C3)</f>
        <v>0</v>
      </c>
      <c r="D2" s="1238">
        <f t="shared" si="0"/>
        <v>0</v>
      </c>
      <c r="E2" s="1233">
        <f t="shared" si="0"/>
        <v>0</v>
      </c>
      <c r="F2" s="1238">
        <f t="shared" si="0"/>
        <v>0</v>
      </c>
      <c r="G2" s="1233">
        <f t="shared" si="0"/>
        <v>18880</v>
      </c>
      <c r="H2" s="1233">
        <f t="shared" si="0"/>
        <v>0</v>
      </c>
      <c r="I2" s="1233">
        <f t="shared" si="0"/>
        <v>0</v>
      </c>
      <c r="J2" s="1233">
        <f t="shared" si="0"/>
        <v>170252678.32999998</v>
      </c>
      <c r="K2" s="1233">
        <f t="shared" si="0"/>
        <v>1180</v>
      </c>
      <c r="L2" s="1233">
        <f t="shared" si="0"/>
        <v>0</v>
      </c>
      <c r="M2" s="1233">
        <f t="shared" si="0"/>
        <v>0</v>
      </c>
      <c r="N2" s="1233">
        <f t="shared" si="0"/>
        <v>0</v>
      </c>
      <c r="O2" s="1233">
        <f t="shared" si="0"/>
        <v>0</v>
      </c>
      <c r="P2" s="1233">
        <f t="shared" si="0"/>
        <v>0</v>
      </c>
      <c r="Q2" s="1233">
        <f t="shared" si="0"/>
        <v>0</v>
      </c>
      <c r="R2" s="1233">
        <f t="shared" si="0"/>
        <v>0</v>
      </c>
      <c r="S2" s="1233">
        <f>SUBTOTAL(9,B2:R2)</f>
        <v>264445080.15999997</v>
      </c>
    </row>
    <row r="3" spans="1:23" s="1231" customFormat="1" ht="10.199999999999999">
      <c r="A3" s="1231" t="s">
        <v>1388</v>
      </c>
      <c r="B3" s="1239">
        <v>94172341.829999998</v>
      </c>
      <c r="C3" s="1239"/>
      <c r="D3" s="1239"/>
      <c r="E3" s="1234"/>
      <c r="F3" s="1239"/>
      <c r="G3" s="1234">
        <v>18880</v>
      </c>
      <c r="H3" s="1234"/>
      <c r="I3" s="1234"/>
      <c r="J3" s="1234">
        <v>170252678.32999998</v>
      </c>
      <c r="K3" s="1234">
        <v>1180</v>
      </c>
      <c r="L3" s="1234"/>
      <c r="M3" s="1234"/>
      <c r="N3" s="1234"/>
      <c r="O3" s="1234"/>
      <c r="P3" s="1234"/>
      <c r="Q3" s="1234"/>
      <c r="R3" s="1234"/>
      <c r="S3" s="2036">
        <f t="shared" ref="S3:S51" si="1">SUBTOTAL(9,B3:R3)</f>
        <v>264445080.15999997</v>
      </c>
    </row>
    <row r="4" spans="1:23" s="1229" customFormat="1" ht="10.199999999999999">
      <c r="A4" s="1229" t="s">
        <v>1490</v>
      </c>
      <c r="B4" s="1238">
        <f>SUM(B5)</f>
        <v>21168315.640000001</v>
      </c>
      <c r="C4" s="1238">
        <f t="shared" ref="C4:O4" si="2">SUM(C5)</f>
        <v>239349.75</v>
      </c>
      <c r="D4" s="1238">
        <f t="shared" si="2"/>
        <v>0</v>
      </c>
      <c r="E4" s="1233">
        <f t="shared" si="2"/>
        <v>146320</v>
      </c>
      <c r="F4" s="1238">
        <f t="shared" si="2"/>
        <v>108350.26</v>
      </c>
      <c r="G4" s="1233">
        <f t="shared" si="2"/>
        <v>53100</v>
      </c>
      <c r="H4" s="1233">
        <f t="shared" si="2"/>
        <v>0</v>
      </c>
      <c r="I4" s="1233">
        <f t="shared" si="2"/>
        <v>0</v>
      </c>
      <c r="J4" s="1233">
        <f t="shared" si="2"/>
        <v>1595686.82</v>
      </c>
      <c r="K4" s="1233">
        <f t="shared" si="2"/>
        <v>87792</v>
      </c>
      <c r="L4" s="1233">
        <f t="shared" si="2"/>
        <v>312774.26</v>
      </c>
      <c r="M4" s="1233">
        <f t="shared" si="2"/>
        <v>0</v>
      </c>
      <c r="N4" s="1233">
        <f t="shared" si="2"/>
        <v>0</v>
      </c>
      <c r="O4" s="1233">
        <f t="shared" si="2"/>
        <v>0</v>
      </c>
      <c r="P4" s="1233">
        <f>SUM(P5)</f>
        <v>416685.22</v>
      </c>
      <c r="Q4" s="1233">
        <f>SUM(Q5)</f>
        <v>31433.410000000033</v>
      </c>
      <c r="R4" s="1233">
        <f>SUM(R5)</f>
        <v>0</v>
      </c>
      <c r="S4" s="1233">
        <f t="shared" si="1"/>
        <v>24159807.360000003</v>
      </c>
    </row>
    <row r="5" spans="1:23" s="1231" customFormat="1" ht="10.199999999999999">
      <c r="A5" s="1231" t="s">
        <v>1389</v>
      </c>
      <c r="B5" s="1239">
        <v>21168315.640000001</v>
      </c>
      <c r="C5" s="1242">
        <v>239349.75</v>
      </c>
      <c r="D5" s="1239"/>
      <c r="E5" s="1234">
        <v>146320</v>
      </c>
      <c r="F5" s="1239">
        <v>108350.26</v>
      </c>
      <c r="G5" s="1234">
        <v>53100</v>
      </c>
      <c r="H5" s="1234"/>
      <c r="I5" s="1234"/>
      <c r="J5" s="1234">
        <v>1595686.82</v>
      </c>
      <c r="K5" s="1234">
        <v>87792</v>
      </c>
      <c r="L5" s="1234">
        <v>312774.26</v>
      </c>
      <c r="M5" s="1234">
        <v>0</v>
      </c>
      <c r="N5" s="1234"/>
      <c r="O5" s="1234"/>
      <c r="P5" s="1234">
        <v>416685.22</v>
      </c>
      <c r="Q5" s="1234">
        <f>448118.63-P5</f>
        <v>31433.410000000033</v>
      </c>
      <c r="R5" s="1234"/>
      <c r="S5" s="2036">
        <f t="shared" si="1"/>
        <v>24159807.360000003</v>
      </c>
    </row>
    <row r="6" spans="1:23" s="1229" customFormat="1" ht="10.199999999999999">
      <c r="A6" s="1229" t="s">
        <v>1792</v>
      </c>
      <c r="B6" s="1238">
        <f>SUM(B7)</f>
        <v>9219083.5899999999</v>
      </c>
      <c r="C6" s="1238">
        <f t="shared" ref="C6:N6" si="3">SUM(C7)</f>
        <v>0</v>
      </c>
      <c r="D6" s="1238">
        <f t="shared" si="3"/>
        <v>0</v>
      </c>
      <c r="E6" s="1233">
        <f t="shared" si="3"/>
        <v>0</v>
      </c>
      <c r="F6" s="1238">
        <f t="shared" si="3"/>
        <v>353433.2</v>
      </c>
      <c r="G6" s="1233">
        <f t="shared" si="3"/>
        <v>93563.38</v>
      </c>
      <c r="H6" s="1233">
        <f t="shared" si="3"/>
        <v>806839.56</v>
      </c>
      <c r="I6" s="1233">
        <f t="shared" si="3"/>
        <v>3069742.21</v>
      </c>
      <c r="J6" s="1233">
        <f t="shared" si="3"/>
        <v>2900560.48</v>
      </c>
      <c r="K6" s="1233">
        <f t="shared" si="3"/>
        <v>342033.18</v>
      </c>
      <c r="L6" s="1233">
        <f t="shared" si="3"/>
        <v>201871.48</v>
      </c>
      <c r="M6" s="1233">
        <f t="shared" si="3"/>
        <v>1617336.11</v>
      </c>
      <c r="N6" s="1233">
        <f t="shared" si="3"/>
        <v>15407306.5</v>
      </c>
      <c r="O6" s="1233">
        <f>SUM(O7)</f>
        <v>222844.91</v>
      </c>
      <c r="P6" s="1233">
        <f>SUM(P7)</f>
        <v>2449569.83</v>
      </c>
      <c r="Q6" s="1233">
        <f>SUM(Q7)</f>
        <v>1833923.43</v>
      </c>
      <c r="R6" s="1233">
        <f>SUM(R7)</f>
        <v>2542502.3199999998</v>
      </c>
      <c r="S6" s="1233">
        <f t="shared" si="1"/>
        <v>41060610.179999992</v>
      </c>
      <c r="T6" s="1854">
        <f>SUM(N6:R6)-14900000</f>
        <v>7556146.9900000021</v>
      </c>
    </row>
    <row r="7" spans="1:23" s="1231" customFormat="1" ht="10.199999999999999">
      <c r="A7" s="1231" t="s">
        <v>1793</v>
      </c>
      <c r="B7" s="1239">
        <v>9219083.5899999999</v>
      </c>
      <c r="C7" s="1239"/>
      <c r="D7" s="1239"/>
      <c r="E7" s="1234"/>
      <c r="F7" s="1239">
        <v>353433.2</v>
      </c>
      <c r="G7" s="1234">
        <v>93563.38</v>
      </c>
      <c r="H7" s="1234">
        <v>806839.56</v>
      </c>
      <c r="I7" s="1234">
        <v>3069742.21</v>
      </c>
      <c r="J7" s="1234">
        <v>2900560.48</v>
      </c>
      <c r="K7" s="1234">
        <v>342033.18</v>
      </c>
      <c r="L7" s="1234">
        <v>201871.48</v>
      </c>
      <c r="M7" s="1234">
        <v>1617336.11</v>
      </c>
      <c r="N7" s="1234">
        <v>15407306.5</v>
      </c>
      <c r="O7" s="1234">
        <v>222844.91</v>
      </c>
      <c r="P7" s="1234">
        <v>2449569.83</v>
      </c>
      <c r="Q7" s="1234">
        <v>1833923.43</v>
      </c>
      <c r="R7" s="1234">
        <v>2542502.3199999998</v>
      </c>
      <c r="S7" s="2036">
        <f t="shared" si="1"/>
        <v>41060610.179999992</v>
      </c>
    </row>
    <row r="8" spans="1:23" s="1229" customFormat="1" ht="10.199999999999999">
      <c r="A8" s="1229" t="s">
        <v>1794</v>
      </c>
      <c r="B8" s="1238">
        <f>SUM(B9)</f>
        <v>0</v>
      </c>
      <c r="C8" s="1238">
        <f t="shared" ref="C8:N8" si="4">SUM(C9)</f>
        <v>0</v>
      </c>
      <c r="D8" s="1238">
        <f t="shared" si="4"/>
        <v>0</v>
      </c>
      <c r="E8" s="1233">
        <f t="shared" si="4"/>
        <v>0</v>
      </c>
      <c r="F8" s="1238">
        <f t="shared" si="4"/>
        <v>0</v>
      </c>
      <c r="G8" s="1233">
        <f t="shared" si="4"/>
        <v>0</v>
      </c>
      <c r="H8" s="1233">
        <f t="shared" si="4"/>
        <v>0</v>
      </c>
      <c r="I8" s="1233">
        <f t="shared" si="4"/>
        <v>0</v>
      </c>
      <c r="J8" s="1233">
        <f t="shared" si="4"/>
        <v>0</v>
      </c>
      <c r="K8" s="1233">
        <f t="shared" si="4"/>
        <v>0</v>
      </c>
      <c r="L8" s="1233">
        <f t="shared" si="4"/>
        <v>0</v>
      </c>
      <c r="M8" s="1233">
        <f t="shared" si="4"/>
        <v>0</v>
      </c>
      <c r="N8" s="1233">
        <f t="shared" si="4"/>
        <v>991237.18</v>
      </c>
      <c r="O8" s="1233">
        <f>SUM(O9)</f>
        <v>2132656.4500000002</v>
      </c>
      <c r="P8" s="1233">
        <f>SUM(P9)</f>
        <v>6421897.4300000006</v>
      </c>
      <c r="Q8" s="1233">
        <f>SUM(Q9)</f>
        <v>23667579.899999999</v>
      </c>
      <c r="R8" s="1233">
        <f>SUM(R9)</f>
        <v>17480917.149999999</v>
      </c>
      <c r="S8" s="1233">
        <f t="shared" si="1"/>
        <v>50694288.109999999</v>
      </c>
      <c r="T8" s="1854">
        <f>+R6+R8</f>
        <v>20023419.469999999</v>
      </c>
      <c r="W8" s="1854">
        <f>SUM(B6:M6)+14900000</f>
        <v>33504463.190000001</v>
      </c>
    </row>
    <row r="9" spans="1:23" s="1231" customFormat="1" ht="10.199999999999999">
      <c r="A9" s="1231" t="s">
        <v>1795</v>
      </c>
      <c r="B9" s="1239"/>
      <c r="C9" s="1239"/>
      <c r="D9" s="1239"/>
      <c r="E9" s="1234"/>
      <c r="F9" s="1239"/>
      <c r="G9" s="1234"/>
      <c r="H9" s="1234"/>
      <c r="I9" s="1234"/>
      <c r="J9" s="1234"/>
      <c r="K9" s="1234"/>
      <c r="L9" s="1234"/>
      <c r="M9" s="1234"/>
      <c r="N9" s="1234">
        <v>991237.18</v>
      </c>
      <c r="O9" s="1234">
        <v>2132656.4500000002</v>
      </c>
      <c r="P9" s="1234">
        <v>6421897.4300000006</v>
      </c>
      <c r="Q9" s="1234">
        <v>23667579.899999999</v>
      </c>
      <c r="R9" s="1234">
        <v>17480917.149999999</v>
      </c>
      <c r="S9" s="2036">
        <f t="shared" si="1"/>
        <v>50694288.109999999</v>
      </c>
    </row>
    <row r="10" spans="1:23" s="1229" customFormat="1" ht="10.199999999999999">
      <c r="A10" s="1229" t="s">
        <v>952</v>
      </c>
      <c r="B10" s="1238">
        <f>SUM(B11)</f>
        <v>1644662.03</v>
      </c>
      <c r="C10" s="1238">
        <f t="shared" ref="C10:N10" si="5">SUM(C11)</f>
        <v>1770000</v>
      </c>
      <c r="D10" s="1238">
        <f t="shared" si="5"/>
        <v>0</v>
      </c>
      <c r="E10" s="1233">
        <f t="shared" si="5"/>
        <v>885000</v>
      </c>
      <c r="F10" s="1238">
        <f t="shared" si="5"/>
        <v>2455806.54</v>
      </c>
      <c r="G10" s="1233">
        <f t="shared" si="5"/>
        <v>2360000</v>
      </c>
      <c r="H10" s="1233">
        <f t="shared" si="5"/>
        <v>2417857.34</v>
      </c>
      <c r="I10" s="1233">
        <f t="shared" si="5"/>
        <v>2664755.19</v>
      </c>
      <c r="J10" s="1233">
        <f t="shared" si="5"/>
        <v>2360000</v>
      </c>
      <c r="K10" s="1233">
        <f t="shared" si="5"/>
        <v>2360000</v>
      </c>
      <c r="L10" s="1233">
        <f t="shared" si="5"/>
        <v>2360000</v>
      </c>
      <c r="M10" s="1233">
        <f t="shared" si="5"/>
        <v>2783225.26</v>
      </c>
      <c r="N10" s="1233">
        <f t="shared" si="5"/>
        <v>1770000</v>
      </c>
      <c r="O10" s="1233">
        <f>SUM(O11)</f>
        <v>2360000</v>
      </c>
      <c r="P10" s="1233">
        <f>SUM(P11)</f>
        <v>2862845.21</v>
      </c>
      <c r="Q10" s="1233">
        <f>SUM(Q11)</f>
        <v>2228947.7200000002</v>
      </c>
      <c r="R10" s="1233">
        <f>SUM(R11)</f>
        <v>2347179.58</v>
      </c>
      <c r="S10" s="1233">
        <f t="shared" si="1"/>
        <v>35630278.869999997</v>
      </c>
      <c r="T10" s="1854">
        <f>+T6+S8</f>
        <v>58250435.100000001</v>
      </c>
    </row>
    <row r="11" spans="1:23" s="1231" customFormat="1" ht="10.199999999999999">
      <c r="A11" s="1231" t="s">
        <v>1796</v>
      </c>
      <c r="B11" s="1239">
        <v>1644662.03</v>
      </c>
      <c r="C11" s="1243">
        <v>1770000</v>
      </c>
      <c r="D11" s="1239"/>
      <c r="E11" s="1234">
        <v>885000</v>
      </c>
      <c r="F11" s="1239">
        <v>2455806.54</v>
      </c>
      <c r="G11" s="1234">
        <v>2360000</v>
      </c>
      <c r="H11" s="1234">
        <v>2417857.34</v>
      </c>
      <c r="I11" s="1234">
        <v>2664755.19</v>
      </c>
      <c r="J11" s="1234">
        <v>2360000</v>
      </c>
      <c r="K11" s="1234">
        <v>2360000</v>
      </c>
      <c r="L11" s="1234">
        <v>2360000</v>
      </c>
      <c r="M11" s="1234">
        <v>2783225.26</v>
      </c>
      <c r="N11" s="1234">
        <v>1770000</v>
      </c>
      <c r="O11" s="1234">
        <v>2360000</v>
      </c>
      <c r="P11" s="1234">
        <v>2862845.21</v>
      </c>
      <c r="Q11" s="1234">
        <v>2228947.7200000002</v>
      </c>
      <c r="R11" s="1234">
        <v>2347179.58</v>
      </c>
      <c r="S11" s="2036">
        <f t="shared" si="1"/>
        <v>35630278.869999997</v>
      </c>
    </row>
    <row r="12" spans="1:23" s="1229" customFormat="1" ht="10.199999999999999">
      <c r="A12" s="1229" t="s">
        <v>1797</v>
      </c>
      <c r="B12" s="1238">
        <f>SUM(B13:B19)</f>
        <v>0</v>
      </c>
      <c r="C12" s="1238">
        <f t="shared" ref="C12:Q12" si="6">SUM(C13:C19)</f>
        <v>0</v>
      </c>
      <c r="D12" s="1238">
        <f t="shared" si="6"/>
        <v>0</v>
      </c>
      <c r="E12" s="1233">
        <f t="shared" si="6"/>
        <v>0</v>
      </c>
      <c r="F12" s="1238">
        <f t="shared" si="6"/>
        <v>0</v>
      </c>
      <c r="G12" s="1233">
        <f t="shared" si="6"/>
        <v>0</v>
      </c>
      <c r="H12" s="1233">
        <f t="shared" si="6"/>
        <v>147108.53999999998</v>
      </c>
      <c r="I12" s="1233">
        <f t="shared" si="6"/>
        <v>92700.800000000003</v>
      </c>
      <c r="J12" s="1233">
        <f t="shared" si="6"/>
        <v>96854.399999999994</v>
      </c>
      <c r="K12" s="1233">
        <f t="shared" si="6"/>
        <v>90246.399999999994</v>
      </c>
      <c r="L12" s="1233">
        <f t="shared" si="6"/>
        <v>92700.800000000003</v>
      </c>
      <c r="M12" s="1233">
        <f t="shared" si="6"/>
        <v>332688.71000000002</v>
      </c>
      <c r="N12" s="1233">
        <f t="shared" si="6"/>
        <v>92700.800000000003</v>
      </c>
      <c r="O12" s="1233">
        <f t="shared" si="6"/>
        <v>102858.24000000001</v>
      </c>
      <c r="P12" s="1233">
        <f t="shared" si="6"/>
        <v>3036943.49</v>
      </c>
      <c r="Q12" s="1233">
        <f t="shared" si="6"/>
        <v>2022959.08</v>
      </c>
      <c r="R12" s="1233">
        <f t="shared" ref="R12" si="7">SUM(R13:R19)</f>
        <v>729930.47</v>
      </c>
      <c r="S12" s="1233">
        <f t="shared" si="1"/>
        <v>6837691.7299999995</v>
      </c>
    </row>
    <row r="13" spans="1:23" s="1231" customFormat="1" ht="10.199999999999999">
      <c r="A13" s="1231" t="s">
        <v>1798</v>
      </c>
      <c r="B13" s="1240"/>
      <c r="C13" s="1240"/>
      <c r="D13" s="1240"/>
      <c r="E13" s="1235"/>
      <c r="F13" s="1240"/>
      <c r="G13" s="1235"/>
      <c r="H13" s="1235"/>
      <c r="I13" s="1235"/>
      <c r="J13" s="1235"/>
      <c r="K13" s="1235"/>
      <c r="L13" s="1235"/>
      <c r="M13" s="1235"/>
      <c r="N13" s="1235"/>
      <c r="O13" s="1235"/>
      <c r="P13" s="1235">
        <v>104300</v>
      </c>
      <c r="Q13" s="1235">
        <v>52150</v>
      </c>
      <c r="R13" s="1235">
        <v>52150</v>
      </c>
      <c r="S13" s="2037">
        <f t="shared" si="1"/>
        <v>208600</v>
      </c>
    </row>
    <row r="14" spans="1:23" s="1231" customFormat="1" ht="10.199999999999999">
      <c r="A14" s="1231" t="s">
        <v>1799</v>
      </c>
      <c r="B14" s="1240"/>
      <c r="C14" s="1240"/>
      <c r="D14" s="1240"/>
      <c r="E14" s="1235"/>
      <c r="F14" s="1240"/>
      <c r="G14" s="1235"/>
      <c r="H14" s="1235"/>
      <c r="I14" s="1235"/>
      <c r="J14" s="1235"/>
      <c r="K14" s="1235"/>
      <c r="L14" s="1235"/>
      <c r="M14" s="1235">
        <v>191502.06</v>
      </c>
      <c r="N14" s="1235"/>
      <c r="O14" s="1235">
        <v>8080.64</v>
      </c>
      <c r="P14" s="1235">
        <v>207605.89</v>
      </c>
      <c r="Q14" s="1235">
        <v>54227.11</v>
      </c>
      <c r="R14" s="1235">
        <v>54302.87</v>
      </c>
      <c r="S14" s="2037">
        <f t="shared" si="1"/>
        <v>515718.57</v>
      </c>
    </row>
    <row r="15" spans="1:23" s="1231" customFormat="1" ht="10.199999999999999">
      <c r="A15" s="1231" t="s">
        <v>1800</v>
      </c>
      <c r="B15" s="1240"/>
      <c r="C15" s="1240"/>
      <c r="D15" s="1240"/>
      <c r="E15" s="1235"/>
      <c r="F15" s="1240"/>
      <c r="G15" s="1235"/>
      <c r="H15" s="1235"/>
      <c r="I15" s="1235"/>
      <c r="J15" s="1235"/>
      <c r="K15" s="1235"/>
      <c r="L15" s="1235"/>
      <c r="M15" s="1235">
        <v>52569</v>
      </c>
      <c r="N15" s="1235"/>
      <c r="O15" s="1235"/>
      <c r="P15" s="1235">
        <v>2029200</v>
      </c>
      <c r="Q15" s="1235">
        <v>427200</v>
      </c>
      <c r="R15" s="1235">
        <v>427200</v>
      </c>
      <c r="S15" s="2037">
        <f t="shared" si="1"/>
        <v>2936169</v>
      </c>
      <c r="T15" s="1870">
        <f>+S6+S8</f>
        <v>91754898.289999992</v>
      </c>
      <c r="U15" s="1870"/>
    </row>
    <row r="16" spans="1:23" s="1231" customFormat="1" ht="10.199999999999999">
      <c r="A16" s="1231" t="s">
        <v>1390</v>
      </c>
      <c r="B16" s="1240"/>
      <c r="C16" s="1240"/>
      <c r="D16" s="1240"/>
      <c r="E16" s="1235"/>
      <c r="F16" s="1240"/>
      <c r="G16" s="1235"/>
      <c r="H16" s="1235">
        <v>92323.199999999997</v>
      </c>
      <c r="I16" s="1235">
        <v>92700.800000000003</v>
      </c>
      <c r="J16" s="1235">
        <v>96854.399999999994</v>
      </c>
      <c r="K16" s="1235">
        <v>90246.399999999994</v>
      </c>
      <c r="L16" s="1235">
        <v>92700.800000000003</v>
      </c>
      <c r="M16" s="1235">
        <v>94400</v>
      </c>
      <c r="N16" s="1235">
        <v>92700.800000000003</v>
      </c>
      <c r="O16" s="1235">
        <v>94777.600000000006</v>
      </c>
      <c r="P16" s="1235">
        <v>85337.600000000006</v>
      </c>
      <c r="Q16" s="1235"/>
      <c r="R16" s="1235">
        <v>94777.600000000006</v>
      </c>
      <c r="S16" s="2037">
        <f t="shared" si="1"/>
        <v>926819.20000000007</v>
      </c>
      <c r="T16" s="1905">
        <v>87088717.569999993</v>
      </c>
    </row>
    <row r="17" spans="1:20" s="1231" customFormat="1" ht="10.199999999999999">
      <c r="A17" s="1231" t="s">
        <v>2190</v>
      </c>
      <c r="B17" s="1240"/>
      <c r="C17" s="1240"/>
      <c r="D17" s="1240"/>
      <c r="E17" s="1235"/>
      <c r="F17" s="1240"/>
      <c r="G17" s="1235"/>
      <c r="H17" s="1235"/>
      <c r="I17" s="1235"/>
      <c r="J17" s="1235"/>
      <c r="K17" s="1235"/>
      <c r="L17" s="1235"/>
      <c r="M17" s="1235"/>
      <c r="N17" s="1235"/>
      <c r="O17" s="1235"/>
      <c r="P17" s="1235"/>
      <c r="Q17" s="1235">
        <v>1387881.97</v>
      </c>
      <c r="R17" s="1235"/>
      <c r="S17" s="2037">
        <f t="shared" si="1"/>
        <v>1387881.97</v>
      </c>
      <c r="T17" s="2083">
        <f>+T15-T16</f>
        <v>4666180.7199999988</v>
      </c>
    </row>
    <row r="18" spans="1:20" s="1231" customFormat="1" ht="10.199999999999999">
      <c r="A18" s="1231" t="s">
        <v>1391</v>
      </c>
      <c r="B18" s="1240"/>
      <c r="C18" s="1240"/>
      <c r="D18" s="1240"/>
      <c r="E18" s="1235"/>
      <c r="F18" s="1240"/>
      <c r="G18" s="1235"/>
      <c r="H18" s="1235">
        <v>54785.34</v>
      </c>
      <c r="I18" s="1235"/>
      <c r="J18" s="1235"/>
      <c r="K18" s="1235"/>
      <c r="L18" s="1235"/>
      <c r="M18" s="1235">
        <v>-5782.35</v>
      </c>
      <c r="N18" s="1235"/>
      <c r="O18" s="1235"/>
      <c r="P18" s="1235">
        <v>610500</v>
      </c>
      <c r="Q18" s="1235">
        <v>101500</v>
      </c>
      <c r="R18" s="1235">
        <v>101500</v>
      </c>
      <c r="S18" s="2037">
        <f t="shared" si="1"/>
        <v>862502.99</v>
      </c>
    </row>
    <row r="19" spans="1:20" s="1231" customFormat="1" ht="10.199999999999999">
      <c r="A19" s="1231" t="s">
        <v>1802</v>
      </c>
      <c r="B19" s="1240"/>
      <c r="C19" s="1240"/>
      <c r="D19" s="1240"/>
      <c r="E19" s="1235"/>
      <c r="F19" s="1240"/>
      <c r="G19" s="1235"/>
      <c r="H19" s="1235"/>
      <c r="I19" s="1235"/>
      <c r="J19" s="1235"/>
      <c r="K19" s="1235"/>
      <c r="L19" s="1235"/>
      <c r="M19" s="1235"/>
      <c r="N19" s="1235"/>
      <c r="O19" s="1235"/>
      <c r="P19" s="1235"/>
      <c r="Q19" s="1235"/>
      <c r="R19" s="1235"/>
      <c r="S19" s="2037">
        <f t="shared" si="1"/>
        <v>0</v>
      </c>
    </row>
    <row r="20" spans="1:20" s="1229" customFormat="1" ht="10.199999999999999">
      <c r="A20" s="1229" t="s">
        <v>1803</v>
      </c>
      <c r="B20" s="1238">
        <f>SUM(B21)</f>
        <v>0</v>
      </c>
      <c r="C20" s="1238">
        <f t="shared" ref="C20:M20" si="8">SUM(C21)</f>
        <v>0</v>
      </c>
      <c r="D20" s="1238">
        <f t="shared" si="8"/>
        <v>0</v>
      </c>
      <c r="E20" s="1233">
        <f t="shared" si="8"/>
        <v>0</v>
      </c>
      <c r="F20" s="1238">
        <f t="shared" si="8"/>
        <v>0</v>
      </c>
      <c r="G20" s="1233">
        <f t="shared" si="8"/>
        <v>0</v>
      </c>
      <c r="H20" s="1233">
        <f t="shared" si="8"/>
        <v>0</v>
      </c>
      <c r="I20" s="1233">
        <f t="shared" si="8"/>
        <v>0</v>
      </c>
      <c r="J20" s="1233">
        <f t="shared" si="8"/>
        <v>0</v>
      </c>
      <c r="K20" s="1233">
        <f t="shared" si="8"/>
        <v>0</v>
      </c>
      <c r="L20" s="1233">
        <f t="shared" si="8"/>
        <v>0</v>
      </c>
      <c r="M20" s="1233">
        <f t="shared" si="8"/>
        <v>0</v>
      </c>
      <c r="N20" s="1233">
        <f>SUM(N21)</f>
        <v>0</v>
      </c>
      <c r="O20" s="1233">
        <f>SUM(O21)</f>
        <v>0</v>
      </c>
      <c r="P20" s="1233">
        <f>SUM(P21)</f>
        <v>0</v>
      </c>
      <c r="Q20" s="1233">
        <f>SUM(Q21)</f>
        <v>0</v>
      </c>
      <c r="R20" s="1233">
        <f>SUM(R21)</f>
        <v>0</v>
      </c>
      <c r="S20" s="1233">
        <f t="shared" si="1"/>
        <v>0</v>
      </c>
    </row>
    <row r="21" spans="1:20" s="1231" customFormat="1" ht="10.199999999999999">
      <c r="A21" s="1231" t="s">
        <v>1804</v>
      </c>
      <c r="B21" s="1239"/>
      <c r="C21" s="1239"/>
      <c r="D21" s="1239"/>
      <c r="E21" s="1234"/>
      <c r="F21" s="1239"/>
      <c r="G21" s="1234"/>
      <c r="H21" s="1234"/>
      <c r="I21" s="1234"/>
      <c r="J21" s="1234"/>
      <c r="K21" s="1234"/>
      <c r="L21" s="1234"/>
      <c r="M21" s="1234"/>
      <c r="N21" s="1234"/>
      <c r="O21" s="1234"/>
      <c r="P21" s="1234"/>
      <c r="Q21" s="1234"/>
      <c r="R21" s="1234"/>
      <c r="S21" s="2036">
        <f t="shared" si="1"/>
        <v>0</v>
      </c>
    </row>
    <row r="22" spans="1:20" s="1229" customFormat="1" ht="10.199999999999999">
      <c r="A22" s="1229" t="s">
        <v>1805</v>
      </c>
      <c r="B22" s="1238">
        <f>SUM(B23)</f>
        <v>0</v>
      </c>
      <c r="C22" s="1238">
        <f t="shared" ref="C22:R22" si="9">SUM(C23)</f>
        <v>0</v>
      </c>
      <c r="D22" s="1238">
        <f t="shared" si="9"/>
        <v>0</v>
      </c>
      <c r="E22" s="1233">
        <f t="shared" si="9"/>
        <v>0</v>
      </c>
      <c r="F22" s="1238">
        <f t="shared" si="9"/>
        <v>0</v>
      </c>
      <c r="G22" s="1233">
        <f t="shared" si="9"/>
        <v>0</v>
      </c>
      <c r="H22" s="1233">
        <f t="shared" si="9"/>
        <v>0</v>
      </c>
      <c r="I22" s="1233">
        <f t="shared" si="9"/>
        <v>0</v>
      </c>
      <c r="J22" s="1233">
        <f t="shared" si="9"/>
        <v>0</v>
      </c>
      <c r="K22" s="1233">
        <f t="shared" si="9"/>
        <v>0</v>
      </c>
      <c r="L22" s="1233">
        <f t="shared" si="9"/>
        <v>1013928.6</v>
      </c>
      <c r="M22" s="1233">
        <f t="shared" si="9"/>
        <v>506964.3</v>
      </c>
      <c r="N22" s="1233">
        <f t="shared" si="9"/>
        <v>506964.3</v>
      </c>
      <c r="O22" s="1233">
        <f t="shared" si="9"/>
        <v>506964.3</v>
      </c>
      <c r="P22" s="1233">
        <f t="shared" si="9"/>
        <v>506964.3</v>
      </c>
      <c r="Q22" s="1233">
        <f t="shared" si="9"/>
        <v>506964.3</v>
      </c>
      <c r="R22" s="1233">
        <f t="shared" si="9"/>
        <v>506964.3</v>
      </c>
      <c r="S22" s="1233">
        <f t="shared" si="1"/>
        <v>4055714.3999999994</v>
      </c>
    </row>
    <row r="23" spans="1:20" s="1231" customFormat="1" ht="10.199999999999999">
      <c r="A23" s="1231" t="s">
        <v>1806</v>
      </c>
      <c r="B23" s="1239"/>
      <c r="C23" s="1239"/>
      <c r="D23" s="1239"/>
      <c r="E23" s="1234"/>
      <c r="F23" s="1239"/>
      <c r="G23" s="1234"/>
      <c r="H23" s="1234"/>
      <c r="I23" s="1234"/>
      <c r="J23" s="1234"/>
      <c r="K23" s="1234"/>
      <c r="L23" s="1234">
        <v>1013928.6</v>
      </c>
      <c r="M23" s="1234">
        <v>506964.3</v>
      </c>
      <c r="N23" s="1234">
        <v>506964.3</v>
      </c>
      <c r="O23" s="1234">
        <v>506964.3</v>
      </c>
      <c r="P23" s="1234">
        <v>506964.3</v>
      </c>
      <c r="Q23" s="1234">
        <v>506964.3</v>
      </c>
      <c r="R23" s="1234">
        <v>506964.3</v>
      </c>
      <c r="S23" s="2036">
        <f t="shared" si="1"/>
        <v>4055714.3999999994</v>
      </c>
    </row>
    <row r="24" spans="1:20" s="1229" customFormat="1" ht="10.199999999999999">
      <c r="A24" s="1229" t="s">
        <v>1807</v>
      </c>
      <c r="B24" s="1238">
        <f>SUM(B25)</f>
        <v>161175.97</v>
      </c>
      <c r="C24" s="1238">
        <f t="shared" ref="C24:R24" si="10">SUM(C25)</f>
        <v>0</v>
      </c>
      <c r="D24" s="1238">
        <f t="shared" si="10"/>
        <v>0</v>
      </c>
      <c r="E24" s="1233">
        <f t="shared" si="10"/>
        <v>0</v>
      </c>
      <c r="F24" s="1238">
        <f t="shared" si="10"/>
        <v>1770000</v>
      </c>
      <c r="G24" s="1233">
        <f t="shared" si="10"/>
        <v>1770000</v>
      </c>
      <c r="H24" s="1233">
        <f t="shared" si="10"/>
        <v>1770000</v>
      </c>
      <c r="I24" s="1233">
        <f t="shared" si="10"/>
        <v>1770000</v>
      </c>
      <c r="J24" s="1233">
        <f t="shared" si="10"/>
        <v>1770000</v>
      </c>
      <c r="K24" s="1233">
        <f t="shared" si="10"/>
        <v>1770000</v>
      </c>
      <c r="L24" s="1233">
        <f t="shared" si="10"/>
        <v>1770000</v>
      </c>
      <c r="M24" s="1233">
        <f t="shared" si="10"/>
        <v>1770000</v>
      </c>
      <c r="N24" s="1233">
        <f t="shared" si="10"/>
        <v>1770000</v>
      </c>
      <c r="O24" s="1233">
        <f t="shared" si="10"/>
        <v>1770000</v>
      </c>
      <c r="P24" s="1233">
        <f t="shared" si="10"/>
        <v>1770000</v>
      </c>
      <c r="Q24" s="1233">
        <f t="shared" si="10"/>
        <v>1770000</v>
      </c>
      <c r="R24" s="1233">
        <f t="shared" si="10"/>
        <v>1833058.02</v>
      </c>
      <c r="S24" s="1233">
        <f t="shared" si="1"/>
        <v>23234233.989999998</v>
      </c>
    </row>
    <row r="25" spans="1:20" s="1231" customFormat="1" ht="10.199999999999999">
      <c r="A25" s="1231" t="s">
        <v>954</v>
      </c>
      <c r="B25" s="1239">
        <v>161175.97</v>
      </c>
      <c r="C25" s="1239"/>
      <c r="D25" s="1239"/>
      <c r="E25" s="1234"/>
      <c r="F25" s="1239">
        <v>1770000</v>
      </c>
      <c r="G25" s="1234">
        <v>1770000</v>
      </c>
      <c r="H25" s="1234">
        <v>1770000</v>
      </c>
      <c r="I25" s="1234">
        <v>1770000</v>
      </c>
      <c r="J25" s="1234">
        <v>1770000</v>
      </c>
      <c r="K25" s="1234">
        <v>1770000</v>
      </c>
      <c r="L25" s="1234">
        <v>1770000</v>
      </c>
      <c r="M25" s="1234">
        <v>1770000</v>
      </c>
      <c r="N25" s="1234">
        <v>1770000</v>
      </c>
      <c r="O25" s="1234">
        <v>1770000</v>
      </c>
      <c r="P25" s="1234">
        <v>1770000</v>
      </c>
      <c r="Q25" s="1234">
        <v>1770000</v>
      </c>
      <c r="R25" s="1234">
        <v>1833058.02</v>
      </c>
      <c r="S25" s="2036">
        <f t="shared" si="1"/>
        <v>23234233.989999998</v>
      </c>
    </row>
    <row r="26" spans="1:20" s="1229" customFormat="1" ht="10.199999999999999">
      <c r="A26" s="1229" t="s">
        <v>1808</v>
      </c>
      <c r="B26" s="1238">
        <f>SUM(B27:B30)</f>
        <v>559355.54</v>
      </c>
      <c r="C26" s="1238">
        <f t="shared" ref="C26:Q26" si="11">SUM(C27:C30)</f>
        <v>0</v>
      </c>
      <c r="D26" s="1238">
        <f t="shared" si="11"/>
        <v>645765.21</v>
      </c>
      <c r="E26" s="1233">
        <f t="shared" si="11"/>
        <v>595001.35</v>
      </c>
      <c r="F26" s="1238">
        <f t="shared" si="11"/>
        <v>1549872.47</v>
      </c>
      <c r="G26" s="1233">
        <f t="shared" si="11"/>
        <v>1423527.61</v>
      </c>
      <c r="H26" s="1233">
        <f t="shared" si="11"/>
        <v>1733909.84</v>
      </c>
      <c r="I26" s="1233">
        <f t="shared" si="11"/>
        <v>7890097.2200000007</v>
      </c>
      <c r="J26" s="1233">
        <f t="shared" si="11"/>
        <v>16166710.020000001</v>
      </c>
      <c r="K26" s="1233">
        <f t="shared" si="11"/>
        <v>11886550.289999999</v>
      </c>
      <c r="L26" s="1233">
        <f t="shared" si="11"/>
        <v>12659941.220000001</v>
      </c>
      <c r="M26" s="1233">
        <f t="shared" si="11"/>
        <v>15204797.51</v>
      </c>
      <c r="N26" s="1233">
        <f t="shared" si="11"/>
        <v>5620798.7199999997</v>
      </c>
      <c r="O26" s="1233">
        <f t="shared" si="11"/>
        <v>5330355.3599999994</v>
      </c>
      <c r="P26" s="1233">
        <f t="shared" si="11"/>
        <v>3557189.4699999997</v>
      </c>
      <c r="Q26" s="1233">
        <f t="shared" si="11"/>
        <v>9528645.1699999999</v>
      </c>
      <c r="R26" s="1233">
        <f t="shared" ref="R26" si="12">SUM(R27:R30)</f>
        <v>5807715.1600000001</v>
      </c>
      <c r="S26" s="1233">
        <f t="shared" si="1"/>
        <v>100160232.16</v>
      </c>
    </row>
    <row r="27" spans="1:20" s="1231" customFormat="1" ht="10.199999999999999">
      <c r="A27" s="1231" t="s">
        <v>1610</v>
      </c>
      <c r="B27" s="1645"/>
      <c r="C27" s="1645"/>
      <c r="D27" s="1645"/>
      <c r="E27" s="1626"/>
      <c r="F27" s="1645"/>
      <c r="G27" s="1626"/>
      <c r="H27" s="1626"/>
      <c r="I27" s="1626">
        <v>6290641.6900000004</v>
      </c>
      <c r="J27" s="1626">
        <v>14391880.130000001</v>
      </c>
      <c r="K27" s="1626">
        <v>9799035.4900000002</v>
      </c>
      <c r="L27" s="1626">
        <v>10674167.390000001</v>
      </c>
      <c r="M27" s="1626">
        <v>12853059.84</v>
      </c>
      <c r="N27" s="1626">
        <v>3433866.78</v>
      </c>
      <c r="O27" s="1626">
        <f>3349220.38-6120.38</f>
        <v>3343100</v>
      </c>
      <c r="P27" s="1626">
        <v>1786576.18</v>
      </c>
      <c r="Q27" s="1626">
        <v>7825189.7300000004</v>
      </c>
      <c r="R27" s="1626">
        <v>3904479.06</v>
      </c>
      <c r="S27" s="2038">
        <f t="shared" si="1"/>
        <v>74301996.290000007</v>
      </c>
    </row>
    <row r="28" spans="1:20" s="1231" customFormat="1" ht="10.199999999999999">
      <c r="A28" s="1231" t="s">
        <v>1279</v>
      </c>
      <c r="B28" s="1240"/>
      <c r="C28" s="1240"/>
      <c r="D28" s="1240"/>
      <c r="E28" s="1235"/>
      <c r="F28" s="1240">
        <v>767000</v>
      </c>
      <c r="G28" s="1235">
        <v>767000</v>
      </c>
      <c r="H28" s="1235">
        <v>767000</v>
      </c>
      <c r="I28" s="1235">
        <v>767000</v>
      </c>
      <c r="J28" s="1235">
        <v>767000</v>
      </c>
      <c r="K28" s="1235">
        <v>767000</v>
      </c>
      <c r="L28" s="1235">
        <v>767000</v>
      </c>
      <c r="M28" s="1235">
        <v>767000</v>
      </c>
      <c r="N28" s="1235">
        <v>767000</v>
      </c>
      <c r="O28" s="1235">
        <v>767000</v>
      </c>
      <c r="P28" s="1235">
        <v>767000</v>
      </c>
      <c r="Q28" s="1235">
        <v>783295.8</v>
      </c>
      <c r="R28" s="1235">
        <v>770819.66</v>
      </c>
      <c r="S28" s="2037">
        <f t="shared" si="1"/>
        <v>9991115.4600000009</v>
      </c>
    </row>
    <row r="29" spans="1:20" s="1231" customFormat="1" ht="10.199999999999999">
      <c r="A29" s="1231" t="s">
        <v>1280</v>
      </c>
      <c r="B29" s="1240">
        <v>559355.54</v>
      </c>
      <c r="C29" s="1240"/>
      <c r="D29" s="1240">
        <v>645765.21</v>
      </c>
      <c r="E29" s="1235">
        <v>595001.35</v>
      </c>
      <c r="F29" s="1240">
        <v>677173.63</v>
      </c>
      <c r="G29" s="1235">
        <v>620535.91</v>
      </c>
      <c r="H29" s="1235">
        <v>825710.8</v>
      </c>
      <c r="I29" s="1235">
        <v>832455.53</v>
      </c>
      <c r="J29" s="1235">
        <v>941719.5</v>
      </c>
      <c r="K29" s="1235">
        <v>1237302.53</v>
      </c>
      <c r="L29" s="1235">
        <v>1132936.8999999999</v>
      </c>
      <c r="M29" s="1235">
        <v>1276808.69</v>
      </c>
      <c r="N29" s="1235">
        <v>1311409.7</v>
      </c>
      <c r="O29" s="1235">
        <v>1120340.27</v>
      </c>
      <c r="P29" s="1235">
        <v>924788.11</v>
      </c>
      <c r="Q29" s="1235">
        <v>905264.29</v>
      </c>
      <c r="R29" s="1235">
        <v>1047302.9</v>
      </c>
      <c r="S29" s="2037">
        <f t="shared" si="1"/>
        <v>14653870.859999998</v>
      </c>
    </row>
    <row r="30" spans="1:20" s="1231" customFormat="1" ht="10.199999999999999">
      <c r="A30" s="1231" t="s">
        <v>1757</v>
      </c>
      <c r="B30" s="1240"/>
      <c r="C30" s="1240"/>
      <c r="D30" s="1240"/>
      <c r="E30" s="1235"/>
      <c r="F30" s="1240">
        <v>105698.84</v>
      </c>
      <c r="G30" s="1235">
        <v>35991.699999999997</v>
      </c>
      <c r="H30" s="1235">
        <v>141199.04000000001</v>
      </c>
      <c r="I30" s="1235"/>
      <c r="J30" s="1235">
        <v>66110.39</v>
      </c>
      <c r="K30" s="1235">
        <v>83212.27</v>
      </c>
      <c r="L30" s="1235">
        <v>85836.93</v>
      </c>
      <c r="M30" s="1235">
        <v>307928.98</v>
      </c>
      <c r="N30" s="1235">
        <v>108522.24000000001</v>
      </c>
      <c r="O30" s="1235">
        <v>99915.09</v>
      </c>
      <c r="P30" s="1235">
        <v>78825.179999999993</v>
      </c>
      <c r="Q30" s="1235">
        <v>14895.35</v>
      </c>
      <c r="R30" s="1235">
        <v>85113.539999999921</v>
      </c>
      <c r="S30" s="2037">
        <f t="shared" si="1"/>
        <v>1213249.5499999998</v>
      </c>
    </row>
    <row r="31" spans="1:20" s="1229" customFormat="1" ht="10.199999999999999">
      <c r="A31" s="1229" t="s">
        <v>1809</v>
      </c>
      <c r="B31" s="1238">
        <f>SUM(B32:B33)</f>
        <v>373034.61</v>
      </c>
      <c r="C31" s="1238">
        <f t="shared" ref="C31:Q31" si="13">SUM(C32:C33)</f>
        <v>43563.47</v>
      </c>
      <c r="D31" s="1238">
        <f t="shared" si="13"/>
        <v>36723.129999999997</v>
      </c>
      <c r="E31" s="1233">
        <f t="shared" si="13"/>
        <v>37034.89</v>
      </c>
      <c r="F31" s="1238">
        <f t="shared" si="13"/>
        <v>51335.37</v>
      </c>
      <c r="G31" s="1233">
        <f t="shared" si="13"/>
        <v>125971.53</v>
      </c>
      <c r="H31" s="1233">
        <f t="shared" si="13"/>
        <v>205035.01</v>
      </c>
      <c r="I31" s="1233">
        <f t="shared" si="13"/>
        <v>193826.15000000002</v>
      </c>
      <c r="J31" s="1233">
        <f t="shared" si="13"/>
        <v>228402.97999999998</v>
      </c>
      <c r="K31" s="1233">
        <f t="shared" si="13"/>
        <v>824240.61999999988</v>
      </c>
      <c r="L31" s="1233">
        <f t="shared" si="13"/>
        <v>143558.04999999999</v>
      </c>
      <c r="M31" s="1233">
        <f t="shared" si="13"/>
        <v>111569.53</v>
      </c>
      <c r="N31" s="1233">
        <f t="shared" si="13"/>
        <v>187644.31</v>
      </c>
      <c r="O31" s="1233">
        <f t="shared" si="13"/>
        <v>111272.45999999999</v>
      </c>
      <c r="P31" s="1233">
        <f t="shared" si="13"/>
        <v>1296067.68</v>
      </c>
      <c r="Q31" s="1233">
        <f t="shared" si="13"/>
        <v>578468.84</v>
      </c>
      <c r="R31" s="1233">
        <f t="shared" ref="R31" si="14">SUM(R32:R33)</f>
        <v>596002.47</v>
      </c>
      <c r="S31" s="1233">
        <f t="shared" si="1"/>
        <v>5143751.0999999987</v>
      </c>
    </row>
    <row r="32" spans="1:20" s="1231" customFormat="1" ht="10.199999999999999">
      <c r="A32" s="1231" t="s">
        <v>1281</v>
      </c>
      <c r="B32" s="1240">
        <v>344499.26</v>
      </c>
      <c r="C32" s="1243">
        <v>36279.57</v>
      </c>
      <c r="D32" s="1240">
        <v>36723.129999999997</v>
      </c>
      <c r="E32" s="1235">
        <v>37034.89</v>
      </c>
      <c r="F32" s="1240">
        <v>37423.760000000002</v>
      </c>
      <c r="G32" s="1235">
        <v>34807.29</v>
      </c>
      <c r="H32" s="1235">
        <v>35695</v>
      </c>
      <c r="I32" s="1235">
        <v>35546.730000000003</v>
      </c>
      <c r="J32" s="1235">
        <v>36234.199999999997</v>
      </c>
      <c r="K32" s="1235">
        <v>627694.68999999994</v>
      </c>
      <c r="L32" s="1235">
        <v>37152.89</v>
      </c>
      <c r="M32" s="1235">
        <v>37296.32</v>
      </c>
      <c r="N32" s="1235">
        <v>113391.16</v>
      </c>
      <c r="O32" s="1235">
        <v>37257.67</v>
      </c>
      <c r="P32" s="1235">
        <v>1216866.45</v>
      </c>
      <c r="Q32" s="1235">
        <v>486278.51</v>
      </c>
      <c r="R32" s="1235">
        <v>498144.27</v>
      </c>
      <c r="S32" s="2037">
        <f t="shared" si="1"/>
        <v>3688325.7899999996</v>
      </c>
    </row>
    <row r="33" spans="1:19" s="1231" customFormat="1" ht="10.199999999999999">
      <c r="A33" s="1231" t="s">
        <v>1282</v>
      </c>
      <c r="B33" s="1240">
        <v>28535.35</v>
      </c>
      <c r="C33" s="1243">
        <v>7283.9</v>
      </c>
      <c r="D33" s="1240"/>
      <c r="E33" s="1235"/>
      <c r="F33" s="1240">
        <v>13911.61</v>
      </c>
      <c r="G33" s="1235">
        <v>91164.24</v>
      </c>
      <c r="H33" s="1235">
        <v>169340.01</v>
      </c>
      <c r="I33" s="1235">
        <v>158279.42000000001</v>
      </c>
      <c r="J33" s="1235">
        <v>192168.78</v>
      </c>
      <c r="K33" s="1235">
        <v>196545.93</v>
      </c>
      <c r="L33" s="1235">
        <v>106405.16</v>
      </c>
      <c r="M33" s="1235">
        <v>74273.210000000006</v>
      </c>
      <c r="N33" s="1235">
        <v>74253.149999999994</v>
      </c>
      <c r="O33" s="1235">
        <v>74014.789999999994</v>
      </c>
      <c r="P33" s="1235">
        <v>79201.23</v>
      </c>
      <c r="Q33" s="1235">
        <v>92190.33</v>
      </c>
      <c r="R33" s="1235">
        <v>97858.2</v>
      </c>
      <c r="S33" s="2037">
        <f t="shared" si="1"/>
        <v>1455425.31</v>
      </c>
    </row>
    <row r="34" spans="1:19" s="1229" customFormat="1" ht="10.199999999999999">
      <c r="A34" s="1229" t="s">
        <v>854</v>
      </c>
      <c r="B34" s="1238">
        <f t="shared" ref="B34:Q34" si="15">SUM(B35:B42)</f>
        <v>9529685.3000000007</v>
      </c>
      <c r="C34" s="1238">
        <f t="shared" si="15"/>
        <v>915790.08000000007</v>
      </c>
      <c r="D34" s="1238">
        <f t="shared" si="15"/>
        <v>1931201.9</v>
      </c>
      <c r="E34" s="1238">
        <f t="shared" si="15"/>
        <v>1084802.17</v>
      </c>
      <c r="F34" s="1238">
        <f t="shared" si="15"/>
        <v>826552.34</v>
      </c>
      <c r="G34" s="1238">
        <f t="shared" si="15"/>
        <v>740040.2</v>
      </c>
      <c r="H34" s="1238">
        <f t="shared" si="15"/>
        <v>1412884.71</v>
      </c>
      <c r="I34" s="1238">
        <f t="shared" si="15"/>
        <v>3494146.35</v>
      </c>
      <c r="J34" s="1238">
        <f t="shared" si="15"/>
        <v>1721745.17</v>
      </c>
      <c r="K34" s="1238">
        <f t="shared" si="15"/>
        <v>551935.67999999993</v>
      </c>
      <c r="L34" s="1238">
        <f t="shared" si="15"/>
        <v>1245788.3799999999</v>
      </c>
      <c r="M34" s="1238">
        <f t="shared" si="15"/>
        <v>949800.34</v>
      </c>
      <c r="N34" s="1238">
        <f t="shared" si="15"/>
        <v>996281.21</v>
      </c>
      <c r="O34" s="1238">
        <f t="shared" si="15"/>
        <v>927133.48</v>
      </c>
      <c r="P34" s="1238">
        <f t="shared" si="15"/>
        <v>1013980.0700000001</v>
      </c>
      <c r="Q34" s="1238">
        <f t="shared" si="15"/>
        <v>1311923.6599999999</v>
      </c>
      <c r="R34" s="1238">
        <f t="shared" ref="R34" si="16">SUM(R35:R42)</f>
        <v>1372155.52</v>
      </c>
      <c r="S34" s="1238">
        <f t="shared" si="1"/>
        <v>30025846.559999999</v>
      </c>
    </row>
    <row r="35" spans="1:19" s="1231" customFormat="1" ht="10.199999999999999">
      <c r="A35" s="1231" t="s">
        <v>1283</v>
      </c>
      <c r="B35" s="1240">
        <v>4456434.6400000006</v>
      </c>
      <c r="C35" s="1243">
        <v>292040.78000000003</v>
      </c>
      <c r="D35" s="1240"/>
      <c r="E35" s="1235">
        <v>149662.62</v>
      </c>
      <c r="F35" s="1240">
        <v>167745.43</v>
      </c>
      <c r="G35" s="1235"/>
      <c r="H35" s="1235">
        <v>258175.66</v>
      </c>
      <c r="I35" s="1235"/>
      <c r="J35" s="1235"/>
      <c r="K35" s="1235"/>
      <c r="L35" s="1235"/>
      <c r="M35" s="1235">
        <v>-180453.94</v>
      </c>
      <c r="N35" s="1235"/>
      <c r="O35" s="1235"/>
      <c r="P35" s="1235"/>
      <c r="Q35" s="1235"/>
      <c r="R35" s="1235"/>
      <c r="S35" s="2037">
        <f t="shared" si="1"/>
        <v>5143605.1900000004</v>
      </c>
    </row>
    <row r="36" spans="1:19" s="1231" customFormat="1" ht="10.199999999999999">
      <c r="A36" s="1231" t="s">
        <v>2071</v>
      </c>
      <c r="B36" s="1240">
        <v>4481135.66</v>
      </c>
      <c r="C36" s="1240">
        <v>57400.509999999995</v>
      </c>
      <c r="D36" s="1240">
        <v>1795826.4</v>
      </c>
      <c r="E36" s="1235">
        <v>187959.76</v>
      </c>
      <c r="F36" s="1240">
        <v>188099.53</v>
      </c>
      <c r="G36" s="1235">
        <v>192037.45</v>
      </c>
      <c r="H36" s="1235">
        <v>179220.88999999998</v>
      </c>
      <c r="I36" s="1235">
        <v>2902845.21</v>
      </c>
      <c r="J36" s="1235">
        <v>1207725.21</v>
      </c>
      <c r="K36" s="1235">
        <v>52946.6</v>
      </c>
      <c r="L36" s="1235"/>
      <c r="M36" s="1235"/>
      <c r="N36" s="1235"/>
      <c r="O36" s="1235"/>
      <c r="P36" s="1235"/>
      <c r="Q36" s="1235"/>
      <c r="R36" s="1235"/>
      <c r="S36" s="2037">
        <f t="shared" si="1"/>
        <v>11245197.220000001</v>
      </c>
    </row>
    <row r="37" spans="1:19" s="1231" customFormat="1" ht="10.199999999999999">
      <c r="A37" s="1231" t="s">
        <v>2062</v>
      </c>
      <c r="B37" s="1240"/>
      <c r="C37" s="1243"/>
      <c r="D37" s="1240"/>
      <c r="E37" s="1235">
        <v>74992.789999999994</v>
      </c>
      <c r="F37" s="1240">
        <v>52091.040000000001</v>
      </c>
      <c r="G37" s="1235">
        <v>129162.79</v>
      </c>
      <c r="H37" s="1235">
        <v>186272.04</v>
      </c>
      <c r="I37" s="1235">
        <v>234473.14</v>
      </c>
      <c r="J37" s="1235">
        <v>259817.28</v>
      </c>
      <c r="K37" s="1235">
        <v>122677.4</v>
      </c>
      <c r="L37" s="1235">
        <v>196734.06</v>
      </c>
      <c r="M37" s="1235">
        <v>257568.44</v>
      </c>
      <c r="N37" s="1235">
        <v>176353.58</v>
      </c>
      <c r="O37" s="1235">
        <v>337884.2</v>
      </c>
      <c r="P37" s="1235">
        <v>114023.92</v>
      </c>
      <c r="Q37" s="1235">
        <v>472859.2</v>
      </c>
      <c r="R37" s="1235">
        <v>366567.64</v>
      </c>
      <c r="S37" s="2037">
        <f t="shared" si="1"/>
        <v>2981477.5200000005</v>
      </c>
    </row>
    <row r="38" spans="1:19" s="1231" customFormat="1" ht="10.199999999999999">
      <c r="A38" s="1231" t="s">
        <v>2191</v>
      </c>
      <c r="B38" s="1240">
        <v>0</v>
      </c>
      <c r="C38" s="1243">
        <v>435604.79000000004</v>
      </c>
      <c r="D38" s="1240">
        <v>0</v>
      </c>
      <c r="E38" s="1235">
        <v>147972</v>
      </c>
      <c r="F38" s="1240">
        <v>149742</v>
      </c>
      <c r="G38" s="1235">
        <v>142190</v>
      </c>
      <c r="H38" s="1235">
        <v>142190</v>
      </c>
      <c r="I38" s="1235">
        <v>144432</v>
      </c>
      <c r="J38" s="1235">
        <v>144698.68</v>
      </c>
      <c r="K38" s="1235">
        <v>245567.68</v>
      </c>
      <c r="L38" s="1235">
        <v>316570.40000000002</v>
      </c>
      <c r="M38" s="1626">
        <v>325416.5</v>
      </c>
      <c r="N38" s="1235">
        <v>322352.40000000002</v>
      </c>
      <c r="O38" s="1235">
        <f>318842.61-2601.29</f>
        <v>316241.32</v>
      </c>
      <c r="P38" s="1235">
        <v>245440</v>
      </c>
      <c r="Q38" s="1235">
        <v>384208</v>
      </c>
      <c r="R38" s="1235">
        <v>328204.02</v>
      </c>
      <c r="S38" s="2037">
        <f t="shared" si="1"/>
        <v>3790829.7899999996</v>
      </c>
    </row>
    <row r="39" spans="1:19" s="1231" customFormat="1" ht="10.199999999999999">
      <c r="A39" s="1231" t="s">
        <v>2073</v>
      </c>
      <c r="B39" s="1240">
        <v>559615</v>
      </c>
      <c r="C39" s="1240">
        <v>130744</v>
      </c>
      <c r="D39" s="1240">
        <v>130744</v>
      </c>
      <c r="E39" s="1235">
        <v>130744</v>
      </c>
      <c r="F39" s="1240">
        <v>130744</v>
      </c>
      <c r="G39" s="1235">
        <v>109504</v>
      </c>
      <c r="H39" s="1235">
        <v>109504</v>
      </c>
      <c r="I39" s="1235">
        <v>88264</v>
      </c>
      <c r="J39" s="1235">
        <v>109504</v>
      </c>
      <c r="K39" s="1235">
        <v>130744</v>
      </c>
      <c r="L39" s="1235">
        <v>70800</v>
      </c>
      <c r="M39" s="1626">
        <v>21240</v>
      </c>
      <c r="N39" s="1235">
        <v>278729.5</v>
      </c>
      <c r="O39" s="1235">
        <v>281966.5</v>
      </c>
      <c r="P39" s="1235">
        <v>146325.5</v>
      </c>
      <c r="Q39" s="1235">
        <v>190229.5</v>
      </c>
      <c r="R39" s="1235">
        <v>232709.5</v>
      </c>
      <c r="S39" s="2037">
        <f t="shared" si="1"/>
        <v>2852111.5</v>
      </c>
    </row>
    <row r="40" spans="1:19" s="1231" customFormat="1" ht="10.199999999999999">
      <c r="A40" s="1231" t="s">
        <v>2043</v>
      </c>
      <c r="B40" s="1240">
        <v>32500</v>
      </c>
      <c r="C40" s="1240"/>
      <c r="D40" s="1240">
        <v>4631.5</v>
      </c>
      <c r="E40" s="1235">
        <v>826</v>
      </c>
      <c r="F40" s="1240">
        <v>138130.34</v>
      </c>
      <c r="G40" s="1235">
        <v>167145.96000000002</v>
      </c>
      <c r="H40" s="1235">
        <v>537522.12</v>
      </c>
      <c r="I40" s="1235">
        <v>124132</v>
      </c>
      <c r="J40" s="1235"/>
      <c r="K40" s="1235"/>
      <c r="L40" s="1235">
        <v>216162.42</v>
      </c>
      <c r="M40" s="1626">
        <v>12555.41</v>
      </c>
      <c r="N40" s="1235">
        <v>208600</v>
      </c>
      <c r="O40" s="1235"/>
      <c r="P40" s="1235"/>
      <c r="Q40" s="1235"/>
      <c r="R40" s="1235">
        <v>335465.36</v>
      </c>
      <c r="S40" s="2037">
        <f t="shared" si="1"/>
        <v>1777671.1099999999</v>
      </c>
    </row>
    <row r="41" spans="1:19" s="1231" customFormat="1" ht="10.199999999999999">
      <c r="A41" s="1231" t="s">
        <v>2074</v>
      </c>
      <c r="B41" s="1240"/>
      <c r="C41" s="1240"/>
      <c r="D41" s="1240"/>
      <c r="E41" s="1235">
        <v>392645</v>
      </c>
      <c r="F41" s="1240"/>
      <c r="G41" s="1235"/>
      <c r="H41" s="1235"/>
      <c r="I41" s="1235"/>
      <c r="J41" s="1235"/>
      <c r="K41" s="1235"/>
      <c r="L41" s="1235">
        <v>445521.5</v>
      </c>
      <c r="M41" s="1235">
        <v>513473.93</v>
      </c>
      <c r="N41" s="1235">
        <v>10245.73</v>
      </c>
      <c r="O41" s="1235">
        <v>-8958.5400000000009</v>
      </c>
      <c r="P41" s="1235"/>
      <c r="Q41" s="1235">
        <v>395890</v>
      </c>
      <c r="R41" s="1235"/>
      <c r="S41" s="2037">
        <f t="shared" si="1"/>
        <v>1748817.6199999999</v>
      </c>
    </row>
    <row r="42" spans="1:19" s="1231" customFormat="1" ht="10.199999999999999">
      <c r="A42" s="1231" t="s">
        <v>2075</v>
      </c>
      <c r="B42" s="1240"/>
      <c r="C42" s="1240"/>
      <c r="D42" s="1240"/>
      <c r="E42" s="1235"/>
      <c r="F42" s="1240"/>
      <c r="G42" s="1235"/>
      <c r="H42" s="1235"/>
      <c r="I42" s="1235"/>
      <c r="J42" s="1235"/>
      <c r="K42" s="1235"/>
      <c r="L42" s="1235"/>
      <c r="M42" s="1235"/>
      <c r="N42" s="1235"/>
      <c r="O42" s="1235"/>
      <c r="P42" s="1235">
        <v>508190.65</v>
      </c>
      <c r="Q42" s="1235">
        <f>376927.61-P42</f>
        <v>-131263.04000000004</v>
      </c>
      <c r="R42" s="1235">
        <v>109209</v>
      </c>
      <c r="S42" s="2037">
        <f t="shared" si="1"/>
        <v>486136.61</v>
      </c>
    </row>
    <row r="43" spans="1:19" s="1229" customFormat="1" ht="10.199999999999999">
      <c r="A43" s="1229" t="s">
        <v>1811</v>
      </c>
      <c r="B43" s="1238">
        <f>SUM(B44:B45)</f>
        <v>0</v>
      </c>
      <c r="C43" s="1238">
        <f t="shared" ref="C43:Q43" si="17">SUM(C44:C45)</f>
        <v>0</v>
      </c>
      <c r="D43" s="1238">
        <f t="shared" si="17"/>
        <v>0</v>
      </c>
      <c r="E43" s="1233">
        <f t="shared" si="17"/>
        <v>0</v>
      </c>
      <c r="F43" s="1238">
        <f t="shared" si="17"/>
        <v>0</v>
      </c>
      <c r="G43" s="1233">
        <f t="shared" si="17"/>
        <v>0</v>
      </c>
      <c r="H43" s="1233">
        <f t="shared" si="17"/>
        <v>0</v>
      </c>
      <c r="I43" s="1233">
        <f t="shared" si="17"/>
        <v>0</v>
      </c>
      <c r="J43" s="1233">
        <f t="shared" si="17"/>
        <v>0</v>
      </c>
      <c r="K43" s="1233">
        <f t="shared" si="17"/>
        <v>0</v>
      </c>
      <c r="L43" s="1233">
        <f t="shared" si="17"/>
        <v>0</v>
      </c>
      <c r="M43" s="1233">
        <f t="shared" si="17"/>
        <v>0</v>
      </c>
      <c r="N43" s="1233">
        <f t="shared" si="17"/>
        <v>0</v>
      </c>
      <c r="O43" s="1233">
        <f t="shared" si="17"/>
        <v>0</v>
      </c>
      <c r="P43" s="1233">
        <f t="shared" si="17"/>
        <v>0</v>
      </c>
      <c r="Q43" s="1233">
        <f t="shared" si="17"/>
        <v>0</v>
      </c>
      <c r="R43" s="1233">
        <f t="shared" ref="R43" si="18">SUM(R44:R45)</f>
        <v>0</v>
      </c>
      <c r="S43" s="1233">
        <f t="shared" si="1"/>
        <v>0</v>
      </c>
    </row>
    <row r="44" spans="1:19" s="1231" customFormat="1" ht="10.199999999999999">
      <c r="A44" s="1231" t="s">
        <v>1812</v>
      </c>
      <c r="B44" s="1240"/>
      <c r="C44" s="1240"/>
      <c r="D44" s="1240"/>
      <c r="E44" s="1235"/>
      <c r="F44" s="1240"/>
      <c r="G44" s="1235"/>
      <c r="H44" s="1235"/>
      <c r="I44" s="1235"/>
      <c r="J44" s="1235"/>
      <c r="K44" s="1235"/>
      <c r="L44" s="1235"/>
      <c r="M44" s="1235"/>
      <c r="N44" s="1235"/>
      <c r="O44" s="1235"/>
      <c r="P44" s="1235"/>
      <c r="Q44" s="1235"/>
      <c r="R44" s="1235"/>
      <c r="S44" s="2037">
        <f t="shared" si="1"/>
        <v>0</v>
      </c>
    </row>
    <row r="45" spans="1:19" s="1231" customFormat="1" ht="10.199999999999999">
      <c r="A45" s="1231" t="s">
        <v>1813</v>
      </c>
      <c r="B45" s="1240"/>
      <c r="C45" s="1240"/>
      <c r="D45" s="1240"/>
      <c r="E45" s="1235"/>
      <c r="F45" s="1240"/>
      <c r="G45" s="1235"/>
      <c r="H45" s="1235"/>
      <c r="I45" s="1235"/>
      <c r="J45" s="1235"/>
      <c r="K45" s="1235"/>
      <c r="L45" s="1235"/>
      <c r="M45" s="1235"/>
      <c r="N45" s="1235"/>
      <c r="O45" s="1235"/>
      <c r="P45" s="1235"/>
      <c r="Q45" s="1235"/>
      <c r="R45" s="1235"/>
      <c r="S45" s="2037">
        <f t="shared" si="1"/>
        <v>0</v>
      </c>
    </row>
    <row r="46" spans="1:19" s="1229" customFormat="1" ht="10.199999999999999">
      <c r="A46" s="1229" t="s">
        <v>859</v>
      </c>
      <c r="B46" s="1238">
        <f>SUM(B47)</f>
        <v>12715384.379999999</v>
      </c>
      <c r="C46" s="1238">
        <f t="shared" ref="C46:R46" si="19">SUM(C47)</f>
        <v>0</v>
      </c>
      <c r="D46" s="1238">
        <f t="shared" si="19"/>
        <v>0</v>
      </c>
      <c r="E46" s="1233">
        <f t="shared" si="19"/>
        <v>128745.38</v>
      </c>
      <c r="F46" s="1238">
        <f t="shared" si="19"/>
        <v>552632.57999999996</v>
      </c>
      <c r="G46" s="1233">
        <f t="shared" si="19"/>
        <v>120006</v>
      </c>
      <c r="H46" s="1233">
        <f t="shared" si="19"/>
        <v>1543136</v>
      </c>
      <c r="I46" s="1233">
        <f t="shared" si="19"/>
        <v>300</v>
      </c>
      <c r="J46" s="1233">
        <f t="shared" si="19"/>
        <v>223322.53</v>
      </c>
      <c r="K46" s="1233">
        <f t="shared" si="19"/>
        <v>1594150.23</v>
      </c>
      <c r="L46" s="1233">
        <f t="shared" si="19"/>
        <v>842419.7</v>
      </c>
      <c r="M46" s="1233">
        <f t="shared" si="19"/>
        <v>339222.22</v>
      </c>
      <c r="N46" s="1233">
        <f t="shared" si="19"/>
        <v>2546180</v>
      </c>
      <c r="O46" s="1233">
        <f t="shared" si="19"/>
        <v>517341.31</v>
      </c>
      <c r="P46" s="1233">
        <f t="shared" si="19"/>
        <v>0</v>
      </c>
      <c r="Q46" s="1233">
        <f t="shared" si="19"/>
        <v>347884.07</v>
      </c>
      <c r="R46" s="1233">
        <f t="shared" si="19"/>
        <v>1367403.98</v>
      </c>
      <c r="S46" s="1233">
        <f t="shared" si="1"/>
        <v>22838128.379999995</v>
      </c>
    </row>
    <row r="47" spans="1:19" s="1231" customFormat="1" ht="10.199999999999999">
      <c r="A47" s="1231" t="s">
        <v>860</v>
      </c>
      <c r="B47" s="1239">
        <v>12715384.379999999</v>
      </c>
      <c r="C47" s="1239"/>
      <c r="D47" s="1239"/>
      <c r="E47" s="1234">
        <v>128745.38</v>
      </c>
      <c r="F47" s="1239">
        <v>552632.57999999996</v>
      </c>
      <c r="G47" s="1234">
        <v>120006</v>
      </c>
      <c r="H47" s="1234">
        <v>1543136</v>
      </c>
      <c r="I47" s="1234">
        <v>300</v>
      </c>
      <c r="J47" s="1234">
        <v>223322.53</v>
      </c>
      <c r="K47" s="1234">
        <f>1099066.83+495083.4</f>
        <v>1594150.23</v>
      </c>
      <c r="L47" s="1234">
        <v>842419.7</v>
      </c>
      <c r="M47" s="1234">
        <v>339222.22</v>
      </c>
      <c r="N47" s="1234">
        <v>2546180</v>
      </c>
      <c r="O47" s="1234">
        <v>517341.31</v>
      </c>
      <c r="P47" s="1234"/>
      <c r="Q47" s="1234">
        <f>201652.76+146231.31</f>
        <v>347884.07</v>
      </c>
      <c r="R47" s="1234">
        <v>1367403.98</v>
      </c>
      <c r="S47" s="2036">
        <f t="shared" si="1"/>
        <v>22838128.379999995</v>
      </c>
    </row>
    <row r="48" spans="1:19" s="1229" customFormat="1" ht="10.199999999999999">
      <c r="A48" s="1229" t="s">
        <v>1814</v>
      </c>
      <c r="B48" s="1238">
        <f>SUM(B49)</f>
        <v>0</v>
      </c>
      <c r="C48" s="1238">
        <f t="shared" ref="C48:R48" si="20">SUM(C49)</f>
        <v>0</v>
      </c>
      <c r="D48" s="1238">
        <f t="shared" si="20"/>
        <v>0</v>
      </c>
      <c r="E48" s="1233">
        <f t="shared" si="20"/>
        <v>0</v>
      </c>
      <c r="F48" s="1238">
        <f t="shared" si="20"/>
        <v>0</v>
      </c>
      <c r="G48" s="1233">
        <f t="shared" si="20"/>
        <v>0</v>
      </c>
      <c r="H48" s="1233">
        <f t="shared" si="20"/>
        <v>0</v>
      </c>
      <c r="I48" s="1233">
        <f t="shared" si="20"/>
        <v>0</v>
      </c>
      <c r="J48" s="1233">
        <f t="shared" si="20"/>
        <v>0</v>
      </c>
      <c r="K48" s="1233">
        <f t="shared" si="20"/>
        <v>0</v>
      </c>
      <c r="L48" s="1233">
        <f t="shared" si="20"/>
        <v>0</v>
      </c>
      <c r="M48" s="1233">
        <f t="shared" si="20"/>
        <v>0</v>
      </c>
      <c r="N48" s="1233">
        <f t="shared" si="20"/>
        <v>0</v>
      </c>
      <c r="O48" s="1233">
        <f t="shared" si="20"/>
        <v>0</v>
      </c>
      <c r="P48" s="1233">
        <f t="shared" si="20"/>
        <v>0</v>
      </c>
      <c r="Q48" s="1233">
        <f t="shared" si="20"/>
        <v>0</v>
      </c>
      <c r="R48" s="1233">
        <f t="shared" si="20"/>
        <v>0</v>
      </c>
      <c r="S48" s="1233">
        <f t="shared" si="1"/>
        <v>0</v>
      </c>
    </row>
    <row r="49" spans="1:20" s="1231" customFormat="1" ht="10.199999999999999">
      <c r="A49" s="1231" t="s">
        <v>1815</v>
      </c>
      <c r="B49" s="1239"/>
      <c r="C49" s="1239"/>
      <c r="D49" s="1239"/>
      <c r="E49" s="1234"/>
      <c r="F49" s="1239"/>
      <c r="G49" s="1234"/>
      <c r="H49" s="1234"/>
      <c r="I49" s="1234"/>
      <c r="J49" s="1234"/>
      <c r="K49" s="1234"/>
      <c r="L49" s="1234"/>
      <c r="M49" s="1234"/>
      <c r="N49" s="1234"/>
      <c r="O49" s="1234"/>
      <c r="P49" s="1234"/>
      <c r="Q49" s="1234"/>
      <c r="R49" s="1234"/>
      <c r="S49" s="2036">
        <f t="shared" si="1"/>
        <v>0</v>
      </c>
    </row>
    <row r="50" spans="1:20" s="1229" customFormat="1" ht="10.199999999999999">
      <c r="A50" s="1229" t="s">
        <v>1816</v>
      </c>
      <c r="B50" s="1238">
        <f>SUM(B51)</f>
        <v>0</v>
      </c>
      <c r="C50" s="1238">
        <f t="shared" ref="C50:R50" si="21">SUM(C51)</f>
        <v>0</v>
      </c>
      <c r="D50" s="1238">
        <f t="shared" si="21"/>
        <v>0</v>
      </c>
      <c r="E50" s="1233">
        <f t="shared" si="21"/>
        <v>0</v>
      </c>
      <c r="F50" s="1238">
        <f t="shared" si="21"/>
        <v>0</v>
      </c>
      <c r="G50" s="1233">
        <f t="shared" si="21"/>
        <v>0</v>
      </c>
      <c r="H50" s="1233">
        <f t="shared" si="21"/>
        <v>0</v>
      </c>
      <c r="I50" s="1233">
        <f t="shared" si="21"/>
        <v>0</v>
      </c>
      <c r="J50" s="1233">
        <f t="shared" si="21"/>
        <v>0</v>
      </c>
      <c r="K50" s="1233">
        <f t="shared" si="21"/>
        <v>0</v>
      </c>
      <c r="L50" s="1233">
        <f t="shared" si="21"/>
        <v>5900</v>
      </c>
      <c r="M50" s="1233">
        <f t="shared" si="21"/>
        <v>0</v>
      </c>
      <c r="N50" s="1233">
        <f t="shared" si="21"/>
        <v>4408448</v>
      </c>
      <c r="O50" s="1233">
        <f t="shared" si="21"/>
        <v>0</v>
      </c>
      <c r="P50" s="1233">
        <f t="shared" si="21"/>
        <v>0</v>
      </c>
      <c r="Q50" s="1233">
        <f t="shared" si="21"/>
        <v>8473629.6600000001</v>
      </c>
      <c r="R50" s="1233">
        <f t="shared" si="21"/>
        <v>-9722.2199999999993</v>
      </c>
      <c r="S50" s="1233">
        <f t="shared" si="1"/>
        <v>12878255.439999999</v>
      </c>
    </row>
    <row r="51" spans="1:20" s="1231" customFormat="1" ht="10.199999999999999">
      <c r="A51" s="1231" t="s">
        <v>1817</v>
      </c>
      <c r="B51" s="1239"/>
      <c r="C51" s="1239"/>
      <c r="D51" s="1239"/>
      <c r="E51" s="1234"/>
      <c r="F51" s="1239"/>
      <c r="G51" s="1234"/>
      <c r="H51" s="1234"/>
      <c r="I51" s="1234"/>
      <c r="J51" s="1234"/>
      <c r="K51" s="1234"/>
      <c r="L51" s="1234">
        <v>5900</v>
      </c>
      <c r="M51" s="1234"/>
      <c r="N51" s="1234">
        <v>4408448</v>
      </c>
      <c r="O51" s="1234"/>
      <c r="P51" s="1234"/>
      <c r="Q51" s="1234">
        <v>8473629.6600000001</v>
      </c>
      <c r="R51" s="1234">
        <f>15277.78-25000</f>
        <v>-9722.2199999999993</v>
      </c>
      <c r="S51" s="2036">
        <f t="shared" si="1"/>
        <v>12878255.439999999</v>
      </c>
    </row>
    <row r="52" spans="1:20" s="1245" customFormat="1" ht="13.8">
      <c r="A52" s="1245" t="s">
        <v>1818</v>
      </c>
      <c r="B52" s="1246">
        <f t="shared" ref="B52:M52" si="22">+B2+B4+B6+B8+B10+B12+B20+B22+B24+B26+B31+B34+B43+B46+B48+B50</f>
        <v>149543038.89000002</v>
      </c>
      <c r="C52" s="1246">
        <f t="shared" si="22"/>
        <v>2968703.3</v>
      </c>
      <c r="D52" s="1246">
        <f t="shared" si="22"/>
        <v>2613690.2399999998</v>
      </c>
      <c r="E52" s="1247">
        <f t="shared" si="22"/>
        <v>2876903.79</v>
      </c>
      <c r="F52" s="1246">
        <f t="shared" si="22"/>
        <v>7667982.7599999998</v>
      </c>
      <c r="G52" s="1247">
        <f t="shared" si="22"/>
        <v>6705088.7200000007</v>
      </c>
      <c r="H52" s="1247">
        <f t="shared" si="22"/>
        <v>10036771</v>
      </c>
      <c r="I52" s="1247">
        <f t="shared" si="22"/>
        <v>19175567.920000002</v>
      </c>
      <c r="J52" s="1247">
        <f t="shared" si="22"/>
        <v>197315960.72999996</v>
      </c>
      <c r="K52" s="1247">
        <f t="shared" si="22"/>
        <v>19508128.399999999</v>
      </c>
      <c r="L52" s="1247">
        <f t="shared" si="22"/>
        <v>20648882.489999998</v>
      </c>
      <c r="M52" s="1247">
        <f t="shared" si="22"/>
        <v>23615603.98</v>
      </c>
      <c r="N52" s="1247">
        <f>+N2+N4+N6+N8+N10+N12+N20+N22+N24+N26+N31+N34+N43+N46+N48+N50</f>
        <v>34297561.019999996</v>
      </c>
      <c r="O52" s="1247">
        <f>+O2+O4+O6+O8+O10+O12+O20+O22+O24+O26+O31+O34+O43+O46+O48+O50</f>
        <v>13981426.510000002</v>
      </c>
      <c r="P52" s="1247">
        <f>+P2+P4+P6+P8+P10+P12+P20+P22+P24+P26+P31+P34+P43+P46+P48+P50</f>
        <v>23332142.700000003</v>
      </c>
      <c r="Q52" s="1247">
        <f>+Q2+Q4+Q6+Q8+Q10+Q12+Q20+Q22+Q24+Q26+Q31+Q34+Q43+Q46+Q48+Q50</f>
        <v>52302359.239999995</v>
      </c>
      <c r="R52" s="1247">
        <f>+R2+R4+R6+R8+R10+R12+R20+R22+R24+R26+R31+R34+R43+R46+R48+R50</f>
        <v>34574106.749999993</v>
      </c>
      <c r="S52" s="1247">
        <f>SUBTOTAL(9,B52:R52)</f>
        <v>621163918.43999994</v>
      </c>
      <c r="T52" s="2040"/>
    </row>
    <row r="53" spans="1:20">
      <c r="S53" s="2039">
        <f>621164203.97-285.53</f>
        <v>621163918.44000006</v>
      </c>
    </row>
    <row r="54" spans="1:20">
      <c r="Q54" s="1236">
        <v>8448629.6600000001</v>
      </c>
      <c r="S54" s="2039">
        <f>+S52-S53</f>
        <v>0</v>
      </c>
    </row>
    <row r="55" spans="1:20">
      <c r="Q55" s="1236">
        <f>+Q51-Q54</f>
        <v>25000</v>
      </c>
    </row>
  </sheetData>
  <autoFilter ref="A1:S54" xr:uid="{E2A45053-F1C6-4266-8F20-3FD38BF97DEF}"/>
  <pageMargins left="0.7" right="0.7" top="0.75" bottom="0.75" header="0.3" footer="0.3"/>
  <pageSetup paperSize="9" orientation="portrait" r:id="rId1"/>
  <legacyDrawing r:id="rId2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B532F-BEED-4D9F-A133-355F8F59BEA4}">
  <sheetPr>
    <tabColor theme="5" tint="0.79998168889431442"/>
  </sheetPr>
  <dimension ref="A1:V50"/>
  <sheetViews>
    <sheetView showGridLines="0" topLeftCell="A2" zoomScale="110" zoomScaleNormal="110" workbookViewId="0">
      <pane xSplit="7" ySplit="3" topLeftCell="H14" activePane="bottomRight" state="frozen"/>
      <selection pane="topRight" activeCell="H2" sqref="H2"/>
      <selection pane="bottomLeft" activeCell="A5" sqref="A5"/>
      <selection pane="bottomRight" activeCell="R20" sqref="R20"/>
    </sheetView>
  </sheetViews>
  <sheetFormatPr baseColWidth="10" defaultColWidth="11.44140625" defaultRowHeight="14.4"/>
  <cols>
    <col min="1" max="1" width="3.6640625" customWidth="1"/>
    <col min="2" max="2" width="27.109375" customWidth="1"/>
    <col min="3" max="5" width="18" hidden="1" customWidth="1"/>
    <col min="6" max="6" width="14.6640625" style="841" hidden="1" customWidth="1"/>
    <col min="7" max="7" width="17.6640625" style="841" customWidth="1"/>
    <col min="8" max="8" width="13.33203125" customWidth="1"/>
    <col min="9" max="9" width="17.33203125" customWidth="1"/>
    <col min="10" max="10" width="13.6640625" customWidth="1"/>
    <col min="11" max="11" width="13.6640625" hidden="1" customWidth="1"/>
    <col min="12" max="12" width="13.33203125" hidden="1" customWidth="1"/>
    <col min="13" max="13" width="15" hidden="1" customWidth="1"/>
    <col min="14" max="14" width="15.6640625" hidden="1" customWidth="1"/>
    <col min="15" max="15" width="15.5546875" customWidth="1"/>
    <col min="16" max="16" width="7.6640625" style="14" bestFit="1" customWidth="1"/>
    <col min="17" max="17" width="15.88671875" customWidth="1"/>
    <col min="18" max="18" width="16.5546875" customWidth="1"/>
    <col min="19" max="19" width="16.109375" customWidth="1"/>
    <col min="20" max="20" width="18.5546875" customWidth="1"/>
    <col min="21" max="21" width="17" customWidth="1"/>
    <col min="22" max="24" width="15.44140625" bestFit="1" customWidth="1"/>
    <col min="25" max="25" width="14.44140625" bestFit="1" customWidth="1"/>
  </cols>
  <sheetData>
    <row r="1" spans="1:22" ht="21.6" customHeight="1">
      <c r="E1" s="370"/>
      <c r="H1" s="370"/>
      <c r="J1" s="370"/>
      <c r="K1" s="370"/>
      <c r="O1" s="732"/>
      <c r="S1" s="2109" t="s">
        <v>185</v>
      </c>
      <c r="T1" s="2109"/>
      <c r="U1" s="2109"/>
      <c r="V1" s="2109"/>
    </row>
    <row r="2" spans="1:22" ht="15" thickBot="1">
      <c r="E2" s="509"/>
      <c r="F2" s="840"/>
      <c r="G2" s="840"/>
      <c r="H2" s="509"/>
      <c r="I2" s="181" t="s">
        <v>197</v>
      </c>
      <c r="J2" s="1621"/>
      <c r="K2" s="2148" t="s">
        <v>1611</v>
      </c>
      <c r="L2" s="2148"/>
      <c r="M2" s="2148"/>
      <c r="N2" s="2148"/>
      <c r="O2" s="1111"/>
      <c r="P2" s="13"/>
      <c r="Q2" s="181" t="s">
        <v>199</v>
      </c>
      <c r="R2" s="181" t="s">
        <v>225</v>
      </c>
      <c r="S2" s="2109"/>
      <c r="T2" s="2109"/>
      <c r="U2" s="2109"/>
      <c r="V2" s="2109"/>
    </row>
    <row r="3" spans="1:22" ht="15.6" customHeight="1" thickBot="1">
      <c r="B3" s="1033" t="s">
        <v>1445</v>
      </c>
      <c r="C3" s="1034"/>
      <c r="D3" s="1035"/>
      <c r="E3" s="1035"/>
      <c r="F3" s="1036"/>
      <c r="G3" s="1036"/>
      <c r="H3" s="1565">
        <v>61</v>
      </c>
      <c r="I3" s="2142" t="s">
        <v>145</v>
      </c>
      <c r="J3" s="2142" t="s">
        <v>650</v>
      </c>
      <c r="K3" s="2146" t="s">
        <v>2080</v>
      </c>
      <c r="L3" s="2146" t="s">
        <v>1541</v>
      </c>
      <c r="M3" s="2146" t="s">
        <v>1613</v>
      </c>
      <c r="N3" s="2146" t="s">
        <v>652</v>
      </c>
      <c r="O3" s="2179" t="s">
        <v>227</v>
      </c>
      <c r="P3" s="2179" t="s">
        <v>2356</v>
      </c>
      <c r="Q3" s="2142" t="s">
        <v>2357</v>
      </c>
      <c r="R3" s="2142" t="s">
        <v>146</v>
      </c>
      <c r="S3" s="183"/>
      <c r="T3" s="183"/>
      <c r="U3" s="183"/>
      <c r="V3" s="183"/>
    </row>
    <row r="4" spans="1:22" ht="25.2" customHeight="1" thickBot="1">
      <c r="A4" s="152"/>
      <c r="B4" s="1038" t="s">
        <v>29</v>
      </c>
      <c r="C4" s="1039" t="s">
        <v>762</v>
      </c>
      <c r="D4" s="1038" t="s">
        <v>763</v>
      </c>
      <c r="E4" s="1110" t="s">
        <v>1446</v>
      </c>
      <c r="F4" s="1110" t="s">
        <v>1614</v>
      </c>
      <c r="G4" s="1038" t="s">
        <v>1614</v>
      </c>
      <c r="H4" s="1038" t="s">
        <v>31</v>
      </c>
      <c r="I4" s="2143"/>
      <c r="J4" s="2143"/>
      <c r="K4" s="2147"/>
      <c r="L4" s="2147"/>
      <c r="M4" s="2147"/>
      <c r="N4" s="2147"/>
      <c r="O4" s="2180"/>
      <c r="P4" s="2180"/>
      <c r="Q4" s="2181"/>
      <c r="R4" s="2143"/>
      <c r="S4" s="183"/>
      <c r="T4" s="183"/>
      <c r="U4" s="183"/>
      <c r="V4" s="183"/>
    </row>
    <row r="5" spans="1:22">
      <c r="A5">
        <v>1</v>
      </c>
      <c r="B5" s="335" t="s">
        <v>33</v>
      </c>
      <c r="C5" s="1025">
        <f>SUM('budget (11)'!D2:D3)</f>
        <v>103385169</v>
      </c>
      <c r="D5" s="1053">
        <v>103385169</v>
      </c>
      <c r="E5" s="1053">
        <f>+'ADI 462 julio 25 '!D18</f>
        <v>105180000</v>
      </c>
      <c r="F5" s="1054">
        <f>+'ADI 462 AGO25'!D18</f>
        <v>106933000</v>
      </c>
      <c r="G5" s="1054">
        <f>+'ADI 09-25'!C18</f>
        <v>106933000</v>
      </c>
      <c r="H5" s="1053">
        <f>G5/H3</f>
        <v>1753000</v>
      </c>
      <c r="I5" s="1055">
        <f>+'Proc. 04-26'!C$2</f>
        <v>264445080.16</v>
      </c>
      <c r="J5" s="1055">
        <f>+'Proc. 04-26'!D$2</f>
        <v>264445081.16</v>
      </c>
      <c r="K5" s="1055">
        <f>+'Flujo y Ejecución 10-25'!H14</f>
        <v>0</v>
      </c>
      <c r="L5" s="1055"/>
      <c r="M5" s="1055"/>
      <c r="N5" s="1055"/>
      <c r="O5" s="1055">
        <f t="shared" ref="O5:O11" si="0">+J5-L5-M5+N5</f>
        <v>264445081.16</v>
      </c>
      <c r="P5" s="1718">
        <f>+O5/O24</f>
        <v>0.43768964682249972</v>
      </c>
      <c r="Q5" s="1056">
        <f t="shared" ref="Q5:Q11" si="1">I5-O5</f>
        <v>-1</v>
      </c>
      <c r="R5" s="1056">
        <f t="shared" ref="R5:R11" si="2">+G5-I5</f>
        <v>-157512080.16</v>
      </c>
      <c r="S5" s="183"/>
      <c r="T5" s="183"/>
      <c r="U5" s="183"/>
      <c r="V5" s="183"/>
    </row>
    <row r="6" spans="1:22">
      <c r="B6" s="1044" t="s">
        <v>35</v>
      </c>
      <c r="C6" s="1017">
        <f>SUM('budget (11)'!D11:D24)</f>
        <v>451758999.99999994</v>
      </c>
      <c r="D6" s="1057">
        <v>451758999.99999994</v>
      </c>
      <c r="E6" s="1057">
        <f>+'ADI 462 julio 25 '!D19</f>
        <v>461429397</v>
      </c>
      <c r="F6" s="1058">
        <f>+'ADI 462 AGO25'!D19</f>
        <v>469173666.60000002</v>
      </c>
      <c r="G6" s="1058">
        <f>+'ADI 09-25'!C19</f>
        <v>469173666.60000002</v>
      </c>
      <c r="H6" s="1057">
        <f>G6/$H$3</f>
        <v>7691371.5836065579</v>
      </c>
      <c r="I6" s="1059">
        <f>+'Proc. 04-26'!C$4</f>
        <v>56213101.659999996</v>
      </c>
      <c r="J6" s="1059">
        <f>+'Proc. 04-26'!D$4</f>
        <v>41071110.189999998</v>
      </c>
      <c r="K6" s="1059"/>
      <c r="L6" s="1059"/>
      <c r="M6" s="1059">
        <f>+'CXP 04-26 RES'!H7</f>
        <v>1064528.18</v>
      </c>
      <c r="N6" s="1059"/>
      <c r="O6" s="1059">
        <f t="shared" si="0"/>
        <v>40006582.009999998</v>
      </c>
      <c r="P6" s="1717">
        <f>+O6/$O$12</f>
        <v>0.32826832363769154</v>
      </c>
      <c r="Q6" s="1060">
        <f t="shared" si="1"/>
        <v>16206519.649999999</v>
      </c>
      <c r="R6" s="1060">
        <f t="shared" si="2"/>
        <v>412960564.94000006</v>
      </c>
      <c r="S6" s="183"/>
      <c r="T6" s="184"/>
      <c r="U6" s="183"/>
      <c r="V6" s="183"/>
    </row>
    <row r="7" spans="1:22" ht="13.95" customHeight="1">
      <c r="B7" s="1044" t="s">
        <v>38</v>
      </c>
      <c r="C7" s="1020">
        <f>SUM('budget (11)'!D25:D39)</f>
        <v>1265953920</v>
      </c>
      <c r="D7" s="1057">
        <f>1447934796</f>
        <v>1447934796</v>
      </c>
      <c r="E7" s="1057">
        <f>+'ADI 462 julio 25 '!D22</f>
        <v>1521122757</v>
      </c>
      <c r="F7" s="1058">
        <f>+'ADI 462 AGO25'!D20</f>
        <v>1517166651</v>
      </c>
      <c r="G7" s="1058">
        <f>+'ADI 09-25'!C20</f>
        <v>1517166651</v>
      </c>
      <c r="H7" s="1057">
        <f t="shared" ref="H7:H11" si="3">G7/$H$3</f>
        <v>24871584.442622952</v>
      </c>
      <c r="I7" s="1061">
        <f>+'Proc. 04-26'!C$5</f>
        <v>137066624.18000001</v>
      </c>
      <c r="J7" s="1061">
        <f>+'Proc. 04-26'!D$5</f>
        <v>50736833.170000002</v>
      </c>
      <c r="K7" s="1061"/>
      <c r="L7" s="1061"/>
      <c r="M7" s="1061">
        <f>+'CXP 04-26 RES'!H8</f>
        <v>13791065.780000005</v>
      </c>
      <c r="N7" s="1061">
        <f>+'Anticipos 04-26'!D7</f>
        <v>91255.239999999991</v>
      </c>
      <c r="O7" s="1061">
        <f t="shared" si="0"/>
        <v>37037022.630000003</v>
      </c>
      <c r="P7" s="1717">
        <f t="shared" ref="P7:P10" si="4">+O7/$O$12</f>
        <v>0.30390202612765882</v>
      </c>
      <c r="Q7" s="1062">
        <f t="shared" si="1"/>
        <v>100029601.55000001</v>
      </c>
      <c r="R7" s="1062">
        <f t="shared" si="2"/>
        <v>1380100026.8199999</v>
      </c>
      <c r="S7" s="183"/>
      <c r="T7" s="184"/>
      <c r="U7" s="183"/>
      <c r="V7" s="183"/>
    </row>
    <row r="8" spans="1:22" ht="13.95" customHeight="1">
      <c r="B8" s="1044" t="s">
        <v>767</v>
      </c>
      <c r="C8" s="1020">
        <f>SUM('budget (11)'!D40:D41)</f>
        <v>171771292</v>
      </c>
      <c r="D8" s="1057">
        <v>189969380</v>
      </c>
      <c r="E8" s="1057">
        <f>+'ADI 462 julio 25 '!D23</f>
        <v>198255215.40000001</v>
      </c>
      <c r="F8" s="1058">
        <f>+'ADI 462 AGO25'!D21</f>
        <v>198634031.75999999</v>
      </c>
      <c r="G8" s="1058">
        <f>+'ADI 09-25'!C21</f>
        <v>234388157.47679996</v>
      </c>
      <c r="H8" s="1057">
        <f t="shared" si="3"/>
        <v>3842428.8110950813</v>
      </c>
      <c r="I8" s="1061">
        <f>+'Proc. 04-26'!C$6</f>
        <v>47077468.759999998</v>
      </c>
      <c r="J8" s="1061">
        <f>+'Proc. 04-26'!D$6</f>
        <v>35577230.969999999</v>
      </c>
      <c r="K8" s="1061"/>
      <c r="L8" s="1061"/>
      <c r="M8" s="1061"/>
      <c r="N8" s="1061"/>
      <c r="O8" s="1061">
        <f t="shared" si="0"/>
        <v>35577230.969999999</v>
      </c>
      <c r="P8" s="1717">
        <f t="shared" si="4"/>
        <v>0.29192391310193966</v>
      </c>
      <c r="Q8" s="1062">
        <f t="shared" si="1"/>
        <v>11500237.789999999</v>
      </c>
      <c r="R8" s="1062">
        <f t="shared" si="2"/>
        <v>187310688.71679997</v>
      </c>
      <c r="S8" s="183"/>
      <c r="T8" s="184"/>
      <c r="U8" s="183"/>
      <c r="V8" s="183"/>
    </row>
    <row r="9" spans="1:22" ht="13.95" customHeight="1">
      <c r="B9" s="1044" t="s">
        <v>1607</v>
      </c>
      <c r="C9" s="1114"/>
      <c r="D9" s="1057">
        <v>0</v>
      </c>
      <c r="E9" s="1057">
        <v>0</v>
      </c>
      <c r="F9" s="1058">
        <f>+'ADI 462 AGO25'!D22</f>
        <v>19863403.175999999</v>
      </c>
      <c r="G9" s="1058">
        <f>+'ADI 09-25'!C22</f>
        <v>19264643</v>
      </c>
      <c r="H9" s="1057">
        <f t="shared" si="3"/>
        <v>315813.81967213115</v>
      </c>
      <c r="I9" s="1061">
        <f>+'Proc. 04-26'!C$9</f>
        <v>8618393.0999999996</v>
      </c>
      <c r="J9" s="1061">
        <f>+'Proc. 04-26'!D$9</f>
        <v>4055714.4</v>
      </c>
      <c r="K9" s="1061"/>
      <c r="L9" s="1061"/>
      <c r="M9" s="1061">
        <f>+'CXP 04-26 RES'!H11</f>
        <v>506964.3</v>
      </c>
      <c r="N9" s="1061"/>
      <c r="O9" s="1061">
        <f t="shared" si="0"/>
        <v>3548750.1</v>
      </c>
      <c r="P9" s="1717">
        <f t="shared" si="4"/>
        <v>2.9118764658398025E-2</v>
      </c>
      <c r="Q9" s="1062">
        <f t="shared" si="1"/>
        <v>5069643</v>
      </c>
      <c r="R9" s="1062">
        <f t="shared" si="2"/>
        <v>10646249.9</v>
      </c>
      <c r="S9" s="183"/>
      <c r="T9" s="184"/>
      <c r="U9" s="183"/>
      <c r="V9" s="183"/>
    </row>
    <row r="10" spans="1:22">
      <c r="B10" s="1044" t="s">
        <v>40</v>
      </c>
      <c r="C10" s="1020">
        <f>SUM('budget (11)'!D42)</f>
        <v>34354258</v>
      </c>
      <c r="D10" s="1057">
        <v>37993876</v>
      </c>
      <c r="E10" s="1057">
        <f>+'ADI 462 julio 25 '!D24/2</f>
        <v>39651043.079999998</v>
      </c>
      <c r="F10" s="1058">
        <f>+'ADI 462 AGO25'!D23</f>
        <v>47672167.622400001</v>
      </c>
      <c r="G10" s="1058">
        <f>+'ADI 09-25'!C23</f>
        <v>47672167.622400001</v>
      </c>
      <c r="H10" s="1057">
        <f t="shared" si="3"/>
        <v>781510.94462950819</v>
      </c>
      <c r="I10" s="1061">
        <f>+'Proc. 04-26'!C$7</f>
        <v>26336863.059999999</v>
      </c>
      <c r="J10" s="1061">
        <f>+'Proc. 04-26'!D$7</f>
        <v>6837691.7300000004</v>
      </c>
      <c r="K10" s="1061"/>
      <c r="L10" s="1061"/>
      <c r="M10" s="1061">
        <f>+'CXP 04-26 RES'!H9+'CXP 04-26 RES'!H10</f>
        <v>1135689.08</v>
      </c>
      <c r="N10" s="1061"/>
      <c r="O10" s="1061">
        <f t="shared" si="0"/>
        <v>5702002.6500000004</v>
      </c>
      <c r="P10" s="1717">
        <f t="shared" si="4"/>
        <v>4.6786972474311982E-2</v>
      </c>
      <c r="Q10" s="1062">
        <f t="shared" si="1"/>
        <v>20634860.409999996</v>
      </c>
      <c r="R10" s="1062">
        <f t="shared" si="2"/>
        <v>21335304.562400002</v>
      </c>
      <c r="S10" s="183"/>
      <c r="T10" s="184"/>
      <c r="U10" s="183"/>
      <c r="V10" s="183"/>
    </row>
    <row r="11" spans="1:22">
      <c r="B11" s="1044" t="s">
        <v>764</v>
      </c>
      <c r="C11" s="1020">
        <v>0</v>
      </c>
      <c r="D11" s="1057">
        <v>37993876</v>
      </c>
      <c r="E11" s="1057">
        <f>+'ADI 462 julio 25 '!D24/2</f>
        <v>39651043.079999998</v>
      </c>
      <c r="F11" s="1058">
        <f>+'ADI 462 AGO25'!D24</f>
        <v>39726806.351999998</v>
      </c>
      <c r="G11" s="1058">
        <f>+'ADI 09-25'!C24</f>
        <v>39726806.351999998</v>
      </c>
      <c r="H11" s="1057">
        <f t="shared" si="3"/>
        <v>651259.12052459014</v>
      </c>
      <c r="I11" s="1061">
        <f>+'Proc. 04-26'!C$8</f>
        <v>0</v>
      </c>
      <c r="J11" s="1061">
        <f>+'Proc. 04-26'!D$8</f>
        <v>0</v>
      </c>
      <c r="K11" s="1061"/>
      <c r="L11" s="1061"/>
      <c r="M11" s="1061"/>
      <c r="N11" s="1061"/>
      <c r="O11" s="1061">
        <f t="shared" si="0"/>
        <v>0</v>
      </c>
      <c r="P11" s="1719"/>
      <c r="Q11" s="1062">
        <f t="shared" si="1"/>
        <v>0</v>
      </c>
      <c r="R11" s="1062">
        <f t="shared" si="2"/>
        <v>39726806.351999998</v>
      </c>
      <c r="S11" s="183"/>
      <c r="T11" s="184"/>
      <c r="U11" s="183"/>
      <c r="V11" s="183"/>
    </row>
    <row r="12" spans="1:22">
      <c r="B12" s="254" t="s">
        <v>41</v>
      </c>
      <c r="C12" s="665">
        <f>SUM(C6:C10)</f>
        <v>1923838470</v>
      </c>
      <c r="D12" s="1063">
        <f t="shared" ref="D12:R12" si="5">SUM(D6:D11)</f>
        <v>2165650928</v>
      </c>
      <c r="E12" s="1063">
        <f t="shared" si="5"/>
        <v>2260109455.5599999</v>
      </c>
      <c r="F12" s="1063">
        <f t="shared" si="5"/>
        <v>2292236726.5103998</v>
      </c>
      <c r="G12" s="1063">
        <f t="shared" si="5"/>
        <v>2327392092.0511999</v>
      </c>
      <c r="H12" s="1063">
        <f t="shared" si="5"/>
        <v>38153968.722150818</v>
      </c>
      <c r="I12" s="1064">
        <f t="shared" si="5"/>
        <v>275312450.75999999</v>
      </c>
      <c r="J12" s="1064">
        <f t="shared" si="5"/>
        <v>138278580.46000001</v>
      </c>
      <c r="K12" s="1064">
        <f t="shared" si="5"/>
        <v>0</v>
      </c>
      <c r="L12" s="1064">
        <f t="shared" si="5"/>
        <v>0</v>
      </c>
      <c r="M12" s="1064">
        <f>SUM(M6:M11)</f>
        <v>16498247.340000005</v>
      </c>
      <c r="N12" s="1064">
        <f t="shared" si="5"/>
        <v>91255.239999999991</v>
      </c>
      <c r="O12" s="1064">
        <f t="shared" si="5"/>
        <v>121871588.36</v>
      </c>
      <c r="P12" s="1720">
        <f>+O12/O24</f>
        <v>0.20171270432786548</v>
      </c>
      <c r="Q12" s="1714">
        <f t="shared" si="5"/>
        <v>153440862.40000001</v>
      </c>
      <c r="R12" s="1064">
        <f t="shared" si="5"/>
        <v>2052079641.2912002</v>
      </c>
      <c r="S12" s="183"/>
      <c r="T12" s="184"/>
      <c r="U12" s="183"/>
      <c r="V12" s="183"/>
    </row>
    <row r="13" spans="1:22">
      <c r="B13" s="1044" t="s">
        <v>42</v>
      </c>
      <c r="C13" s="1023">
        <f>SUM('budget (11)'!D43)</f>
        <v>137417034</v>
      </c>
      <c r="D13" s="1065">
        <v>151975504</v>
      </c>
      <c r="E13" s="1057">
        <f>+'ADI 462 julio 25 '!D26</f>
        <v>158604172.31999999</v>
      </c>
      <c r="F13" s="1058">
        <f>+'ADI 462 AGO25'!D26</f>
        <v>158907225.40799999</v>
      </c>
      <c r="G13" s="1058">
        <f>+'ADI 09-25'!C26</f>
        <v>187510525.98143998</v>
      </c>
      <c r="H13" s="1057">
        <f>G13/$H$3</f>
        <v>3073943.0488760653</v>
      </c>
      <c r="I13" s="1066">
        <f>+'Proc. 04-26'!C$11</f>
        <v>39101175.969999999</v>
      </c>
      <c r="J13" s="1066">
        <f>+'Proc. 04-26'!D$11</f>
        <v>23234233.989999998</v>
      </c>
      <c r="K13" s="1066"/>
      <c r="L13" s="1066"/>
      <c r="M13" s="1066"/>
      <c r="N13" s="1066"/>
      <c r="O13" s="1066">
        <f>+J13-L13-M13+N13</f>
        <v>23234233.989999998</v>
      </c>
      <c r="P13" s="1717">
        <f>+O13/$O$18</f>
        <v>0.14876908871255884</v>
      </c>
      <c r="Q13" s="1715">
        <f>I13-O13</f>
        <v>15866941.98</v>
      </c>
      <c r="R13" s="1066">
        <f>+G13-I13</f>
        <v>148409350.01143998</v>
      </c>
      <c r="S13" s="183"/>
      <c r="T13" s="184"/>
      <c r="U13" s="183"/>
      <c r="V13" s="183"/>
    </row>
    <row r="14" spans="1:22">
      <c r="B14" s="1044" t="s">
        <v>43</v>
      </c>
      <c r="C14" s="1023">
        <f>SUM('budget (11)'!D45:D46)</f>
        <v>281704919</v>
      </c>
      <c r="D14" s="1065">
        <v>308130334</v>
      </c>
      <c r="E14" s="1065">
        <f>+'ADI 462 julio 25 '!D27</f>
        <v>356859387.71999997</v>
      </c>
      <c r="F14" s="1067">
        <f>+'ADI 462 AGO25'!D27</f>
        <v>365486618.43839997</v>
      </c>
      <c r="G14" s="1067">
        <f>+'ADI 09-25'!C27</f>
        <v>327746152.40399998</v>
      </c>
      <c r="H14" s="1057">
        <f>G14/$H$3</f>
        <v>5372887.7443278683</v>
      </c>
      <c r="I14" s="1066">
        <f>+'Proc. 04-26'!C$12</f>
        <v>122048063.45999999</v>
      </c>
      <c r="J14" s="1066">
        <f>+'Proc. 04-26'!D$12</f>
        <v>100161803.56999999</v>
      </c>
      <c r="K14" s="1066"/>
      <c r="L14" s="1066"/>
      <c r="M14" s="1066">
        <f>+'CXP 04-26 RES'!H12+'CXP 04-26 RES'!H13</f>
        <v>1932846.48</v>
      </c>
      <c r="N14" s="1066"/>
      <c r="O14" s="1066">
        <f>+J14-L14-M14+N14</f>
        <v>98228957.089999989</v>
      </c>
      <c r="P14" s="1717">
        <f t="shared" ref="P14:P16" si="6">+O14/$O$18</f>
        <v>0.62896123185098141</v>
      </c>
      <c r="Q14" s="1715">
        <f>I14-O14</f>
        <v>23819106.370000005</v>
      </c>
      <c r="R14" s="1066">
        <f>+G14-I14</f>
        <v>205698088.94400001</v>
      </c>
      <c r="S14" s="183"/>
      <c r="T14" s="184"/>
      <c r="U14" s="183"/>
      <c r="V14" s="183"/>
    </row>
    <row r="15" spans="1:22">
      <c r="B15" s="1044" t="s">
        <v>44</v>
      </c>
      <c r="C15" s="1023">
        <f>SUM('budget (11)'!D47)</f>
        <v>67334346</v>
      </c>
      <c r="D15" s="1065">
        <v>75797782</v>
      </c>
      <c r="E15" s="1065">
        <f>+'ADI 462 julio 25 '!D28</f>
        <v>79103830.944600001</v>
      </c>
      <c r="F15" s="1067">
        <f>+'ADI 462 AGO25'!D28</f>
        <v>80228285.427864</v>
      </c>
      <c r="G15" s="1067">
        <f>+'ADI 09-25'!C28</f>
        <v>81458723.221791998</v>
      </c>
      <c r="H15" s="1057">
        <f>G15/$H$3</f>
        <v>1335388.9052752787</v>
      </c>
      <c r="I15" s="1066">
        <f>+'Proc. 04-26'!C$13</f>
        <v>21447732.739999998</v>
      </c>
      <c r="J15" s="1066">
        <f>+'Proc. 04-26'!D$13</f>
        <v>5143751.0999999996</v>
      </c>
      <c r="K15" s="1066"/>
      <c r="L15" s="1066"/>
      <c r="M15" s="1066"/>
      <c r="N15" s="1066"/>
      <c r="O15" s="1066">
        <f>+J15-L15-M15+N15</f>
        <v>5143751.0999999996</v>
      </c>
      <c r="P15" s="1717">
        <f t="shared" si="6"/>
        <v>3.2935502157746072E-2</v>
      </c>
      <c r="Q15" s="1715">
        <f>I15-O15</f>
        <v>16303981.639999999</v>
      </c>
      <c r="R15" s="1066">
        <f>+G15-I15</f>
        <v>60010990.481792003</v>
      </c>
      <c r="S15" s="183"/>
      <c r="T15" s="184"/>
      <c r="U15" s="183"/>
      <c r="V15" s="183"/>
    </row>
    <row r="16" spans="1:22">
      <c r="A16">
        <v>1</v>
      </c>
      <c r="B16" s="1044" t="s">
        <v>45</v>
      </c>
      <c r="C16" s="1023">
        <f>SUM('budget (11)'!D48:D49)</f>
        <v>51531387.949999996</v>
      </c>
      <c r="D16" s="1065">
        <v>56990814</v>
      </c>
      <c r="E16" s="1065">
        <f>+'ADI 462 julio 25 '!D29</f>
        <v>59476564.619999997</v>
      </c>
      <c r="F16" s="1067">
        <f>+'ADI 462 AGO25'!D29</f>
        <v>69521911.115999997</v>
      </c>
      <c r="G16" s="1067">
        <f>+'ADI 09-25'!C29</f>
        <v>69521911.115999997</v>
      </c>
      <c r="H16" s="1057">
        <f>G16/$H$3</f>
        <v>1139703.4609180328</v>
      </c>
      <c r="I16" s="1066">
        <f>+'Proc. 04-26'!C$14</f>
        <v>32305916.890000001</v>
      </c>
      <c r="J16" s="1066">
        <f>+'Proc. 04-26'!D$14</f>
        <v>30024185.109999999</v>
      </c>
      <c r="K16" s="1066"/>
      <c r="L16" s="1066">
        <f>+'CXP MMHB 04-26'!E8</f>
        <v>826</v>
      </c>
      <c r="M16" s="1066">
        <f>SUM('CXP 04-26 RES'!H14:H17)</f>
        <v>453812</v>
      </c>
      <c r="N16" s="1066"/>
      <c r="O16" s="1066">
        <f>+J16-L16-M16+N16</f>
        <v>29569547.109999999</v>
      </c>
      <c r="P16" s="1717">
        <f t="shared" si="6"/>
        <v>0.18933417727871379</v>
      </c>
      <c r="Q16" s="1715">
        <f>I16-O16</f>
        <v>2736369.7800000012</v>
      </c>
      <c r="R16" s="1066">
        <f>+G16-I16</f>
        <v>37215994.225999996</v>
      </c>
      <c r="S16" s="183"/>
      <c r="T16" s="184"/>
      <c r="U16" s="183"/>
      <c r="V16" s="183"/>
    </row>
    <row r="17" spans="2:22">
      <c r="B17" s="1044" t="s">
        <v>46</v>
      </c>
      <c r="C17" s="1023">
        <f>SUM('budget (11)'!D50)</f>
        <v>19238385</v>
      </c>
      <c r="D17" s="1065">
        <v>21656506</v>
      </c>
      <c r="E17" s="1065">
        <f>+'ADI 462 julio 25 '!D30</f>
        <v>19825521.539999999</v>
      </c>
      <c r="F17" s="1067">
        <f>+'ADI 462 AGO25'!D30</f>
        <v>19863403.175999999</v>
      </c>
      <c r="G17" s="1067">
        <f>+'ADI 09-25'!C30</f>
        <v>19863403.175999999</v>
      </c>
      <c r="H17" s="1057">
        <f>G17/$H$3</f>
        <v>325629.56026229507</v>
      </c>
      <c r="I17" s="1066"/>
      <c r="J17" s="1066"/>
      <c r="K17" s="1066"/>
      <c r="L17" s="1066"/>
      <c r="M17" s="1066"/>
      <c r="N17" s="1066"/>
      <c r="O17" s="1066">
        <f>+J17-L17-M17+N17</f>
        <v>0</v>
      </c>
      <c r="P17" s="1721"/>
      <c r="Q17" s="1715">
        <f>I17-O17</f>
        <v>0</v>
      </c>
      <c r="R17" s="1066">
        <f>+G17-I17</f>
        <v>19863403.175999999</v>
      </c>
      <c r="S17" s="183"/>
      <c r="T17" s="184"/>
      <c r="U17" s="183"/>
      <c r="V17" s="183"/>
    </row>
    <row r="18" spans="2:22">
      <c r="B18" s="254" t="s">
        <v>47</v>
      </c>
      <c r="C18" s="665">
        <f t="shared" ref="C18:R18" si="7">SUM(C13:C17)</f>
        <v>557226071.95000005</v>
      </c>
      <c r="D18" s="1063">
        <f t="shared" si="7"/>
        <v>614550940</v>
      </c>
      <c r="E18" s="1063">
        <f t="shared" si="7"/>
        <v>673869477.14459991</v>
      </c>
      <c r="F18" s="1063">
        <f t="shared" si="7"/>
        <v>694007443.56626403</v>
      </c>
      <c r="G18" s="1063">
        <f t="shared" si="7"/>
        <v>686100715.89923203</v>
      </c>
      <c r="H18" s="1063">
        <f>SUM(H13:H17)</f>
        <v>11247552.719659541</v>
      </c>
      <c r="I18" s="1064">
        <f>SUM(I13:I17)</f>
        <v>214902889.06</v>
      </c>
      <c r="J18" s="1064">
        <f>SUM(J13:J17)</f>
        <v>158563973.76999998</v>
      </c>
      <c r="K18" s="1064">
        <f t="shared" ref="K18:L18" si="8">SUM(K13:K17)</f>
        <v>0</v>
      </c>
      <c r="L18" s="1064">
        <f t="shared" si="8"/>
        <v>826</v>
      </c>
      <c r="M18" s="1064">
        <f>SUM(M13:M17)</f>
        <v>2386658.48</v>
      </c>
      <c r="N18" s="1064">
        <f t="shared" si="7"/>
        <v>0</v>
      </c>
      <c r="O18" s="1064">
        <f t="shared" si="7"/>
        <v>156176489.28999996</v>
      </c>
      <c r="P18" s="1720">
        <f>+O18/O24</f>
        <v>0.25849160112741648</v>
      </c>
      <c r="Q18" s="1714">
        <f t="shared" si="7"/>
        <v>58726399.770000011</v>
      </c>
      <c r="R18" s="1064">
        <f t="shared" si="7"/>
        <v>471197826.83923203</v>
      </c>
      <c r="S18" s="183"/>
      <c r="T18" s="184"/>
      <c r="U18" s="183"/>
      <c r="V18" s="183"/>
    </row>
    <row r="19" spans="2:22">
      <c r="B19" s="1044" t="s">
        <v>48</v>
      </c>
      <c r="C19" s="1023">
        <f>SUM('budget (11)'!D51:D52)</f>
        <v>15000000</v>
      </c>
      <c r="D19" s="1065">
        <v>30500000</v>
      </c>
      <c r="E19" s="1065">
        <f>+'ADI 462 julio 25 '!D32</f>
        <v>30500000</v>
      </c>
      <c r="F19" s="1067">
        <f>+'ADI 462 AGO25'!D32</f>
        <v>30500000</v>
      </c>
      <c r="G19" s="1067">
        <f>+'ADI 09-25'!C32</f>
        <v>30500000</v>
      </c>
      <c r="H19" s="1065">
        <f>G19/$H$3</f>
        <v>500000</v>
      </c>
      <c r="I19" s="1066">
        <f>+'Proc. 04-26'!C$17</f>
        <v>27110367.699999999</v>
      </c>
      <c r="J19" s="1066">
        <f>+'Proc. 04-26'!D$17</f>
        <v>22844645.809999999</v>
      </c>
      <c r="K19" s="1066"/>
      <c r="L19" s="1066">
        <f>+'CXP MMHB 04-26'!E13</f>
        <v>56000</v>
      </c>
      <c r="M19" s="1066">
        <f>+'CXP 04-26 RES'!H18</f>
        <v>116055.56</v>
      </c>
      <c r="N19" s="1066">
        <f>+'Anticipos 04-26'!D13</f>
        <v>1713704.63</v>
      </c>
      <c r="O19" s="1066">
        <f>+J19-L19-M19+N19</f>
        <v>24386294.879999999</v>
      </c>
      <c r="P19" s="1717">
        <f>+O19/$O$23</f>
        <v>0.39529847194702433</v>
      </c>
      <c r="Q19" s="1715">
        <f>I19-O19</f>
        <v>2724072.8200000003</v>
      </c>
      <c r="R19" s="1066">
        <f>+G19-I19</f>
        <v>3389632.3000000007</v>
      </c>
      <c r="S19" s="183"/>
      <c r="T19" s="184"/>
      <c r="U19" s="183"/>
      <c r="V19" s="185"/>
    </row>
    <row r="20" spans="2:22">
      <c r="B20" s="1044" t="s">
        <v>49</v>
      </c>
      <c r="C20" s="1023">
        <f>SUM('budget (11)'!D4:D10)</f>
        <v>20789999.999999996</v>
      </c>
      <c r="D20" s="1065">
        <v>20789999.999999996</v>
      </c>
      <c r="E20" s="1065">
        <f>+'ADI 462 julio 25 '!D33</f>
        <v>25000000</v>
      </c>
      <c r="F20" s="1067">
        <f>+'ADI 462 AGO25'!D33</f>
        <v>25000000</v>
      </c>
      <c r="G20" s="1067">
        <f>+'ADI 09-25'!C33</f>
        <v>25000000</v>
      </c>
      <c r="H20" s="1065">
        <f>G20/$H$3</f>
        <v>409836.06557377049</v>
      </c>
      <c r="I20" s="1066">
        <f>+'Proc. 04-26'!C$3</f>
        <v>24431389.440000001</v>
      </c>
      <c r="J20" s="1066">
        <f>+'Proc. 04-26'!D$3</f>
        <v>24431389.440000001</v>
      </c>
      <c r="K20" s="1066">
        <f>+'Proc. 12-25'!F3</f>
        <v>278099.52</v>
      </c>
      <c r="L20" s="1066"/>
      <c r="M20" s="1066"/>
      <c r="N20" s="1066">
        <f>+'Anticipos 04-26'!D3</f>
        <v>273000</v>
      </c>
      <c r="O20" s="1066">
        <f>+J20-L20-M20+N20-K20</f>
        <v>24426289.920000002</v>
      </c>
      <c r="P20" s="1717">
        <f t="shared" ref="P20:P21" si="9">+O20/$O$23</f>
        <v>0.39594678602160022</v>
      </c>
      <c r="Q20" s="1715">
        <f>I20-O20</f>
        <v>5099.519999999553</v>
      </c>
      <c r="R20" s="1066">
        <f>+G20-I20</f>
        <v>568610.55999999866</v>
      </c>
      <c r="S20" s="183"/>
      <c r="T20" s="184"/>
      <c r="U20" s="183"/>
      <c r="V20" s="183"/>
    </row>
    <row r="21" spans="2:22">
      <c r="B21" s="1044" t="s">
        <v>50</v>
      </c>
      <c r="C21" s="1023">
        <f>SUM('budget (11)'!D54)</f>
        <v>192383847</v>
      </c>
      <c r="D21" s="1065">
        <v>216565093</v>
      </c>
      <c r="E21" s="1065">
        <f>+'ADI 462 julio 25 '!D34</f>
        <v>226010945.55599999</v>
      </c>
      <c r="F21" s="1067">
        <f>+'ADI 462 AGO25'!D34</f>
        <v>229223672.65103999</v>
      </c>
      <c r="G21" s="1067">
        <f>+'ADI 09-25'!C34</f>
        <v>232739209.20512</v>
      </c>
      <c r="H21" s="1065">
        <f>G21/$H$3</f>
        <v>3815396.8722150819</v>
      </c>
      <c r="I21" s="1066">
        <f>+'Proc. 04-26'!C$18</f>
        <v>18617144.329999998</v>
      </c>
      <c r="J21" s="1066">
        <f>+'Proc. 04-26'!D$18</f>
        <v>12878255.439999999</v>
      </c>
      <c r="K21" s="1066"/>
      <c r="L21" s="1066"/>
      <c r="M21" s="1066"/>
      <c r="N21" s="1066"/>
      <c r="O21" s="1066">
        <f>+J21-L21-M21+N21</f>
        <v>12878255.439999999</v>
      </c>
      <c r="P21" s="1717">
        <f t="shared" si="9"/>
        <v>0.20875474203137553</v>
      </c>
      <c r="Q21" s="1715">
        <f>I21-O21</f>
        <v>5738888.8899999987</v>
      </c>
      <c r="R21" s="1066">
        <f>+G21-I21</f>
        <v>214122064.87511998</v>
      </c>
      <c r="S21" s="183"/>
      <c r="T21" s="184"/>
      <c r="U21" s="183"/>
      <c r="V21" s="183"/>
    </row>
    <row r="22" spans="2:22">
      <c r="B22" s="1044" t="s">
        <v>51</v>
      </c>
      <c r="C22" s="1023">
        <f>SUM('budget (11)'!D53)</f>
        <v>19238385</v>
      </c>
      <c r="D22" s="1065">
        <v>21656509</v>
      </c>
      <c r="E22" s="1065">
        <f>+'ADI 462 julio 25 '!D35</f>
        <v>19825521.539999999</v>
      </c>
      <c r="F22" s="1067">
        <f>+'ADI 462 AGO25'!D35</f>
        <v>19863403.175999999</v>
      </c>
      <c r="G22" s="1067">
        <f>+'ADI 09-25'!C35</f>
        <v>19863403.175999999</v>
      </c>
      <c r="H22" s="1065">
        <f>G22/$H$3</f>
        <v>325629.56026229507</v>
      </c>
      <c r="I22" s="1066">
        <f>+'Proc. 04-26'!C$19</f>
        <v>0</v>
      </c>
      <c r="J22" s="1066">
        <f>+'Proc. 04-26'!D$19</f>
        <v>0</v>
      </c>
      <c r="K22" s="1066"/>
      <c r="L22" s="1066"/>
      <c r="M22" s="1066"/>
      <c r="N22" s="1066"/>
      <c r="O22" s="1066">
        <f>+J22-L22-M22+N22</f>
        <v>0</v>
      </c>
      <c r="P22" s="1721"/>
      <c r="Q22" s="1715">
        <f>I22-O22</f>
        <v>0</v>
      </c>
      <c r="R22" s="1066">
        <f>+G22-I22</f>
        <v>19863403.175999999</v>
      </c>
      <c r="S22" s="183"/>
      <c r="T22" s="184"/>
      <c r="U22" s="183"/>
      <c r="V22" s="183"/>
    </row>
    <row r="23" spans="2:22" ht="15" thickBot="1">
      <c r="B23" s="254" t="s">
        <v>52</v>
      </c>
      <c r="C23" s="665">
        <f t="shared" ref="C23:R23" si="10">SUM(C19:C22)</f>
        <v>247412232</v>
      </c>
      <c r="D23" s="1063">
        <f t="shared" si="10"/>
        <v>289511602</v>
      </c>
      <c r="E23" s="1063">
        <f t="shared" si="10"/>
        <v>301336467.09600002</v>
      </c>
      <c r="F23" s="1063">
        <f>SUM(F19:F22)</f>
        <v>304587075.82703996</v>
      </c>
      <c r="G23" s="1063">
        <f>SUM(G19:G22)</f>
        <v>308102612.38111997</v>
      </c>
      <c r="H23" s="1063">
        <f>SUM(H19:H22)</f>
        <v>5050862.4980511479</v>
      </c>
      <c r="I23" s="1064">
        <f>SUM(I19:I22)</f>
        <v>70158901.469999999</v>
      </c>
      <c r="J23" s="1064">
        <f>SUM(J19:J22)</f>
        <v>60154290.689999998</v>
      </c>
      <c r="K23" s="1064">
        <f t="shared" ref="K23:L23" si="11">SUM(K19:K22)</f>
        <v>278099.52</v>
      </c>
      <c r="L23" s="1064">
        <f t="shared" si="11"/>
        <v>56000</v>
      </c>
      <c r="M23" s="1064">
        <f>SUM(M19:M22)</f>
        <v>116055.56</v>
      </c>
      <c r="N23" s="1064">
        <f t="shared" si="10"/>
        <v>1986704.63</v>
      </c>
      <c r="O23" s="1064">
        <f t="shared" si="10"/>
        <v>61690840.239999995</v>
      </c>
      <c r="P23" s="1720">
        <f>+O23/O24</f>
        <v>0.1021060477222183</v>
      </c>
      <c r="Q23" s="1714">
        <f t="shared" si="10"/>
        <v>8468061.2299999986</v>
      </c>
      <c r="R23" s="1064">
        <f t="shared" si="10"/>
        <v>237943710.91112</v>
      </c>
      <c r="S23" s="183"/>
      <c r="T23" s="184"/>
      <c r="U23" s="183"/>
      <c r="V23" s="183"/>
    </row>
    <row r="24" spans="2:22" ht="16.2" thickBot="1">
      <c r="B24" s="1041" t="s">
        <v>1156</v>
      </c>
      <c r="C24" s="1042">
        <f t="shared" ref="C24:H24" si="12">C5+C12+C18+C23</f>
        <v>2831861942.9499998</v>
      </c>
      <c r="D24" s="1068">
        <f t="shared" si="12"/>
        <v>3173098639</v>
      </c>
      <c r="E24" s="1043">
        <f t="shared" si="12"/>
        <v>3340495399.8006001</v>
      </c>
      <c r="F24" s="1043">
        <f t="shared" si="12"/>
        <v>3397764245.9037037</v>
      </c>
      <c r="G24" s="1043">
        <f t="shared" si="12"/>
        <v>3428528420.3315516</v>
      </c>
      <c r="H24" s="1043">
        <f t="shared" si="12"/>
        <v>56205383.939861506</v>
      </c>
      <c r="I24" s="1043">
        <f t="shared" ref="I24:R24" si="13">I23+I18+I12+I5</f>
        <v>824819321.44999993</v>
      </c>
      <c r="J24" s="1043">
        <f t="shared" si="13"/>
        <v>621441926.07999992</v>
      </c>
      <c r="K24" s="1043">
        <f t="shared" si="13"/>
        <v>278099.52</v>
      </c>
      <c r="L24" s="1043">
        <f t="shared" si="13"/>
        <v>56826</v>
      </c>
      <c r="M24" s="1043">
        <f>M23+M18+M12+M5</f>
        <v>19000961.380000006</v>
      </c>
      <c r="N24" s="1043">
        <f t="shared" si="13"/>
        <v>2077959.8699999999</v>
      </c>
      <c r="O24" s="1713">
        <f t="shared" si="13"/>
        <v>604183999.04999995</v>
      </c>
      <c r="P24" s="1722">
        <f>+P5+P12+P18+P23</f>
        <v>1</v>
      </c>
      <c r="Q24" s="1716">
        <f t="shared" si="13"/>
        <v>220635322.40000004</v>
      </c>
      <c r="R24" s="1043">
        <f t="shared" si="13"/>
        <v>2603709098.8815522</v>
      </c>
      <c r="S24" s="183"/>
      <c r="T24" s="184"/>
      <c r="U24" s="183"/>
      <c r="V24" s="183"/>
    </row>
    <row r="25" spans="2:22" ht="15" thickBot="1">
      <c r="E25" s="509"/>
      <c r="H25" s="509"/>
      <c r="I25" s="369"/>
      <c r="J25" s="369"/>
      <c r="K25" s="369"/>
      <c r="L25" s="369"/>
      <c r="M25" s="369"/>
      <c r="N25" s="369"/>
      <c r="O25" s="730"/>
      <c r="P25" s="1723"/>
      <c r="Q25" s="320"/>
      <c r="R25" s="320"/>
    </row>
    <row r="26" spans="2:22" ht="15" thickBot="1">
      <c r="D26" s="320"/>
      <c r="E26" s="320"/>
      <c r="H26" s="320"/>
      <c r="I26" s="368"/>
      <c r="J26" s="368"/>
      <c r="K26" s="368"/>
      <c r="L26" s="368"/>
      <c r="M26" s="434"/>
      <c r="N26" s="435"/>
      <c r="O26" s="1016"/>
      <c r="Q26" s="142"/>
      <c r="R26" s="142"/>
      <c r="T26" s="186" t="s">
        <v>189</v>
      </c>
      <c r="U26" s="190">
        <v>2831861942.3920002</v>
      </c>
    </row>
    <row r="27" spans="2:22" ht="18.600000000000001" thickBot="1">
      <c r="B27" s="333" t="s">
        <v>1447</v>
      </c>
      <c r="C27" s="672">
        <v>3515158425</v>
      </c>
      <c r="D27" s="672">
        <f t="shared" ref="D27" si="14">+D14/0.08</f>
        <v>3851629175</v>
      </c>
      <c r="E27" s="672">
        <f>+E28*60</f>
        <v>3996000000</v>
      </c>
      <c r="G27" s="1908">
        <f>+G8/1.18</f>
        <v>198634031.75999999</v>
      </c>
      <c r="H27" s="672"/>
      <c r="I27" s="368"/>
      <c r="J27" s="368"/>
      <c r="K27" s="368"/>
      <c r="L27" s="368"/>
      <c r="M27" s="586"/>
      <c r="N27" s="587"/>
      <c r="O27" s="1016"/>
      <c r="P27" s="1871"/>
      <c r="Q27" s="1098"/>
      <c r="R27" s="142"/>
      <c r="T27" s="186"/>
      <c r="U27" s="190"/>
    </row>
    <row r="28" spans="2:22" ht="15" thickBot="1">
      <c r="C28" s="370">
        <f>+C27/59</f>
        <v>59578956.355932206</v>
      </c>
      <c r="D28" s="370">
        <f>+D27/59</f>
        <v>65281850.423728816</v>
      </c>
      <c r="E28" s="370">
        <v>66600000</v>
      </c>
      <c r="G28" s="1908">
        <f>+G13/1.18</f>
        <v>158907225.40799999</v>
      </c>
      <c r="H28" s="370"/>
      <c r="I28" s="368"/>
      <c r="J28" s="591"/>
      <c r="M28" s="436"/>
      <c r="N28" s="437"/>
      <c r="O28" s="12"/>
      <c r="Q28" s="320"/>
      <c r="R28" s="320"/>
      <c r="T28" s="188" t="s">
        <v>190</v>
      </c>
      <c r="U28" s="189">
        <f>C24</f>
        <v>2831861942.9499998</v>
      </c>
    </row>
    <row r="29" spans="2:22" ht="15" thickBot="1">
      <c r="C29" s="489"/>
      <c r="D29" s="370"/>
      <c r="E29" s="370"/>
      <c r="H29" s="370"/>
      <c r="I29" s="474"/>
      <c r="M29" s="441"/>
      <c r="N29" s="442"/>
      <c r="O29" s="445"/>
      <c r="P29" s="1723"/>
      <c r="Q29" s="320"/>
      <c r="R29" s="320"/>
      <c r="T29" s="187" t="s">
        <v>191</v>
      </c>
      <c r="U29" s="191">
        <f>U26-U28</f>
        <v>-0.55799961090087891</v>
      </c>
    </row>
    <row r="30" spans="2:22" ht="18.600000000000001" thickBot="1">
      <c r="B30" s="333" t="s">
        <v>1448</v>
      </c>
      <c r="C30" s="672">
        <f>+C27-C24</f>
        <v>683296482.05000019</v>
      </c>
      <c r="D30" s="672">
        <f t="shared" ref="D30" si="15">+D27-D24</f>
        <v>678530536</v>
      </c>
      <c r="E30" s="672">
        <f>+E27-E24</f>
        <v>655504600.19939995</v>
      </c>
      <c r="H30" s="672"/>
      <c r="I30" s="474"/>
      <c r="J30" s="509"/>
      <c r="M30" s="441"/>
      <c r="N30" s="442"/>
      <c r="O30" s="445"/>
      <c r="P30" s="1723"/>
      <c r="Q30" s="320"/>
      <c r="R30" s="320"/>
      <c r="T30" s="183"/>
      <c r="U30" s="508"/>
    </row>
    <row r="31" spans="2:22">
      <c r="C31" s="370">
        <f>+C30/59</f>
        <v>11581296.305932207</v>
      </c>
      <c r="D31" s="370">
        <f t="shared" ref="D31" si="16">+D30/59</f>
        <v>11500517.559322033</v>
      </c>
      <c r="E31" s="370">
        <f>+E30/60</f>
        <v>10925076.669989999</v>
      </c>
      <c r="H31" s="370"/>
      <c r="I31" s="474"/>
      <c r="M31" s="441"/>
      <c r="N31" s="442"/>
      <c r="O31" s="445"/>
      <c r="P31" s="1723"/>
      <c r="Q31" s="320"/>
      <c r="R31" s="320"/>
      <c r="T31" s="183"/>
      <c r="U31" s="508"/>
    </row>
    <row r="32" spans="2:22">
      <c r="C32" s="489"/>
      <c r="D32" s="370"/>
      <c r="E32" s="370"/>
      <c r="H32" s="370"/>
      <c r="I32" s="474"/>
      <c r="M32" s="441" t="s">
        <v>888</v>
      </c>
      <c r="N32" s="442">
        <f>+'CXP 07-25'!E13</f>
        <v>364684.38</v>
      </c>
      <c r="O32" s="445"/>
      <c r="P32" s="1723"/>
      <c r="Q32" s="320"/>
      <c r="R32" s="320"/>
      <c r="T32" s="183"/>
      <c r="U32" s="508"/>
    </row>
    <row r="33" spans="1:22" ht="15" thickBot="1">
      <c r="C33" s="369"/>
      <c r="D33" s="370"/>
      <c r="E33" s="370"/>
      <c r="H33" s="370"/>
      <c r="M33" s="438" t="s">
        <v>656</v>
      </c>
      <c r="N33" s="439">
        <f>SUM(N26:N32)</f>
        <v>364684.38</v>
      </c>
      <c r="O33" s="445"/>
      <c r="P33" s="1723"/>
    </row>
    <row r="34" spans="1:22">
      <c r="C34" s="161"/>
      <c r="D34" s="370"/>
      <c r="E34" s="370"/>
      <c r="H34" s="370"/>
      <c r="M34" s="440" t="s">
        <v>657</v>
      </c>
      <c r="N34" s="445">
        <f>+O24</f>
        <v>604183999.04999995</v>
      </c>
    </row>
    <row r="35" spans="1:22">
      <c r="M35" s="443" t="s">
        <v>658</v>
      </c>
      <c r="N35" s="443">
        <f>+N33-N34</f>
        <v>-603819314.66999996</v>
      </c>
      <c r="O35" s="444">
        <f>+'BCE 07-25'!C46+'BCE 07-25'!C47</f>
        <v>953438.13</v>
      </c>
      <c r="P35" s="1724"/>
      <c r="Q35" s="444">
        <f>+N35+O35</f>
        <v>-602865876.53999996</v>
      </c>
      <c r="R35" s="444"/>
    </row>
    <row r="36" spans="1:22">
      <c r="A36" s="192"/>
      <c r="B36" s="192"/>
      <c r="C36" s="192"/>
      <c r="D36" s="192"/>
      <c r="E36" s="192"/>
      <c r="F36" s="843"/>
      <c r="G36" s="843"/>
      <c r="H36" s="192"/>
      <c r="I36" s="192"/>
      <c r="J36" s="192"/>
      <c r="K36" s="192"/>
      <c r="L36" s="192"/>
      <c r="M36" s="192"/>
      <c r="N36" s="192"/>
      <c r="O36" s="192"/>
      <c r="P36" s="1725"/>
      <c r="Q36" s="192"/>
      <c r="R36" s="192"/>
      <c r="S36" s="192"/>
      <c r="T36" s="192"/>
      <c r="U36" s="192"/>
      <c r="V36" s="192"/>
    </row>
    <row r="38" spans="1:22">
      <c r="B38" s="254" t="s">
        <v>47</v>
      </c>
    </row>
    <row r="39" spans="1:22">
      <c r="B39" s="112" t="s">
        <v>48</v>
      </c>
    </row>
    <row r="40" spans="1:22">
      <c r="B40" s="115" t="s">
        <v>49</v>
      </c>
    </row>
    <row r="41" spans="1:22">
      <c r="B41" s="112" t="s">
        <v>50</v>
      </c>
    </row>
    <row r="42" spans="1:22">
      <c r="B42" s="115" t="s">
        <v>51</v>
      </c>
    </row>
    <row r="43" spans="1:22">
      <c r="B43" s="254" t="s">
        <v>52</v>
      </c>
    </row>
    <row r="44" spans="1:22" ht="18.600000000000001" thickBot="1">
      <c r="B44" s="333" t="s">
        <v>229</v>
      </c>
    </row>
    <row r="46" spans="1:22" ht="15" thickBot="1"/>
    <row r="47" spans="1:22">
      <c r="B47" s="335" t="s">
        <v>234</v>
      </c>
      <c r="C47" s="336">
        <v>160000000</v>
      </c>
      <c r="D47" s="336"/>
      <c r="E47" s="336"/>
      <c r="F47" s="844"/>
      <c r="G47" s="844"/>
      <c r="H47" s="336"/>
    </row>
    <row r="48" spans="1:22">
      <c r="B48" s="588" t="s">
        <v>1158</v>
      </c>
      <c r="C48" s="589">
        <v>22200000</v>
      </c>
      <c r="D48" s="589"/>
      <c r="E48" s="589"/>
      <c r="F48" s="845"/>
      <c r="G48" s="845"/>
      <c r="H48" s="589"/>
    </row>
    <row r="49" spans="2:8">
      <c r="B49" s="112" t="s">
        <v>153</v>
      </c>
      <c r="C49" s="403">
        <f>+O24+Q24</f>
        <v>824819321.45000005</v>
      </c>
      <c r="D49" s="403"/>
      <c r="E49" s="403"/>
      <c r="F49" s="846"/>
      <c r="G49" s="846"/>
      <c r="H49" s="403">
        <f>C49/C47</f>
        <v>5.1551207590625001</v>
      </c>
    </row>
    <row r="50" spans="2:8" ht="15" thickBot="1">
      <c r="B50" s="339" t="s">
        <v>154</v>
      </c>
      <c r="C50" s="340">
        <f>+C47+C48-C49</f>
        <v>-642619321.45000005</v>
      </c>
      <c r="D50" s="340"/>
      <c r="E50" s="340"/>
      <c r="F50" s="847"/>
      <c r="G50" s="847"/>
      <c r="H50" s="340">
        <f>C50/C47</f>
        <v>-4.0163707590625002</v>
      </c>
    </row>
  </sheetData>
  <mergeCells count="12">
    <mergeCell ref="Q3:Q4"/>
    <mergeCell ref="R3:R4"/>
    <mergeCell ref="S1:V2"/>
    <mergeCell ref="K2:N2"/>
    <mergeCell ref="I3:I4"/>
    <mergeCell ref="J3:J4"/>
    <mergeCell ref="K3:K4"/>
    <mergeCell ref="L3:L4"/>
    <mergeCell ref="M3:M4"/>
    <mergeCell ref="N3:N4"/>
    <mergeCell ref="O3:O4"/>
    <mergeCell ref="P3:P4"/>
  </mergeCells>
  <conditionalFormatting sqref="S6:S7">
    <cfRule type="iconSet" priority="6">
      <iconSet iconSet="3Arrows">
        <cfvo type="percent" val="0"/>
        <cfvo type="percent" val="45"/>
        <cfvo type="percent" val="80"/>
      </iconSet>
    </cfRule>
  </conditionalFormatting>
  <conditionalFormatting sqref="S8:S9">
    <cfRule type="iconSet" priority="1">
      <iconSet iconSet="3Arrows">
        <cfvo type="percent" val="0"/>
        <cfvo type="percent" val="45"/>
        <cfvo type="percent" val="80"/>
      </iconSet>
    </cfRule>
  </conditionalFormatting>
  <conditionalFormatting sqref="S14">
    <cfRule type="iconSet" priority="5">
      <iconSet iconSet="3Arrows">
        <cfvo type="percent" val="0"/>
        <cfvo type="percent" val="45"/>
        <cfvo type="percent" val="80"/>
      </iconSet>
    </cfRule>
  </conditionalFormatting>
  <conditionalFormatting sqref="S16">
    <cfRule type="iconSet" priority="4">
      <iconSet iconSet="3Arrows">
        <cfvo type="percent" val="0"/>
        <cfvo type="percent" val="45"/>
        <cfvo type="percent" val="80"/>
      </iconSet>
    </cfRule>
  </conditionalFormatting>
  <conditionalFormatting sqref="S20">
    <cfRule type="iconSet" priority="3">
      <iconSet iconSet="3Arrows">
        <cfvo type="percent" val="0"/>
        <cfvo type="percent" val="45"/>
        <cfvo type="percent" val="80"/>
      </iconSet>
    </cfRule>
  </conditionalFormatting>
  <conditionalFormatting sqref="S22">
    <cfRule type="iconSet" priority="2">
      <iconSet iconSet="3Arrows">
        <cfvo type="percent" val="0"/>
        <cfvo type="percent" val="45"/>
        <cfvo type="percent" val="80"/>
      </iconSet>
    </cfRule>
  </conditionalFormatting>
  <pageMargins left="0.7" right="0.7" top="0.75" bottom="0.75" header="0.3" footer="0.3"/>
  <pageSetup orientation="portrait" r:id="rId1"/>
  <ignoredErrors>
    <ignoredError sqref="H12:R12 H18:R18 O20 P23:P24" formula="1"/>
  </ignoredErrors>
  <drawing r:id="rId2"/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10DE7-A622-42DB-9A2C-A546F81CE056}">
  <dimension ref="B3:M70"/>
  <sheetViews>
    <sheetView showGridLines="0" tabSelected="1" zoomScale="110" zoomScaleNormal="110" workbookViewId="0">
      <selection activeCell="C25" sqref="C25"/>
    </sheetView>
  </sheetViews>
  <sheetFormatPr baseColWidth="10" defaultColWidth="11.44140625" defaultRowHeight="14.4"/>
  <cols>
    <col min="1" max="1" width="2.44140625" customWidth="1"/>
    <col min="2" max="2" width="35.6640625" customWidth="1"/>
    <col min="3" max="3" width="20.6640625" style="731" customWidth="1"/>
    <col min="4" max="4" width="17" style="730" bestFit="1" customWidth="1"/>
    <col min="5" max="8" width="16.33203125" style="730" bestFit="1" customWidth="1"/>
    <col min="9" max="9" width="16.44140625" style="731" bestFit="1" customWidth="1"/>
    <col min="10" max="10" width="20.6640625" bestFit="1" customWidth="1"/>
    <col min="11" max="11" width="14.88671875" style="370" bestFit="1" customWidth="1"/>
    <col min="12" max="12" width="13.5546875" bestFit="1" customWidth="1"/>
  </cols>
  <sheetData>
    <row r="3" spans="2:9" hidden="1">
      <c r="B3" s="142">
        <v>160000000</v>
      </c>
    </row>
    <row r="4" spans="2:9" ht="15" hidden="1" thickBot="1">
      <c r="B4" s="284" t="s">
        <v>259</v>
      </c>
    </row>
    <row r="5" spans="2:9" ht="15" hidden="1" thickBot="1">
      <c r="B5" s="284" t="s">
        <v>260</v>
      </c>
    </row>
    <row r="6" spans="2:9" ht="15.6" hidden="1" thickTop="1" thickBot="1">
      <c r="B6" s="285" t="s">
        <v>261</v>
      </c>
    </row>
    <row r="7" spans="2:9" ht="15.6" hidden="1" thickTop="1" thickBot="1">
      <c r="B7" s="285" t="s">
        <v>149</v>
      </c>
    </row>
    <row r="8" spans="2:9" ht="15.6" hidden="1" thickTop="1" thickBot="1">
      <c r="B8" s="285" t="s">
        <v>262</v>
      </c>
    </row>
    <row r="9" spans="2:9" hidden="1"/>
    <row r="10" spans="2:9" hidden="1"/>
    <row r="11" spans="2:9" hidden="1"/>
    <row r="12" spans="2:9" hidden="1"/>
    <row r="13" spans="2:9" hidden="1"/>
    <row r="14" spans="2:9" hidden="1"/>
    <row r="15" spans="2:9" ht="15" thickBot="1">
      <c r="C15" s="1154" t="s">
        <v>1286</v>
      </c>
      <c r="F15" s="733"/>
      <c r="G15" s="733"/>
    </row>
    <row r="16" spans="2:9" ht="16.2" thickBot="1">
      <c r="B16" s="676"/>
      <c r="C16" s="734" t="s">
        <v>2754</v>
      </c>
      <c r="D16" s="735">
        <v>46143</v>
      </c>
      <c r="E16" s="735">
        <v>46174</v>
      </c>
      <c r="F16" s="735">
        <v>46204</v>
      </c>
      <c r="G16" s="735">
        <v>46235</v>
      </c>
      <c r="H16" s="735">
        <v>46266</v>
      </c>
      <c r="I16" s="807" t="s">
        <v>1290</v>
      </c>
    </row>
    <row r="17" spans="2:13" ht="16.2" thickBot="1">
      <c r="B17" s="736" t="s">
        <v>1291</v>
      </c>
      <c r="C17" s="1782">
        <f>+'BCE 04-26'!F34</f>
        <v>187486281.90000001</v>
      </c>
      <c r="D17" s="1782">
        <f>+'Proyección VTA 03-26'!F9</f>
        <v>19000000</v>
      </c>
      <c r="E17" s="1782">
        <f>+'Proyección VTA 03-26'!G9</f>
        <v>20000000</v>
      </c>
      <c r="F17" s="1782">
        <f>+'Proyección VTA 03-26'!H9</f>
        <v>20000000</v>
      </c>
      <c r="G17" s="1782">
        <f>+'Proyección VTA 03-26'!I9</f>
        <v>21000000</v>
      </c>
      <c r="H17" s="1782">
        <f>+'Proyección VTA 03-26'!J9</f>
        <v>21000000</v>
      </c>
      <c r="I17" s="1783">
        <f>SUM(C17:H17)</f>
        <v>288486281.89999998</v>
      </c>
      <c r="J17" s="370"/>
    </row>
    <row r="18" spans="2:13" ht="15.6" hidden="1">
      <c r="B18" s="681" t="s">
        <v>2097</v>
      </c>
      <c r="C18" s="1784"/>
      <c r="D18" s="1784">
        <f>+C17+D17</f>
        <v>206486281.90000001</v>
      </c>
      <c r="E18" s="1784">
        <f>+D18+E17</f>
        <v>226486281.90000001</v>
      </c>
      <c r="F18" s="1784">
        <f t="shared" ref="F18:H18" si="0">+E18+F17</f>
        <v>246486281.90000001</v>
      </c>
      <c r="G18" s="1784">
        <f t="shared" si="0"/>
        <v>267486281.90000001</v>
      </c>
      <c r="H18" s="1784">
        <f t="shared" si="0"/>
        <v>288486281.89999998</v>
      </c>
      <c r="I18" s="1785"/>
    </row>
    <row r="19" spans="2:13" ht="15.6" hidden="1">
      <c r="B19" s="681"/>
      <c r="C19" s="1784"/>
      <c r="D19" s="1784"/>
      <c r="E19" s="1784">
        <f>+E18+E27</f>
        <v>8900857870.8185234</v>
      </c>
      <c r="F19" s="1784">
        <f>+F18+F27</f>
        <v>9029572371.2642765</v>
      </c>
      <c r="G19" s="1784">
        <f>+G18+G27</f>
        <v>8970179441.7100296</v>
      </c>
      <c r="H19" s="1784">
        <f>+H18+H27</f>
        <v>9018668980.4891167</v>
      </c>
      <c r="I19" s="1785"/>
    </row>
    <row r="20" spans="2:13" ht="15.6">
      <c r="B20" s="681" t="s">
        <v>1616</v>
      </c>
      <c r="C20" s="1784">
        <v>9000000000</v>
      </c>
      <c r="D20" s="1786"/>
      <c r="E20" s="1786"/>
      <c r="F20" s="1786"/>
      <c r="G20" s="1786"/>
      <c r="H20" s="1786"/>
      <c r="I20" s="1785">
        <f t="shared" ref="I20:I26" si="1">SUM(C20:H20)</f>
        <v>9000000000</v>
      </c>
    </row>
    <row r="21" spans="2:13" ht="15.6" hidden="1">
      <c r="B21" s="1692" t="s">
        <v>2005</v>
      </c>
      <c r="C21" s="1787">
        <f>+'Préstamos 12-25'!H6</f>
        <v>100000000</v>
      </c>
      <c r="D21" s="1788"/>
      <c r="E21" s="1788"/>
      <c r="F21" s="1788"/>
      <c r="G21" s="1788"/>
      <c r="H21" s="1788"/>
      <c r="I21" s="1789">
        <f>SUM(C21:H21)</f>
        <v>100000000</v>
      </c>
    </row>
    <row r="22" spans="2:13" ht="15.6" hidden="1">
      <c r="B22" s="1730" t="s">
        <v>2359</v>
      </c>
      <c r="C22" s="1784">
        <v>-100000000</v>
      </c>
      <c r="D22" s="1786"/>
      <c r="E22" s="1786"/>
      <c r="F22" s="1786"/>
      <c r="G22" s="1786"/>
      <c r="H22" s="1786"/>
      <c r="I22" s="1785">
        <f>SUM(C22:H22)</f>
        <v>-100000000</v>
      </c>
    </row>
    <row r="23" spans="2:13" ht="15.6" hidden="1">
      <c r="B23" s="681" t="s">
        <v>1617</v>
      </c>
      <c r="C23" s="1784">
        <f>+'Préstamos 12-25'!H4+'Préstamos 12-25'!H5</f>
        <v>49200000</v>
      </c>
      <c r="D23" s="1786"/>
      <c r="E23" s="1786"/>
      <c r="F23" s="1786"/>
      <c r="G23" s="1784"/>
      <c r="H23" s="1786"/>
      <c r="I23" s="1785">
        <f t="shared" si="1"/>
        <v>49200000</v>
      </c>
    </row>
    <row r="24" spans="2:13" ht="15.6" hidden="1">
      <c r="B24" s="681" t="s">
        <v>2253</v>
      </c>
      <c r="C24" s="1784">
        <f>+'Préstamos 12-25'!J4+'Préstamos 12-25'!J5</f>
        <v>-49200000</v>
      </c>
      <c r="D24" s="1786"/>
      <c r="E24" s="1786"/>
      <c r="F24" s="1786"/>
      <c r="G24" s="1784"/>
      <c r="H24" s="1786"/>
      <c r="I24" s="1785">
        <f t="shared" si="1"/>
        <v>-49200000</v>
      </c>
    </row>
    <row r="25" spans="2:13" ht="15.6">
      <c r="B25" s="1730" t="s">
        <v>2612</v>
      </c>
      <c r="C25" s="1784"/>
      <c r="D25" s="1786"/>
      <c r="E25" s="1786">
        <v>70000000</v>
      </c>
      <c r="F25" s="1786">
        <f>4000000*60</f>
        <v>240000000</v>
      </c>
      <c r="G25" s="1784"/>
      <c r="H25" s="1786">
        <f>3000000*60</f>
        <v>180000000</v>
      </c>
      <c r="I25" s="1785">
        <f t="shared" si="1"/>
        <v>490000000</v>
      </c>
    </row>
    <row r="26" spans="2:13" ht="15.6">
      <c r="B26" s="1730" t="s">
        <v>2360</v>
      </c>
      <c r="C26" s="1784">
        <v>140000000</v>
      </c>
      <c r="D26" s="1786">
        <v>20000000</v>
      </c>
      <c r="E26" s="1786">
        <v>40000000</v>
      </c>
      <c r="F26" s="1786">
        <v>-75000000</v>
      </c>
      <c r="G26" s="1786"/>
      <c r="H26" s="1786">
        <v>-70000000</v>
      </c>
      <c r="I26" s="1785">
        <f t="shared" si="1"/>
        <v>55000000</v>
      </c>
    </row>
    <row r="27" spans="2:13" ht="15.6">
      <c r="B27" s="681" t="s">
        <v>266</v>
      </c>
      <c r="C27" s="1784">
        <f>+C20+C21+C23-C28+C24+C17+C26-C29+C22</f>
        <v>8720982618.3299999</v>
      </c>
      <c r="D27" s="1786">
        <f>+C27+D21+D24-D28+D17+D26+D22</f>
        <v>8672911502.9972153</v>
      </c>
      <c r="E27" s="1786">
        <f>+D27+E21+E24-E28+E17+E26+E22+E25</f>
        <v>8674371588.9185238</v>
      </c>
      <c r="F27" s="1786">
        <f>+E27+F21+F24-F28+F17+F26+F22+F25</f>
        <v>8783086089.3642769</v>
      </c>
      <c r="G27" s="1786">
        <f t="shared" ref="G27:H27" si="2">+F27+G21+G24-G28+G17+G26+G22+G25</f>
        <v>8702693159.81003</v>
      </c>
      <c r="H27" s="1786">
        <f t="shared" si="2"/>
        <v>8730182698.5891171</v>
      </c>
      <c r="I27" s="1785">
        <f>+H27</f>
        <v>8730182698.5891171</v>
      </c>
      <c r="J27" s="1807"/>
      <c r="K27" s="1807"/>
      <c r="L27" s="1807"/>
      <c r="M27" s="1807"/>
    </row>
    <row r="28" spans="2:13" ht="15.6">
      <c r="B28" s="740" t="s">
        <v>2613</v>
      </c>
      <c r="C28" s="1790">
        <f>SUM(C31:C46)</f>
        <v>606789284.52999997</v>
      </c>
      <c r="D28" s="1790">
        <f>SUM(D31:D46)</f>
        <v>87071115.332785383</v>
      </c>
      <c r="E28" s="1790">
        <f>SUM(E31:E46)</f>
        <v>128539914.07869102</v>
      </c>
      <c r="F28" s="1790">
        <f t="shared" ref="F28:H28" si="3">SUM(F31:F46)</f>
        <v>76285499.554246575</v>
      </c>
      <c r="G28" s="1790">
        <f>SUM(G31:G46)</f>
        <v>101392929.55424657</v>
      </c>
      <c r="H28" s="1790">
        <f t="shared" si="3"/>
        <v>103510461.22091325</v>
      </c>
      <c r="I28" s="1791">
        <f>SUM(C28:H28)</f>
        <v>1103589204.2708826</v>
      </c>
      <c r="J28" s="732"/>
      <c r="K28" s="732"/>
      <c r="L28" s="732"/>
      <c r="M28" s="732"/>
    </row>
    <row r="29" spans="2:13" ht="15.6" hidden="1">
      <c r="B29" s="1635" t="s">
        <v>2255</v>
      </c>
      <c r="C29" s="1784">
        <f>-'BCE Resumido 04-26'!H30</f>
        <v>-285620.9599999995</v>
      </c>
      <c r="D29" s="1784"/>
      <c r="E29" s="1784"/>
      <c r="F29" s="1784"/>
      <c r="G29" s="1784"/>
      <c r="H29" s="1784"/>
      <c r="I29" s="1785"/>
      <c r="J29" s="1786"/>
    </row>
    <row r="30" spans="2:13" ht="15.6" hidden="1">
      <c r="B30" s="1635" t="s">
        <v>655</v>
      </c>
      <c r="C30" s="1784">
        <f>-'BCE Resumido 04-26'!C17</f>
        <v>-2180247.8699999992</v>
      </c>
      <c r="D30" s="1784"/>
      <c r="E30" s="1784"/>
      <c r="F30" s="1784"/>
      <c r="G30" s="1784"/>
      <c r="H30" s="1784"/>
      <c r="I30" s="1785"/>
      <c r="J30" s="1786"/>
    </row>
    <row r="31" spans="2:13" ht="15.6">
      <c r="B31" s="694" t="s">
        <v>2614</v>
      </c>
      <c r="C31" s="1784">
        <f>+'BCE 04-26'!C20</f>
        <v>2606856.89</v>
      </c>
      <c r="D31" s="1786"/>
      <c r="E31" s="1784"/>
      <c r="F31" s="1784"/>
      <c r="G31" s="1784"/>
      <c r="H31" s="1784"/>
      <c r="I31" s="1785"/>
      <c r="J31" s="1786"/>
    </row>
    <row r="32" spans="2:13" ht="15.6">
      <c r="B32" s="694" t="s">
        <v>33</v>
      </c>
      <c r="C32" s="1792">
        <f>+'PRESENTACIÓN 04-26'!O5</f>
        <v>264445081.16</v>
      </c>
      <c r="E32" s="2080">
        <v>8500000</v>
      </c>
      <c r="F32" s="742">
        <v>0</v>
      </c>
      <c r="G32" s="742">
        <v>0</v>
      </c>
      <c r="H32" s="742">
        <v>0</v>
      </c>
      <c r="I32" s="1794">
        <f t="shared" ref="I32:I46" si="4">SUM(C32:H32)</f>
        <v>272945081.15999997</v>
      </c>
    </row>
    <row r="33" spans="2:11" ht="15.6">
      <c r="B33" s="697" t="s">
        <v>49</v>
      </c>
      <c r="C33" s="1784">
        <f>+'PRESENTACIÓN 04-26'!O20</f>
        <v>24426289.920000002</v>
      </c>
      <c r="D33" s="739">
        <v>0</v>
      </c>
      <c r="E33" s="739">
        <v>0</v>
      </c>
      <c r="F33" s="739">
        <v>0</v>
      </c>
      <c r="G33" s="739">
        <v>0</v>
      </c>
      <c r="H33" s="739">
        <v>0</v>
      </c>
      <c r="I33" s="1785">
        <f t="shared" si="4"/>
        <v>24426289.920000002</v>
      </c>
    </row>
    <row r="34" spans="2:11" ht="15.6">
      <c r="B34" s="697" t="s">
        <v>717</v>
      </c>
      <c r="C34" s="1792">
        <f>+'PRESENTACIÓN 04-26'!O19</f>
        <v>24386294.879999999</v>
      </c>
      <c r="D34" s="742">
        <f>+'Compromisos 04-26'!F178</f>
        <v>487165.56</v>
      </c>
      <c r="E34" s="742">
        <f>+'Compromisos 04-26'!G178</f>
        <v>0</v>
      </c>
      <c r="F34" s="742">
        <f>+'Compromisos 04-26'!H178</f>
        <v>742220</v>
      </c>
      <c r="G34" s="742">
        <f>+'Compromisos 04-26'!I178</f>
        <v>0</v>
      </c>
      <c r="H34" s="742">
        <f>+'Compromisos 04-26'!J178</f>
        <v>0</v>
      </c>
      <c r="I34" s="1794">
        <f t="shared" si="4"/>
        <v>25615680.439999998</v>
      </c>
      <c r="J34" s="1807"/>
    </row>
    <row r="35" spans="2:11" ht="15.6">
      <c r="B35" s="697" t="s">
        <v>1764</v>
      </c>
      <c r="C35" s="1784">
        <f>+'PRESENTACIÓN 04-26'!O6</f>
        <v>40006582.009999998</v>
      </c>
      <c r="D35" s="1786">
        <f>+'Compromisos 04-26'!F28</f>
        <v>5664528.1799999997</v>
      </c>
      <c r="E35" s="1786">
        <f>+'Compromisos 04-26'!G28</f>
        <v>11200000</v>
      </c>
      <c r="F35" s="1786">
        <f>+'Compromisos 04-26'!H28</f>
        <v>2250000</v>
      </c>
      <c r="G35" s="1786">
        <f>+'Compromisos 04-26'!I28</f>
        <v>25900000</v>
      </c>
      <c r="H35" s="1786">
        <f>+'Compromisos 04-26'!J28</f>
        <v>19000000</v>
      </c>
      <c r="I35" s="1785">
        <f t="shared" si="4"/>
        <v>104021110.19</v>
      </c>
      <c r="J35" s="370"/>
    </row>
    <row r="36" spans="2:11" ht="15.6">
      <c r="B36" s="697" t="s">
        <v>1765</v>
      </c>
      <c r="C36" s="1784">
        <f>+'PRESENTACIÓN 04-26'!O7</f>
        <v>37037022.630000003</v>
      </c>
      <c r="D36" s="1786">
        <f>+'Compromisos 04-26'!F105</f>
        <v>61471065.780000001</v>
      </c>
      <c r="E36" s="1786">
        <f>+'Compromisos 04-26'!G105</f>
        <v>77780000</v>
      </c>
      <c r="F36" s="1786">
        <f>+'Compromisos 04-26'!H105</f>
        <v>49280000</v>
      </c>
      <c r="G36" s="1786">
        <f>+'Compromisos 04-26'!I105</f>
        <v>51280000</v>
      </c>
      <c r="H36" s="1786">
        <f>+'Compromisos 04-26'!J105</f>
        <v>59380000</v>
      </c>
      <c r="I36" s="1785">
        <f t="shared" si="4"/>
        <v>336228088.40999997</v>
      </c>
      <c r="J36" s="370"/>
    </row>
    <row r="37" spans="2:11" ht="15.6">
      <c r="B37" s="697" t="s">
        <v>40</v>
      </c>
      <c r="C37" s="1792">
        <f>+'PRESENTACIÓN 04-26'!O10</f>
        <v>5702002.6500000004</v>
      </c>
      <c r="D37" s="1793">
        <f>+'Compromisos 04-26'!F116</f>
        <v>1880466.6800000002</v>
      </c>
      <c r="E37" s="1793">
        <f>+'Compromisos 04-26'!G116</f>
        <v>750000</v>
      </c>
      <c r="F37" s="1793">
        <f>+'Compromisos 04-26'!H116</f>
        <v>750000</v>
      </c>
      <c r="G37" s="1793">
        <f>+'Compromisos 04-26'!I116</f>
        <v>750000</v>
      </c>
      <c r="H37" s="1793">
        <f>+'Compromisos 04-26'!J116</f>
        <v>750000</v>
      </c>
      <c r="I37" s="1794">
        <f t="shared" si="4"/>
        <v>10582469.33</v>
      </c>
      <c r="J37" s="370"/>
    </row>
    <row r="38" spans="2:11" ht="15.6">
      <c r="B38" s="697" t="s">
        <v>2016</v>
      </c>
      <c r="C38" s="1792">
        <f>+'PRESENTACIÓN 04-26'!O16</f>
        <v>29569547.109999999</v>
      </c>
      <c r="D38" s="1793">
        <f>+'Compromisos 04-26'!F172</f>
        <v>3060661.9794520549</v>
      </c>
      <c r="E38" s="1793">
        <f>+'Compromisos 04-26'!G172</f>
        <v>5103252.0342465751</v>
      </c>
      <c r="F38" s="1793">
        <f>+'Compromisos 04-26'!H172</f>
        <v>1603252.0342465753</v>
      </c>
      <c r="G38" s="1793">
        <f>+'Compromisos 04-26'!I172</f>
        <v>1603252.0342465753</v>
      </c>
      <c r="H38" s="1793">
        <f>+'Compromisos 04-26'!J172</f>
        <v>1603252.0342465753</v>
      </c>
      <c r="I38" s="1794">
        <f t="shared" si="4"/>
        <v>42543217.226438366</v>
      </c>
      <c r="J38" s="367"/>
      <c r="K38" s="367"/>
    </row>
    <row r="39" spans="2:11" ht="15.6">
      <c r="B39" s="744" t="s">
        <v>672</v>
      </c>
      <c r="C39" s="1795">
        <f>+'PRESENTACIÓN 04-26'!O15</f>
        <v>5143751.0999999996</v>
      </c>
      <c r="D39" s="1796">
        <f>+'Compromisos 04-26'!F150</f>
        <v>646301.02</v>
      </c>
      <c r="E39" s="1796">
        <f>+'Compromisos 04-26'!G150</f>
        <v>646301.02</v>
      </c>
      <c r="F39" s="1796">
        <f>+'Compromisos 04-26'!H150</f>
        <v>646301.02</v>
      </c>
      <c r="G39" s="1796">
        <f>+'Compromisos 04-26'!I150</f>
        <v>646301.02</v>
      </c>
      <c r="H39" s="1796">
        <f>+'Compromisos 04-26'!J150</f>
        <v>646301.02</v>
      </c>
      <c r="I39" s="1797">
        <f t="shared" si="4"/>
        <v>8375256.1999999974</v>
      </c>
      <c r="J39" s="370"/>
    </row>
    <row r="40" spans="2:11" s="747" customFormat="1" ht="15.6">
      <c r="B40" s="703" t="s">
        <v>767</v>
      </c>
      <c r="C40" s="1798">
        <f>+'PRESENTACIÓN 04-26'!O8</f>
        <v>35577230.969999999</v>
      </c>
      <c r="D40" s="1799">
        <f>+'Compromisos 04-26'!F109</f>
        <v>2360000</v>
      </c>
      <c r="E40" s="1799">
        <f>+'Compromisos 04-26'!G109</f>
        <v>2360000</v>
      </c>
      <c r="F40" s="1799">
        <f>+'Compromisos 04-26'!H109</f>
        <v>2360000</v>
      </c>
      <c r="G40" s="1799">
        <f>+'Compromisos 04-26'!I109</f>
        <v>2360000</v>
      </c>
      <c r="H40" s="1799">
        <f>+'Compromisos 04-26'!J109</f>
        <v>2360000</v>
      </c>
      <c r="I40" s="1800">
        <f t="shared" si="4"/>
        <v>47377230.969999999</v>
      </c>
    </row>
    <row r="41" spans="2:11" s="747" customFormat="1" ht="15.6">
      <c r="B41" s="703" t="s">
        <v>1607</v>
      </c>
      <c r="C41" s="1798">
        <f>+'PRESENTACIÓN 04-26'!O9</f>
        <v>3548750.1</v>
      </c>
      <c r="D41" s="1799">
        <f>+'Compromisos 04-26'!F121</f>
        <v>506964.3</v>
      </c>
      <c r="E41" s="1799">
        <f>+'Compromisos 04-26'!G121</f>
        <v>506964.3</v>
      </c>
      <c r="F41" s="1799">
        <f>+'Compromisos 04-26'!H121</f>
        <v>506964.3</v>
      </c>
      <c r="G41" s="1799">
        <f>+'Compromisos 04-26'!I121</f>
        <v>506964.3</v>
      </c>
      <c r="H41" s="1799">
        <f>+'Compromisos 04-26'!J121</f>
        <v>506964.3</v>
      </c>
      <c r="I41" s="1801">
        <f t="shared" si="4"/>
        <v>6083571.5999999996</v>
      </c>
    </row>
    <row r="42" spans="2:11" s="747" customFormat="1" ht="15.6">
      <c r="B42" s="703" t="s">
        <v>768</v>
      </c>
      <c r="C42" s="1802">
        <f>+'PRESENTACIÓN 04-26'!O13</f>
        <v>23234233.989999998</v>
      </c>
      <c r="D42" s="1803">
        <f>+'Compromisos 04-26'!F125</f>
        <v>1770000</v>
      </c>
      <c r="E42" s="1803">
        <f>+'Compromisos 04-26'!G125</f>
        <v>1770000</v>
      </c>
      <c r="F42" s="1803">
        <f>+'Compromisos 04-26'!H125</f>
        <v>1770000</v>
      </c>
      <c r="G42" s="1803">
        <f>+'Compromisos 04-26'!I125</f>
        <v>1770000</v>
      </c>
      <c r="H42" s="1803">
        <f>+'Compromisos 04-26'!J125</f>
        <v>1770000</v>
      </c>
      <c r="I42" s="1801">
        <f t="shared" si="4"/>
        <v>32084233.989999998</v>
      </c>
    </row>
    <row r="43" spans="2:11" s="747" customFormat="1" ht="15.6">
      <c r="B43" s="703" t="s">
        <v>1451</v>
      </c>
      <c r="C43" s="1798">
        <f>+'Costos a Abr-26'!S29+'Costos a Abr-26'!S30-'CXP 04-26 RES'!H13</f>
        <v>15782096.869999997</v>
      </c>
      <c r="D43" s="1799">
        <f>+'Compromisos 04-26'!F138+'Compromisos 04-26'!F145</f>
        <v>1855247.1400000001</v>
      </c>
      <c r="E43" s="1799">
        <f>+'Compromisos 04-26'!G138+'Compromisos 04-26'!G145</f>
        <v>1945000.0000000002</v>
      </c>
      <c r="F43" s="1799">
        <f>+'Compromisos 04-26'!H138+'Compromisos 04-26'!H145</f>
        <v>2126500.0000000005</v>
      </c>
      <c r="G43" s="1799">
        <f>+'Compromisos 04-26'!I138+'Compromisos 04-26'!I145</f>
        <v>2326150.0000000005</v>
      </c>
      <c r="H43" s="1799">
        <f>+'Compromisos 04-26'!J138+'Compromisos 04-26'!J145</f>
        <v>2545765.0000000009</v>
      </c>
      <c r="I43" s="1800">
        <f t="shared" si="4"/>
        <v>26580759.009999998</v>
      </c>
    </row>
    <row r="44" spans="2:11" s="747" customFormat="1" ht="15.6">
      <c r="B44" s="752" t="s">
        <v>962</v>
      </c>
      <c r="C44" s="1802">
        <f>+'Costos a Abr-26'!S28</f>
        <v>9991115.4600000009</v>
      </c>
      <c r="D44" s="1803">
        <f>+'Compromisos 04-26'!F134</f>
        <v>767000</v>
      </c>
      <c r="E44" s="1803">
        <f>+'Compromisos 04-26'!G134</f>
        <v>767000</v>
      </c>
      <c r="F44" s="1803">
        <f>+'Compromisos 04-26'!H134</f>
        <v>767000</v>
      </c>
      <c r="G44" s="1803">
        <f>+'Compromisos 04-26'!I134</f>
        <v>767000</v>
      </c>
      <c r="H44" s="1803">
        <f>+'Compromisos 04-26'!J134</f>
        <v>767000</v>
      </c>
      <c r="I44" s="1801">
        <f t="shared" si="4"/>
        <v>13826115.460000001</v>
      </c>
      <c r="J44" s="583"/>
      <c r="K44" s="583"/>
    </row>
    <row r="45" spans="2:11" ht="15.6">
      <c r="B45" s="752" t="s">
        <v>770</v>
      </c>
      <c r="C45" s="1792">
        <f>+'Costos a Abr-26'!S27-'CXP 04-26 RES'!H12</f>
        <v>72454173.350000009</v>
      </c>
      <c r="D45" s="742">
        <f>+'Compromisos 04-26'!F130</f>
        <v>3737131.36</v>
      </c>
      <c r="E45" s="742">
        <f>+'Compromisos 04-26'!G130</f>
        <v>14079452.279999999</v>
      </c>
      <c r="F45" s="742">
        <f>+'Compromisos 04-26'!H130</f>
        <v>9248887.2000000011</v>
      </c>
      <c r="G45" s="742">
        <f>+'Compromisos 04-26'!I130</f>
        <v>9248887.2000000011</v>
      </c>
      <c r="H45" s="742">
        <f>+'Compromisos 04-26'!J130</f>
        <v>9248887.2000000011</v>
      </c>
      <c r="I45" s="1794">
        <f t="shared" si="4"/>
        <v>118017418.59000002</v>
      </c>
      <c r="J45" s="370"/>
    </row>
    <row r="46" spans="2:11" ht="16.2" thickBot="1">
      <c r="B46" s="756" t="s">
        <v>50</v>
      </c>
      <c r="C46" s="1804">
        <f>+'PRESENTACIÓN 04-26'!O21</f>
        <v>12878255.439999999</v>
      </c>
      <c r="D46" s="1397">
        <f>+'Compromisos 04-26'!F182</f>
        <v>2864583.333333334</v>
      </c>
      <c r="E46" s="1397">
        <f>+'Compromisos 04-26'!G182</f>
        <v>3131944.444444445</v>
      </c>
      <c r="F46" s="1397">
        <f>+'Compromisos 04-26'!H182</f>
        <v>4234375</v>
      </c>
      <c r="G46" s="1397">
        <f>+'Compromisos 04-26'!I182</f>
        <v>4234375</v>
      </c>
      <c r="H46" s="1397">
        <f>+'Compromisos 04-26'!J182</f>
        <v>4932291.666666667</v>
      </c>
      <c r="I46" s="1806">
        <f t="shared" si="4"/>
        <v>32275824.884444445</v>
      </c>
    </row>
    <row r="50" spans="2:13">
      <c r="B50" t="s">
        <v>2465</v>
      </c>
      <c r="C50" s="731">
        <f>+C35+C36</f>
        <v>77043604.640000001</v>
      </c>
      <c r="D50" s="731">
        <f t="shared" ref="D50:H50" si="5">+D35+D36</f>
        <v>67135593.960000008</v>
      </c>
      <c r="E50" s="731">
        <f t="shared" si="5"/>
        <v>88980000</v>
      </c>
      <c r="F50" s="731">
        <f t="shared" si="5"/>
        <v>51530000</v>
      </c>
      <c r="G50" s="731">
        <f t="shared" si="5"/>
        <v>77180000</v>
      </c>
      <c r="H50" s="731">
        <f t="shared" si="5"/>
        <v>78380000</v>
      </c>
      <c r="J50" s="1808"/>
    </row>
    <row r="51" spans="2:13" ht="15" thickBot="1">
      <c r="D51" s="731"/>
      <c r="E51" s="731"/>
      <c r="F51" s="731"/>
      <c r="G51" s="731"/>
      <c r="H51" s="731"/>
      <c r="J51" s="1808"/>
    </row>
    <row r="52" spans="2:13">
      <c r="B52" s="1476" t="s">
        <v>2466</v>
      </c>
      <c r="C52" s="1809">
        <f>+C50*0.118</f>
        <v>9091145.3475199994</v>
      </c>
      <c r="D52" s="1809">
        <f t="shared" ref="D52:H52" si="6">+D50*0.118</f>
        <v>7922000.0872800006</v>
      </c>
      <c r="E52" s="1809">
        <f t="shared" si="6"/>
        <v>10499640</v>
      </c>
      <c r="F52" s="1809">
        <f t="shared" si="6"/>
        <v>6080540</v>
      </c>
      <c r="G52" s="1809">
        <f t="shared" si="6"/>
        <v>9107240</v>
      </c>
      <c r="H52" s="1809">
        <f t="shared" si="6"/>
        <v>9248840</v>
      </c>
      <c r="I52" s="1810"/>
    </row>
    <row r="53" spans="2:13">
      <c r="B53" s="753" t="s">
        <v>2467</v>
      </c>
      <c r="C53" s="1811">
        <f>+C40</f>
        <v>35577230.969999999</v>
      </c>
      <c r="D53" s="1811">
        <f t="shared" ref="D53:H53" si="7">+D40</f>
        <v>2360000</v>
      </c>
      <c r="E53" s="1811">
        <f t="shared" si="7"/>
        <v>2360000</v>
      </c>
      <c r="F53" s="1811">
        <f t="shared" si="7"/>
        <v>2360000</v>
      </c>
      <c r="G53" s="1811">
        <f t="shared" si="7"/>
        <v>2360000</v>
      </c>
      <c r="H53" s="1811">
        <f t="shared" si="7"/>
        <v>2360000</v>
      </c>
      <c r="I53" s="1812"/>
    </row>
    <row r="54" spans="2:13">
      <c r="B54" s="753" t="s">
        <v>2468</v>
      </c>
      <c r="C54" s="1811">
        <f>-C53*0.2</f>
        <v>-7115446.1940000001</v>
      </c>
      <c r="D54" s="1811">
        <f t="shared" ref="D54:H54" si="8">-D53*0.2</f>
        <v>-472000</v>
      </c>
      <c r="E54" s="1811">
        <f t="shared" si="8"/>
        <v>-472000</v>
      </c>
      <c r="F54" s="1811">
        <f t="shared" si="8"/>
        <v>-472000</v>
      </c>
      <c r="G54" s="1811">
        <f t="shared" si="8"/>
        <v>-472000</v>
      </c>
      <c r="H54" s="1811">
        <f t="shared" si="8"/>
        <v>-472000</v>
      </c>
      <c r="I54" s="1812"/>
    </row>
    <row r="55" spans="2:13">
      <c r="B55" s="753"/>
      <c r="C55" s="1811">
        <f>+C53+C54</f>
        <v>28461784.776000001</v>
      </c>
      <c r="D55" s="1811">
        <f t="shared" ref="D55:H55" si="9">+D53+D54</f>
        <v>1888000</v>
      </c>
      <c r="E55" s="1811">
        <f t="shared" si="9"/>
        <v>1888000</v>
      </c>
      <c r="F55" s="1811">
        <f t="shared" si="9"/>
        <v>1888000</v>
      </c>
      <c r="G55" s="1811">
        <f t="shared" si="9"/>
        <v>1888000</v>
      </c>
      <c r="H55" s="1811">
        <f t="shared" si="9"/>
        <v>1888000</v>
      </c>
      <c r="I55" s="1812"/>
    </row>
    <row r="56" spans="2:13">
      <c r="B56" s="753" t="s">
        <v>2469</v>
      </c>
      <c r="C56" s="1811">
        <f>+C52-C55</f>
        <v>-19370639.428479999</v>
      </c>
      <c r="D56" s="1811">
        <f t="shared" ref="D56:H56" si="10">+D52-D55</f>
        <v>6034000.0872800006</v>
      </c>
      <c r="E56" s="1811">
        <f t="shared" si="10"/>
        <v>8611640</v>
      </c>
      <c r="F56" s="1811">
        <f t="shared" si="10"/>
        <v>4192540</v>
      </c>
      <c r="G56" s="1811">
        <f t="shared" si="10"/>
        <v>7219240</v>
      </c>
      <c r="H56" s="1811">
        <f t="shared" si="10"/>
        <v>7360840</v>
      </c>
      <c r="I56" s="1812"/>
      <c r="J56" s="1814"/>
    </row>
    <row r="57" spans="2:13" ht="15" thickBot="1">
      <c r="B57" s="1477" t="s">
        <v>2470</v>
      </c>
      <c r="C57" s="1813">
        <f>+C56</f>
        <v>-19370639.428479999</v>
      </c>
      <c r="D57" s="1813">
        <f>+D56+C57</f>
        <v>-13336639.341199998</v>
      </c>
      <c r="E57" s="1813">
        <f t="shared" ref="E57:H57" si="11">+E56+D57</f>
        <v>-4724999.3411999978</v>
      </c>
      <c r="F57" s="1813">
        <f t="shared" si="11"/>
        <v>-532459.34119999781</v>
      </c>
      <c r="G57" s="1813">
        <f t="shared" si="11"/>
        <v>6686780.6588000022</v>
      </c>
      <c r="H57" s="1813">
        <f t="shared" si="11"/>
        <v>14047620.658800002</v>
      </c>
      <c r="I57" s="767"/>
    </row>
    <row r="58" spans="2:13" ht="15" thickBot="1"/>
    <row r="59" spans="2:13">
      <c r="B59" s="1476" t="s">
        <v>2471</v>
      </c>
      <c r="C59" s="1809">
        <f>+C50*0.0944</f>
        <v>7272916.2780160001</v>
      </c>
      <c r="D59" s="1809">
        <f t="shared" ref="D59:H59" si="12">+D50*0.0944</f>
        <v>6337600.0698240008</v>
      </c>
      <c r="E59" s="1809">
        <f t="shared" si="12"/>
        <v>8399712</v>
      </c>
      <c r="F59" s="1809">
        <f t="shared" si="12"/>
        <v>4864432</v>
      </c>
      <c r="G59" s="1809">
        <f t="shared" si="12"/>
        <v>7285792</v>
      </c>
      <c r="H59" s="1809">
        <f t="shared" si="12"/>
        <v>7399072</v>
      </c>
      <c r="I59" s="1810"/>
    </row>
    <row r="60" spans="2:13">
      <c r="B60" s="753" t="s">
        <v>2472</v>
      </c>
      <c r="C60" s="1811">
        <f>+C42</f>
        <v>23234233.989999998</v>
      </c>
      <c r="D60" s="1811">
        <f t="shared" ref="D60:H60" si="13">+D42</f>
        <v>1770000</v>
      </c>
      <c r="E60" s="1811">
        <f t="shared" si="13"/>
        <v>1770000</v>
      </c>
      <c r="F60" s="1811">
        <f t="shared" si="13"/>
        <v>1770000</v>
      </c>
      <c r="G60" s="1811">
        <f t="shared" si="13"/>
        <v>1770000</v>
      </c>
      <c r="H60" s="1811">
        <f t="shared" si="13"/>
        <v>1770000</v>
      </c>
      <c r="I60" s="1812"/>
    </row>
    <row r="61" spans="2:13">
      <c r="B61" s="753" t="s">
        <v>2469</v>
      </c>
      <c r="C61" s="1811">
        <f>+C59-C60</f>
        <v>-15961317.711983997</v>
      </c>
      <c r="D61" s="1811">
        <f t="shared" ref="D61:H61" si="14">+D59-D60</f>
        <v>4567600.0698240008</v>
      </c>
      <c r="E61" s="1811">
        <f t="shared" si="14"/>
        <v>6629712</v>
      </c>
      <c r="F61" s="1811">
        <f t="shared" si="14"/>
        <v>3094432</v>
      </c>
      <c r="G61" s="1811">
        <f t="shared" si="14"/>
        <v>5515792</v>
      </c>
      <c r="H61" s="1811">
        <f t="shared" si="14"/>
        <v>5629072</v>
      </c>
      <c r="I61" s="1812"/>
    </row>
    <row r="62" spans="2:13" s="370" customFormat="1" ht="15" thickBot="1">
      <c r="B62" s="1477" t="s">
        <v>2470</v>
      </c>
      <c r="C62" s="1813">
        <f>+C61</f>
        <v>-15961317.711983997</v>
      </c>
      <c r="D62" s="1813">
        <f>+D61+C62</f>
        <v>-11393717.642159997</v>
      </c>
      <c r="E62" s="1813">
        <f t="shared" ref="E62:H62" si="15">+E61+D62</f>
        <v>-4764005.6421599966</v>
      </c>
      <c r="F62" s="1813">
        <f t="shared" si="15"/>
        <v>-1669573.6421599966</v>
      </c>
      <c r="G62" s="1813">
        <f t="shared" si="15"/>
        <v>3846218.3578400034</v>
      </c>
      <c r="H62" s="1813">
        <f t="shared" si="15"/>
        <v>9475290.3578400034</v>
      </c>
      <c r="I62" s="767"/>
      <c r="J62"/>
      <c r="L62"/>
      <c r="M62"/>
    </row>
    <row r="63" spans="2:13" s="370" customFormat="1" ht="15" thickBot="1">
      <c r="B63"/>
      <c r="C63" s="1811"/>
      <c r="D63" s="1811"/>
      <c r="E63" s="1811"/>
      <c r="F63" s="1811"/>
      <c r="G63" s="1811"/>
      <c r="H63" s="1811"/>
      <c r="I63" s="1811"/>
      <c r="J63"/>
      <c r="L63"/>
      <c r="M63"/>
    </row>
    <row r="64" spans="2:13">
      <c r="B64" s="2184" t="s">
        <v>2758</v>
      </c>
      <c r="C64" s="2185"/>
      <c r="D64" s="2185"/>
      <c r="E64" s="2185"/>
      <c r="F64" s="2185"/>
      <c r="G64" s="2185"/>
      <c r="H64" s="2186"/>
    </row>
    <row r="65" spans="2:8">
      <c r="B65" s="753" t="s">
        <v>2755</v>
      </c>
      <c r="C65" s="1811">
        <f>564000000+'Costos a Abr-26'!R52-'Costos a Abr-26'!R31</f>
        <v>597978104.27999997</v>
      </c>
      <c r="D65" s="768">
        <f>+D28-'CXP 04-26 RES'!H20-D39</f>
        <v>67423852.932785377</v>
      </c>
      <c r="E65" s="768">
        <f>+E28-'CXP 04-26 RES'!I20-E39</f>
        <v>127893613.05869102</v>
      </c>
      <c r="F65" s="768">
        <f>+F28-'CXP 04-26 RES'!J20-F39</f>
        <v>75639198.534246579</v>
      </c>
      <c r="G65" s="768">
        <f>+G28-'CXP 04-26 RES'!K20-G39</f>
        <v>100746628.53424658</v>
      </c>
      <c r="H65" s="763">
        <f>+H28-'CXP 04-26 RES'!L20-H39</f>
        <v>102864160.20091325</v>
      </c>
    </row>
    <row r="66" spans="2:8">
      <c r="B66" s="753" t="s">
        <v>2756</v>
      </c>
      <c r="C66" s="1811">
        <f>+C65</f>
        <v>597978104.27999997</v>
      </c>
      <c r="D66" s="768">
        <f>+C65+D65</f>
        <v>665401957.21278536</v>
      </c>
      <c r="E66" s="768">
        <f>+D66+E65</f>
        <v>793295570.27147639</v>
      </c>
      <c r="F66" s="768">
        <f t="shared" ref="F66:H66" si="16">+E66+F65</f>
        <v>868934768.80572295</v>
      </c>
      <c r="G66" s="768">
        <f t="shared" si="16"/>
        <v>969681397.33996952</v>
      </c>
      <c r="H66" s="763">
        <f t="shared" si="16"/>
        <v>1072545557.5408828</v>
      </c>
    </row>
    <row r="67" spans="2:8">
      <c r="B67" s="753" t="s">
        <v>2757</v>
      </c>
      <c r="C67" s="1811">
        <f>+C66*0.7</f>
        <v>418584672.99599993</v>
      </c>
      <c r="D67" s="768">
        <f>+D66*0.7</f>
        <v>465781370.04894972</v>
      </c>
      <c r="E67" s="768">
        <f t="shared" ref="E67:H67" si="17">+E66*0.7</f>
        <v>555306899.19003344</v>
      </c>
      <c r="F67" s="768">
        <f t="shared" si="17"/>
        <v>608254338.16400599</v>
      </c>
      <c r="G67" s="768">
        <f t="shared" si="17"/>
        <v>678776978.13797867</v>
      </c>
      <c r="H67" s="763">
        <f t="shared" si="17"/>
        <v>750781890.27861798</v>
      </c>
    </row>
    <row r="68" spans="2:8">
      <c r="B68" s="753" t="s">
        <v>2759</v>
      </c>
      <c r="C68" s="1811">
        <v>200000000</v>
      </c>
      <c r="D68" s="768">
        <f>+C68</f>
        <v>200000000</v>
      </c>
      <c r="E68" s="768">
        <f>+D68+100000000</f>
        <v>300000000</v>
      </c>
      <c r="F68" s="768">
        <f>+E68+240000000-75000000</f>
        <v>465000000</v>
      </c>
      <c r="G68" s="768">
        <f t="shared" ref="G68" si="18">+F68</f>
        <v>465000000</v>
      </c>
      <c r="H68" s="768">
        <f>+G68+180000000</f>
        <v>645000000</v>
      </c>
    </row>
    <row r="69" spans="2:8">
      <c r="B69" s="753" t="s">
        <v>154</v>
      </c>
      <c r="C69" s="1811"/>
      <c r="D69" s="768">
        <f>+D67-D68</f>
        <v>265781370.04894972</v>
      </c>
      <c r="E69" s="768">
        <f>+E67-E68</f>
        <v>255306899.19003344</v>
      </c>
      <c r="F69" s="768">
        <f>+F67-F68</f>
        <v>143254338.16400599</v>
      </c>
      <c r="G69" s="768">
        <f>+G67-G68</f>
        <v>213776978.13797867</v>
      </c>
      <c r="H69" s="763">
        <f>+H67-H68</f>
        <v>105781890.27861798</v>
      </c>
    </row>
    <row r="70" spans="2:8" ht="15" thickBot="1">
      <c r="B70" s="1477"/>
      <c r="C70" s="1813"/>
      <c r="D70" s="2078"/>
      <c r="E70" s="2078"/>
      <c r="F70" s="2078"/>
      <c r="G70" s="2078"/>
      <c r="H70" s="2079"/>
    </row>
  </sheetData>
  <mergeCells count="1">
    <mergeCell ref="B64:H64"/>
  </mergeCells>
  <pageMargins left="0.7" right="0.7" top="0.75" bottom="0.75" header="0.3" footer="0.3"/>
  <legacyDrawing r:id="rId1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E2F46-FDD4-4A5B-9225-DBA0723B222C}">
  <dimension ref="A2:K16"/>
  <sheetViews>
    <sheetView workbookViewId="0">
      <selection activeCell="J11" sqref="J11"/>
    </sheetView>
  </sheetViews>
  <sheetFormatPr baseColWidth="10" defaultColWidth="11.44140625" defaultRowHeight="14.4"/>
  <cols>
    <col min="1" max="1" width="11" customWidth="1"/>
    <col min="2" max="2" width="9.88671875" customWidth="1"/>
    <col min="3" max="3" width="24.44140625" bestFit="1" customWidth="1"/>
    <col min="4" max="4" width="13.44140625" bestFit="1" customWidth="1"/>
    <col min="5" max="5" width="17.88671875" style="181" bestFit="1" customWidth="1"/>
    <col min="6" max="6" width="15.33203125" bestFit="1" customWidth="1"/>
    <col min="7" max="9" width="11.33203125" bestFit="1" customWidth="1"/>
    <col min="10" max="10" width="12.5546875" customWidth="1"/>
    <col min="11" max="11" width="13.6640625" bestFit="1" customWidth="1"/>
  </cols>
  <sheetData>
    <row r="2" spans="1:11" s="1126" customFormat="1" ht="28.2" customHeight="1">
      <c r="D2" s="1126" t="s">
        <v>2615</v>
      </c>
      <c r="E2" s="1126" t="s">
        <v>2616</v>
      </c>
      <c r="F2" s="1126" t="s">
        <v>2617</v>
      </c>
      <c r="G2" s="1126" t="s">
        <v>2618</v>
      </c>
      <c r="H2" s="1126" t="s">
        <v>2619</v>
      </c>
      <c r="I2" s="1126" t="s">
        <v>2620</v>
      </c>
      <c r="J2" s="1126" t="s">
        <v>2621</v>
      </c>
      <c r="K2" s="1126" t="s">
        <v>2622</v>
      </c>
    </row>
    <row r="3" spans="1:11">
      <c r="C3" t="s">
        <v>272</v>
      </c>
      <c r="D3" t="s">
        <v>2623</v>
      </c>
      <c r="E3" s="14">
        <v>0.1</v>
      </c>
      <c r="F3" s="1838">
        <v>234388157.47679996</v>
      </c>
      <c r="G3" s="730">
        <f>+F3*B$14</f>
        <v>79144053.173984408</v>
      </c>
      <c r="H3" s="730">
        <f>+F3*B$15</f>
        <v>85232057.264290899</v>
      </c>
      <c r="I3" s="730">
        <f>+F3*B$16</f>
        <v>70012047.038524657</v>
      </c>
      <c r="J3" s="1838"/>
      <c r="K3" s="509">
        <f t="shared" ref="K3:K10" si="0">+G3-J3</f>
        <v>79144053.173984408</v>
      </c>
    </row>
    <row r="4" spans="1:11">
      <c r="C4" t="s">
        <v>2624</v>
      </c>
      <c r="D4" t="s">
        <v>1932</v>
      </c>
      <c r="E4" s="181" t="s">
        <v>2625</v>
      </c>
      <c r="F4" s="1838">
        <f>19264643</f>
        <v>19264643</v>
      </c>
      <c r="G4" s="730">
        <f>+F4*B$14</f>
        <v>6504944.3896103892</v>
      </c>
      <c r="H4" s="730">
        <f>+F4*B$15</f>
        <v>7005324.7272727275</v>
      </c>
      <c r="I4" s="730">
        <f>+F4*B$16</f>
        <v>5754373.8831168832</v>
      </c>
      <c r="J4" s="1838"/>
      <c r="K4" s="509">
        <f t="shared" si="0"/>
        <v>6504944.3896103892</v>
      </c>
    </row>
    <row r="5" spans="1:11">
      <c r="C5" t="s">
        <v>768</v>
      </c>
      <c r="D5" t="s">
        <v>1786</v>
      </c>
      <c r="E5" s="14">
        <v>0.08</v>
      </c>
      <c r="F5" s="1838">
        <v>187510525.98143998</v>
      </c>
      <c r="G5" s="730">
        <f>+F5*B$14</f>
        <v>63315242.539187528</v>
      </c>
      <c r="H5" s="730">
        <f>+F5*B$15</f>
        <v>68185645.811432719</v>
      </c>
      <c r="I5" s="730">
        <f>+F5*B$16</f>
        <v>56009637.63081973</v>
      </c>
      <c r="J5" s="1838"/>
      <c r="K5" s="509">
        <f t="shared" si="0"/>
        <v>63315242.539187528</v>
      </c>
    </row>
    <row r="6" spans="1:11">
      <c r="C6" t="s">
        <v>962</v>
      </c>
      <c r="D6" t="s">
        <v>2626</v>
      </c>
      <c r="E6" s="181" t="s">
        <v>2627</v>
      </c>
      <c r="F6" s="1838"/>
      <c r="G6" s="1838"/>
      <c r="J6" s="1838"/>
      <c r="K6" s="509">
        <f t="shared" si="0"/>
        <v>0</v>
      </c>
    </row>
    <row r="7" spans="1:11">
      <c r="C7" t="s">
        <v>2628</v>
      </c>
      <c r="D7" t="s">
        <v>2629</v>
      </c>
      <c r="E7" s="181" t="s">
        <v>2627</v>
      </c>
      <c r="F7" s="1838"/>
      <c r="G7" s="1838"/>
      <c r="J7" s="1838"/>
      <c r="K7" s="509">
        <f t="shared" si="0"/>
        <v>0</v>
      </c>
    </row>
    <row r="8" spans="1:11">
      <c r="C8" t="s">
        <v>2630</v>
      </c>
      <c r="D8" t="s">
        <v>2629</v>
      </c>
      <c r="E8" s="181" t="s">
        <v>2627</v>
      </c>
      <c r="F8" s="1838"/>
      <c r="G8" s="1838"/>
      <c r="J8" s="1838"/>
      <c r="K8" s="509">
        <f t="shared" si="0"/>
        <v>0</v>
      </c>
    </row>
    <row r="9" spans="1:11">
      <c r="C9" t="s">
        <v>2631</v>
      </c>
      <c r="D9" t="s">
        <v>2632</v>
      </c>
      <c r="E9" s="181" t="s">
        <v>2627</v>
      </c>
      <c r="F9" s="1838"/>
      <c r="G9" s="1838"/>
      <c r="J9" s="1838"/>
      <c r="K9" s="509">
        <f t="shared" si="0"/>
        <v>0</v>
      </c>
    </row>
    <row r="10" spans="1:11">
      <c r="C10" t="s">
        <v>2633</v>
      </c>
      <c r="D10" t="s">
        <v>2626</v>
      </c>
      <c r="E10" s="181" t="s">
        <v>2627</v>
      </c>
      <c r="F10" s="1838"/>
      <c r="G10" s="1838"/>
      <c r="J10" s="1838"/>
      <c r="K10" s="509">
        <f t="shared" si="0"/>
        <v>0</v>
      </c>
    </row>
    <row r="11" spans="1:11">
      <c r="F11" s="1838"/>
      <c r="G11" s="1838"/>
      <c r="J11" s="1838"/>
    </row>
    <row r="12" spans="1:11">
      <c r="A12" s="181" t="s">
        <v>2634</v>
      </c>
      <c r="B12" s="181" t="s">
        <v>2635</v>
      </c>
    </row>
    <row r="13" spans="1:11">
      <c r="A13" s="181" t="s">
        <v>2636</v>
      </c>
      <c r="B13" s="1837">
        <v>46600</v>
      </c>
    </row>
    <row r="14" spans="1:11">
      <c r="A14" t="s">
        <v>2637</v>
      </c>
      <c r="B14" s="13">
        <v>0.33766233766233766</v>
      </c>
    </row>
    <row r="15" spans="1:11">
      <c r="A15" t="s">
        <v>2638</v>
      </c>
      <c r="B15" s="13">
        <v>0.36363636363636365</v>
      </c>
    </row>
    <row r="16" spans="1:11">
      <c r="A16" t="s">
        <v>2639</v>
      </c>
      <c r="B16" s="13">
        <v>0.29870129870129869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241</vt:i4>
      </vt:variant>
      <vt:variant>
        <vt:lpstr>Rangos con nombre</vt:lpstr>
      </vt:variant>
      <vt:variant>
        <vt:i4>10</vt:i4>
      </vt:variant>
    </vt:vector>
  </HeadingPairs>
  <TitlesOfParts>
    <vt:vector size="251" baseType="lpstr">
      <vt:lpstr>REPORTE MES 1 (2)</vt:lpstr>
      <vt:lpstr>ARAYA</vt:lpstr>
      <vt:lpstr>budget (6)</vt:lpstr>
      <vt:lpstr>PRESENTACIÓN MARZO 24</vt:lpstr>
      <vt:lpstr>budget (8)</vt:lpstr>
      <vt:lpstr>PRESENTACIÓN ABRIL 24 v0</vt:lpstr>
      <vt:lpstr>budget (9)</vt:lpstr>
      <vt:lpstr>PRESENTACIÓN ABRIL 24 v1</vt:lpstr>
      <vt:lpstr>BITACORA Y AJUSTES AL ARCHIVO</vt:lpstr>
      <vt:lpstr>PRESENTACIÓN 2 meses</vt:lpstr>
      <vt:lpstr>budget (11)</vt:lpstr>
      <vt:lpstr>PRESENTACIÓN Al 29 de mayo</vt:lpstr>
      <vt:lpstr>BG 2024</vt:lpstr>
      <vt:lpstr>FLUJO Y DISPONIBLE</vt:lpstr>
      <vt:lpstr>PRESENTACIÓN290524 ajuste</vt:lpstr>
      <vt:lpstr>FLUJO Y DISPONIBLE (2)</vt:lpstr>
      <vt:lpstr>PRESENTACIÓN Al 30062024</vt:lpstr>
      <vt:lpstr>Finanzas 06.24</vt:lpstr>
      <vt:lpstr>FLUJO Y DISPONIBLE (3)</vt:lpstr>
      <vt:lpstr>Resumen de Costos Comprometidos</vt:lpstr>
      <vt:lpstr>budget</vt:lpstr>
      <vt:lpstr>BCE 06.24</vt:lpstr>
      <vt:lpstr>PRESENTACIÓN Al 31072024</vt:lpstr>
      <vt:lpstr>BCE 07.24</vt:lpstr>
      <vt:lpstr>Resumen de Costos 07.24 </vt:lpstr>
      <vt:lpstr>Finanzas 08.24</vt:lpstr>
      <vt:lpstr>CXP 07.24</vt:lpstr>
      <vt:lpstr>ANTICIPO 07.24</vt:lpstr>
      <vt:lpstr>BCE 08.24</vt:lpstr>
      <vt:lpstr>Resumen de Costos 08.24 </vt:lpstr>
      <vt:lpstr>CXP 08.24</vt:lpstr>
      <vt:lpstr>ANTICIPO 08.24</vt:lpstr>
      <vt:lpstr>PRESENTACIÓN Al 31082024</vt:lpstr>
      <vt:lpstr>FLUJO Y DISPONIBLE 08.24</vt:lpstr>
      <vt:lpstr>CXP 09.24</vt:lpstr>
      <vt:lpstr>Finanzas 09.24</vt:lpstr>
      <vt:lpstr>ANTICIPO 09.24</vt:lpstr>
      <vt:lpstr>BCE 09.24</vt:lpstr>
      <vt:lpstr>PRESENTACIÓN Al 30092024</vt:lpstr>
      <vt:lpstr>FLUJO Y DISPONIBLE 09.24</vt:lpstr>
      <vt:lpstr>CXP 11.24</vt:lpstr>
      <vt:lpstr>Finanzas 11.24</vt:lpstr>
      <vt:lpstr>ANTICIPO 11.24</vt:lpstr>
      <vt:lpstr>BCE 11.24</vt:lpstr>
      <vt:lpstr>PRESENTACIÓN 11-24</vt:lpstr>
      <vt:lpstr>FLUJO Y DISPONIBLE 11.24</vt:lpstr>
      <vt:lpstr>BCE 12.24</vt:lpstr>
      <vt:lpstr>Finanzas 12.24</vt:lpstr>
      <vt:lpstr>ANTICIPOS 12.24</vt:lpstr>
      <vt:lpstr>CXP 12.24</vt:lpstr>
      <vt:lpstr>PRESENTACIÓN 12-24</vt:lpstr>
      <vt:lpstr>FLUJO Y DISPONIBLE 12.24</vt:lpstr>
      <vt:lpstr>BCE 01.25</vt:lpstr>
      <vt:lpstr>Finanza 01.25</vt:lpstr>
      <vt:lpstr>ANTICIPOS 01.25</vt:lpstr>
      <vt:lpstr>CXP 01.25</vt:lpstr>
      <vt:lpstr>PRESENTACIÓN 01-25</vt:lpstr>
      <vt:lpstr>FLUJO Y DISPONIBLE 01-25</vt:lpstr>
      <vt:lpstr>BCE 02.25</vt:lpstr>
      <vt:lpstr>Finanza 02.25</vt:lpstr>
      <vt:lpstr>Anticipos 02.25</vt:lpstr>
      <vt:lpstr>CXP 02.25</vt:lpstr>
      <vt:lpstr>PRESENTACIÓN 02-25</vt:lpstr>
      <vt:lpstr>FLUJO Y DISPONIBLE 02-25</vt:lpstr>
      <vt:lpstr>BCE 25-03-25</vt:lpstr>
      <vt:lpstr>Finanza 25-03-25</vt:lpstr>
      <vt:lpstr>Anticipos 25-03-25</vt:lpstr>
      <vt:lpstr>CXP 25-03-25</vt:lpstr>
      <vt:lpstr>PRESENTACIÓN 25-03-25</vt:lpstr>
      <vt:lpstr>FLUJO Y DISPONIBLE 25-03-25</vt:lpstr>
      <vt:lpstr>BCE 03-25</vt:lpstr>
      <vt:lpstr>Finanza 03-25</vt:lpstr>
      <vt:lpstr>Anticipos 03-25</vt:lpstr>
      <vt:lpstr>CXP 03-25</vt:lpstr>
      <vt:lpstr>Compromiso 15-04-25</vt:lpstr>
      <vt:lpstr>PRESENTACIÓN 03-25</vt:lpstr>
      <vt:lpstr>Publicidad</vt:lpstr>
      <vt:lpstr>FLUJO Y DISPONIBLE 03-25</vt:lpstr>
      <vt:lpstr>BCE 04-25</vt:lpstr>
      <vt:lpstr>Ventas 04-25</vt:lpstr>
      <vt:lpstr>Finanza 04-25</vt:lpstr>
      <vt:lpstr>Anticipos 04-25</vt:lpstr>
      <vt:lpstr>CXP 04-25</vt:lpstr>
      <vt:lpstr>Compromisos 04-25</vt:lpstr>
      <vt:lpstr>PRESENTACIÓN 04-25</vt:lpstr>
      <vt:lpstr>FLUJO Y DISPONIBLE 04-25 </vt:lpstr>
      <vt:lpstr>Ventas 05-25</vt:lpstr>
      <vt:lpstr>Finanza 05-25</vt:lpstr>
      <vt:lpstr>Anticipos 05-25</vt:lpstr>
      <vt:lpstr>CXP 05-25</vt:lpstr>
      <vt:lpstr>Compromisos 05-25</vt:lpstr>
      <vt:lpstr>BCE 05-25</vt:lpstr>
      <vt:lpstr>PRESENTACIÓN 05-25</vt:lpstr>
      <vt:lpstr>FLUJO MAYO 2025</vt:lpstr>
      <vt:lpstr>Finanza 06-25</vt:lpstr>
      <vt:lpstr>Anticipos 06-25</vt:lpstr>
      <vt:lpstr>CXP 06-25</vt:lpstr>
      <vt:lpstr>Compromisos 06-25</vt:lpstr>
      <vt:lpstr>BCE 06-25</vt:lpstr>
      <vt:lpstr>ADI 462 julio 25 </vt:lpstr>
      <vt:lpstr>PRESENTACIÓN 06-25</vt:lpstr>
      <vt:lpstr>FLUJO JUNIO 2025</vt:lpstr>
      <vt:lpstr>Anticipos 07-25</vt:lpstr>
      <vt:lpstr>Finanza 07-25</vt:lpstr>
      <vt:lpstr>CXP 07-25</vt:lpstr>
      <vt:lpstr>Reembolsos MMHB 07-25</vt:lpstr>
      <vt:lpstr>Ing y Costos Bancarios</vt:lpstr>
      <vt:lpstr>Compromisos 07-25</vt:lpstr>
      <vt:lpstr>ADI 462 AGO25</vt:lpstr>
      <vt:lpstr>BCE 07-25</vt:lpstr>
      <vt:lpstr>PRESENTACIÓN 07-25</vt:lpstr>
      <vt:lpstr>FLUJO JULIO 2025</vt:lpstr>
      <vt:lpstr>FLUJO a JULIO 25 AFI-NO USAR</vt:lpstr>
      <vt:lpstr>ADI 462 AGO25 final</vt:lpstr>
      <vt:lpstr>CXP 08-25</vt:lpstr>
      <vt:lpstr>Anticipos 08-25</vt:lpstr>
      <vt:lpstr>Finanza 08-25</vt:lpstr>
      <vt:lpstr>Reembolsos MMHB 08-25</vt:lpstr>
      <vt:lpstr>Compromisos 08-25</vt:lpstr>
      <vt:lpstr>BCE 08-25</vt:lpstr>
      <vt:lpstr>PRESENTACIÓN 08-25</vt:lpstr>
      <vt:lpstr>FLUJO AGOSTO 2025</vt:lpstr>
      <vt:lpstr>PROYECCION EJECUCION</vt:lpstr>
      <vt:lpstr>Préstamos 09-25</vt:lpstr>
      <vt:lpstr>Costos a Sept-25</vt:lpstr>
      <vt:lpstr>Anticipos 09-25</vt:lpstr>
      <vt:lpstr>BCE 09-25</vt:lpstr>
      <vt:lpstr>CXP 09-25</vt:lpstr>
      <vt:lpstr>CXP MMHB</vt:lpstr>
      <vt:lpstr>Flujo y Ejecución</vt:lpstr>
      <vt:lpstr>Compromisos 09-25</vt:lpstr>
      <vt:lpstr>Proc. 09-25</vt:lpstr>
      <vt:lpstr>ADI 09-25</vt:lpstr>
      <vt:lpstr>FLUJO SEPTIEMBRE 2025</vt:lpstr>
      <vt:lpstr>Aged Payables Detail</vt:lpstr>
      <vt:lpstr>PRESENTACIÓN 09-25</vt:lpstr>
      <vt:lpstr>Proc. 10-25</vt:lpstr>
      <vt:lpstr>Préstamos 10-25</vt:lpstr>
      <vt:lpstr>Anticipos 10-25</vt:lpstr>
      <vt:lpstr>CXP 10-25</vt:lpstr>
      <vt:lpstr>CXP </vt:lpstr>
      <vt:lpstr>CXP MMHB 10-25</vt:lpstr>
      <vt:lpstr>Compromisos 10-25</vt:lpstr>
      <vt:lpstr>Costos a Oct-25</vt:lpstr>
      <vt:lpstr>Flujo y Ejecución 10-25</vt:lpstr>
      <vt:lpstr>PRESENTACIÓN 10-25</vt:lpstr>
      <vt:lpstr>BCE 10-25</vt:lpstr>
      <vt:lpstr>BCE Resumido</vt:lpstr>
      <vt:lpstr>FLUJO 10-25</vt:lpstr>
      <vt:lpstr>Proyección de Ventas y Comision</vt:lpstr>
      <vt:lpstr>Intereses Prestamos</vt:lpstr>
      <vt:lpstr>Proc. 11-25</vt:lpstr>
      <vt:lpstr>Préstamos 11-25</vt:lpstr>
      <vt:lpstr>Intereses 11-25 (2)</vt:lpstr>
      <vt:lpstr>Intereses 11-25</vt:lpstr>
      <vt:lpstr>Anticipos 11-25</vt:lpstr>
      <vt:lpstr>CXP 11-25</vt:lpstr>
      <vt:lpstr>CXP 11-25 RES</vt:lpstr>
      <vt:lpstr>CXP MMHB 11-25</vt:lpstr>
      <vt:lpstr>Compromisos 11-25</vt:lpstr>
      <vt:lpstr>Costos a Nov-25</vt:lpstr>
      <vt:lpstr>Flujo y Ejecución 11-25</vt:lpstr>
      <vt:lpstr>BCE 11-25</vt:lpstr>
      <vt:lpstr>BCE Resumido 11-25</vt:lpstr>
      <vt:lpstr>PRESENTACIÓN 11-25</vt:lpstr>
      <vt:lpstr>FLUJO 11-25</vt:lpstr>
      <vt:lpstr>Proc. 12-25</vt:lpstr>
      <vt:lpstr>Préstamos 12-25</vt:lpstr>
      <vt:lpstr>Intereses 12-25</vt:lpstr>
      <vt:lpstr>Anticipos 12-25</vt:lpstr>
      <vt:lpstr>CXP 12-25</vt:lpstr>
      <vt:lpstr>CXP 12-25 RES</vt:lpstr>
      <vt:lpstr>CXP MMHB 12-25</vt:lpstr>
      <vt:lpstr>Compromisos 12-25</vt:lpstr>
      <vt:lpstr>Costos a Dic-25</vt:lpstr>
      <vt:lpstr>Flujo y Ejecución 12-25</vt:lpstr>
      <vt:lpstr>BCE 12-25</vt:lpstr>
      <vt:lpstr>BCE Resumido 12-25</vt:lpstr>
      <vt:lpstr>PRESENTACIÓN 12-25</vt:lpstr>
      <vt:lpstr>FLUJO 12-25</vt:lpstr>
      <vt:lpstr>Préstamos 01-26</vt:lpstr>
      <vt:lpstr>Anticipos 01-26</vt:lpstr>
      <vt:lpstr>CXP 01-26</vt:lpstr>
      <vt:lpstr>CXP 01-26 RES</vt:lpstr>
      <vt:lpstr>CXP MMHB 01-26</vt:lpstr>
      <vt:lpstr>Proc. 01-26</vt:lpstr>
      <vt:lpstr>Costos a Ene-26</vt:lpstr>
      <vt:lpstr>Flujo y Ejecución 01-26</vt:lpstr>
      <vt:lpstr>BCE 01-26</vt:lpstr>
      <vt:lpstr>Intereses 01-26</vt:lpstr>
      <vt:lpstr>BCE Resumido 01-26</vt:lpstr>
      <vt:lpstr>Proyección VTA 01-26</vt:lpstr>
      <vt:lpstr>Compromisos 01-26</vt:lpstr>
      <vt:lpstr>PRESENTACIÓN 01-26</vt:lpstr>
      <vt:lpstr>FLUJO 01-26</vt:lpstr>
      <vt:lpstr>Préstamos 02-26</vt:lpstr>
      <vt:lpstr>Anticipos 02-26</vt:lpstr>
      <vt:lpstr>CXP 02-26</vt:lpstr>
      <vt:lpstr>CXP 02-26 RES</vt:lpstr>
      <vt:lpstr>CXP MMHB 02-26</vt:lpstr>
      <vt:lpstr>Proc. 02-26</vt:lpstr>
      <vt:lpstr>Costos a Feb-26</vt:lpstr>
      <vt:lpstr>Flujo y Ejecución 02-26</vt:lpstr>
      <vt:lpstr>Intereses 02-26</vt:lpstr>
      <vt:lpstr>BCE 02-26</vt:lpstr>
      <vt:lpstr>BCE Resumido 02-26</vt:lpstr>
      <vt:lpstr>Proyección VTA 02-26</vt:lpstr>
      <vt:lpstr>Compromisos 02-26</vt:lpstr>
      <vt:lpstr>PRESENTACIÓN 02-26</vt:lpstr>
      <vt:lpstr>FLUJO 02-26</vt:lpstr>
      <vt:lpstr>Préstamos 03-26</vt:lpstr>
      <vt:lpstr>Anticipos 03-26</vt:lpstr>
      <vt:lpstr>CXP 03-26</vt:lpstr>
      <vt:lpstr>CXP 03-26 RES</vt:lpstr>
      <vt:lpstr>CXP MMHB 03-26</vt:lpstr>
      <vt:lpstr>Proc. 03-26</vt:lpstr>
      <vt:lpstr>Costos a Mar-26</vt:lpstr>
      <vt:lpstr>Flujo y Ejecución 03-26</vt:lpstr>
      <vt:lpstr>Intereses 03-26</vt:lpstr>
      <vt:lpstr>BCE 03-26</vt:lpstr>
      <vt:lpstr>BCE Resumido 03-26</vt:lpstr>
      <vt:lpstr>Proyección VTA 03-26</vt:lpstr>
      <vt:lpstr>Compromisos 03-26</vt:lpstr>
      <vt:lpstr>PRESENTACIÓN 03-26</vt:lpstr>
      <vt:lpstr>FLUJO 03-26</vt:lpstr>
      <vt:lpstr>Préstamos 04-26</vt:lpstr>
      <vt:lpstr>Anticipos 04-26</vt:lpstr>
      <vt:lpstr>CXP 04-26</vt:lpstr>
      <vt:lpstr>CXP MMHB 04-26</vt:lpstr>
      <vt:lpstr>Proc. 04-26</vt:lpstr>
      <vt:lpstr>Flujo y Ejecución 04-26</vt:lpstr>
      <vt:lpstr>BCE 04-26</vt:lpstr>
      <vt:lpstr>BCE Resumido 04-26</vt:lpstr>
      <vt:lpstr>Intereses 04-26</vt:lpstr>
      <vt:lpstr>CXP 04-26 RES</vt:lpstr>
      <vt:lpstr>Compromisos 04-26</vt:lpstr>
      <vt:lpstr>Proyección VTA 04-26</vt:lpstr>
      <vt:lpstr>Costos a Abr-26</vt:lpstr>
      <vt:lpstr>PRESENTACIÓN 04-26</vt:lpstr>
      <vt:lpstr>FLUJO 04-26</vt:lpstr>
      <vt:lpstr>Calculo de Compromisos Fijos</vt:lpstr>
      <vt:lpstr>'ANTICIPOS 01.25'!Área_de_impresión</vt:lpstr>
      <vt:lpstr>'ANTICIPOS 12.24'!Área_de_impresión</vt:lpstr>
      <vt:lpstr>'CXP MMHB'!Área_de_impresión</vt:lpstr>
      <vt:lpstr>'CXP MMHB 01-26'!Área_de_impresión</vt:lpstr>
      <vt:lpstr>'CXP MMHB 02-26'!Área_de_impresión</vt:lpstr>
      <vt:lpstr>'CXP MMHB 03-26'!Área_de_impresión</vt:lpstr>
      <vt:lpstr>'CXP MMHB 04-26'!Área_de_impresión</vt:lpstr>
      <vt:lpstr>'CXP MMHB 10-25'!Área_de_impresión</vt:lpstr>
      <vt:lpstr>'CXP MMHB 11-25'!Área_de_impresión</vt:lpstr>
      <vt:lpstr>'CXP MMHB 12-25'!Área_de_impresión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Ricardo</dc:creator>
  <cp:keywords/>
  <dc:description/>
  <cp:lastModifiedBy>Enrique Montes</cp:lastModifiedBy>
  <cp:revision/>
  <dcterms:created xsi:type="dcterms:W3CDTF">2023-08-01T17:38:49Z</dcterms:created>
  <dcterms:modified xsi:type="dcterms:W3CDTF">2026-05-25T09:45:45Z</dcterms:modified>
  <cp:category/>
  <cp:contentStatus/>
</cp:coreProperties>
</file>