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rupobak-my.sharepoint.com/personal/a_villalona_grupobak_com/Documents/Desktop/GESTION ANTONELY/ARAYA PUNTA CANA/INFORMES/2026/JUNIO 2026/"/>
    </mc:Choice>
  </mc:AlternateContent>
  <xr:revisionPtr revIDLastSave="436" documentId="8_{D825A4FA-9EC4-4529-9B1E-83CEBE81BF25}" xr6:coauthVersionLast="47" xr6:coauthVersionMax="47" xr10:uidLastSave="{C3C42AB6-CA6E-4551-A1EB-B0BB8A82C86C}"/>
  <bookViews>
    <workbookView xWindow="-108" yWindow="-108" windowWidth="23256" windowHeight="12456" tabRatio="779" xr2:uid="{00000000-000D-0000-FFFF-FFFF00000000}"/>
  </bookViews>
  <sheets>
    <sheet name="1. RESUMEN EJECUTIVO" sheetId="1" r:id="rId1"/>
    <sheet name="2. COSTOS JUN-26" sheetId="2" r:id="rId2"/>
    <sheet name="4. CUENTAS POR PAGAR" sheetId="3" r:id="rId3"/>
    <sheet name="Intereses 06-26" sheetId="4" r:id="rId4"/>
    <sheet name="5. ANTICIPOS" sheetId="5" r:id="rId5"/>
    <sheet name="BCE-06-26" sheetId="7" r:id="rId6"/>
    <sheet name="1. RESUMEN EJECUTIVO (2)" sheetId="8" state="hidden" r:id="rId7"/>
  </sheets>
  <externalReferences>
    <externalReference r:id="rId8"/>
  </externalReferences>
  <definedNames>
    <definedName name="A_impresión_IM">#REF!</definedName>
    <definedName name="ANTONE1">#REF!</definedName>
    <definedName name="Calidad">#REF!</definedName>
    <definedName name="CD">#REF!</definedName>
    <definedName name="CDU">#REF!</definedName>
    <definedName name="CDV">#REF!</definedName>
    <definedName name="cesantia">#REF!</definedName>
    <definedName name="COMPANIA">#REF!</definedName>
    <definedName name="DD">#REF!</definedName>
    <definedName name="DDT">#REF!</definedName>
    <definedName name="desperdicio">#REF!</definedName>
    <definedName name="FECHA">#REF!</definedName>
    <definedName name="FlujoBanco">#REF!</definedName>
    <definedName name="formula">#REF!</definedName>
    <definedName name="formula1">#REF!</definedName>
    <definedName name="formula2">#REF!</definedName>
    <definedName name="_xlnm.Recorder">#REF!</definedName>
    <definedName name="herramientas">#REF!</definedName>
    <definedName name="idss">#REF!</definedName>
    <definedName name="INICIO">#REF!</definedName>
    <definedName name="itebis">#REF!</definedName>
    <definedName name="MmExcelLinker_B10F4F3A_688F_4097_8347_A703957170B8" localSheetId="6">DESGLOSE #REF!</definedName>
    <definedName name="MmExcelLinker_B10F4F3A_688F_4097_8347_A703957170B8" localSheetId="5">DESGLOSE #REF!</definedName>
    <definedName name="MmExcelLinker_B10F4F3A_688F_4097_8347_A703957170B8" localSheetId="3">DESGLOSE #REF!</definedName>
    <definedName name="MmExcelLinker_B10F4F3A_688F_4097_8347_A703957170B8">DESGLOSE #REF!</definedName>
    <definedName name="MmExcelLinker_D2E69CB0_417E_47FC_9054_C3A7FE3E45A0" localSheetId="6">CONDOMINIO #REF!</definedName>
    <definedName name="MmExcelLinker_D2E69CB0_417E_47FC_9054_C3A7FE3E45A0" localSheetId="5">CONDOMINIO #REF!</definedName>
    <definedName name="MmExcelLinker_D2E69CB0_417E_47FC_9054_C3A7FE3E45A0" localSheetId="3">CONDOMINIO #REF!</definedName>
    <definedName name="MmExcelLinker_D2E69CB0_417E_47FC_9054_C3A7FE3E45A0">CONDOMINIO #REF!</definedName>
    <definedName name="nn">#REF!</definedName>
    <definedName name="NO">#REF!</definedName>
    <definedName name="OBRA">#REF!</definedName>
    <definedName name="PARTIDABASE">#REF!</definedName>
    <definedName name="pensiones">#REF!</definedName>
    <definedName name="preaviso">#REF!</definedName>
    <definedName name="PROPIETARIO">#REF!</definedName>
    <definedName name="regalia">#REF!</definedName>
    <definedName name="RIF">#REF!</definedName>
    <definedName name="t.c.">#REF!</definedName>
    <definedName name="tasa">#REF!</definedName>
    <definedName name="TITULO">#REF!</definedName>
    <definedName name="TITULOPROPIETARIO">#REF!</definedName>
    <definedName name="totaladministracion">#REF!</definedName>
    <definedName name="totalgastosmedicos">#REF!</definedName>
    <definedName name="totalgeneral">#REF!</definedName>
    <definedName name="totalhhdirecta">#REF!</definedName>
    <definedName name="totalhhindirecta">#REF!</definedName>
    <definedName name="totalnominadirecta">#REF!</definedName>
    <definedName name="totalnominaindirecta">#REF!</definedName>
    <definedName name="totalseguridad">#REF!</definedName>
    <definedName name="totalutilidad">#REF!</definedName>
    <definedName name="transporte">#REF!</definedName>
    <definedName name="Unit_Type_D">#REF!</definedName>
    <definedName name="X">#REF!</definedName>
    <definedName name="yucatan">#REF!</definedName>
    <definedName name="yucatan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AI68" i="8"/>
  <c r="AI45" i="8"/>
  <c r="AI24" i="8"/>
  <c r="AI23" i="8"/>
  <c r="AI22" i="8"/>
  <c r="AI21" i="8"/>
  <c r="AI20" i="8"/>
  <c r="AI19" i="8"/>
  <c r="AI18" i="8"/>
  <c r="AI17" i="8"/>
  <c r="AI16" i="8"/>
  <c r="AI15" i="8"/>
  <c r="AI7" i="8"/>
  <c r="H78" i="8"/>
  <c r="H77" i="8"/>
  <c r="H76" i="8"/>
  <c r="G76" i="8"/>
  <c r="F76" i="8"/>
  <c r="E76" i="8"/>
  <c r="D76" i="8"/>
  <c r="C76" i="8"/>
  <c r="I76" i="8" s="1"/>
  <c r="BZ73" i="8"/>
  <c r="BY73" i="8"/>
  <c r="BX73" i="8"/>
  <c r="BW73" i="8"/>
  <c r="BU73" i="8"/>
  <c r="BT73" i="8"/>
  <c r="BS73" i="8"/>
  <c r="BR73" i="8"/>
  <c r="BQ73" i="8"/>
  <c r="BP73" i="8"/>
  <c r="BO73" i="8"/>
  <c r="BN73" i="8"/>
  <c r="BM73" i="8"/>
  <c r="BL73" i="8"/>
  <c r="BK73" i="8"/>
  <c r="BJ73" i="8"/>
  <c r="BI73" i="8"/>
  <c r="BH73" i="8"/>
  <c r="BG73" i="8"/>
  <c r="BF73" i="8"/>
  <c r="BE73" i="8"/>
  <c r="BD73" i="8"/>
  <c r="BC73" i="8"/>
  <c r="BB73" i="8"/>
  <c r="BA73" i="8"/>
  <c r="AZ73" i="8"/>
  <c r="AY73" i="8"/>
  <c r="AX73" i="8"/>
  <c r="AW73" i="8"/>
  <c r="AV73" i="8"/>
  <c r="AU73" i="8"/>
  <c r="AT73" i="8"/>
  <c r="AS73" i="8"/>
  <c r="AR73" i="8"/>
  <c r="AQ73" i="8"/>
  <c r="AP73" i="8"/>
  <c r="AO73" i="8"/>
  <c r="AN73" i="8"/>
  <c r="AM73" i="8"/>
  <c r="AL73" i="8"/>
  <c r="AK73" i="8"/>
  <c r="AJ73" i="8"/>
  <c r="AH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C73" i="8"/>
  <c r="D72" i="8"/>
  <c r="H72" i="8" s="1"/>
  <c r="BV71" i="8"/>
  <c r="H71" i="8"/>
  <c r="CA71" i="8" s="1"/>
  <c r="D71" i="8"/>
  <c r="E71" i="8" s="1"/>
  <c r="AB70" i="8"/>
  <c r="D70" i="8" s="1"/>
  <c r="BZ68" i="8"/>
  <c r="BZ75" i="8" s="1"/>
  <c r="BY68" i="8"/>
  <c r="BY75" i="8" s="1"/>
  <c r="BX68" i="8"/>
  <c r="BX75" i="8" s="1"/>
  <c r="BW68" i="8"/>
  <c r="BW75" i="8" s="1"/>
  <c r="BU68" i="8"/>
  <c r="BT68" i="8"/>
  <c r="BS68" i="8"/>
  <c r="BR68" i="8"/>
  <c r="BQ68" i="8"/>
  <c r="BP68" i="8"/>
  <c r="BO68" i="8"/>
  <c r="BN68" i="8"/>
  <c r="BM68" i="8"/>
  <c r="BL68" i="8"/>
  <c r="BK68" i="8"/>
  <c r="BJ68" i="8"/>
  <c r="BI68" i="8"/>
  <c r="BH68" i="8"/>
  <c r="BG68" i="8"/>
  <c r="BF68" i="8"/>
  <c r="BE68" i="8"/>
  <c r="BD68" i="8"/>
  <c r="BC68" i="8"/>
  <c r="BB68" i="8"/>
  <c r="BA68" i="8"/>
  <c r="AZ68" i="8"/>
  <c r="AY68" i="8"/>
  <c r="AX68" i="8"/>
  <c r="AW68" i="8"/>
  <c r="AV68" i="8"/>
  <c r="AU68" i="8"/>
  <c r="AT68" i="8"/>
  <c r="AS68" i="8"/>
  <c r="AR68" i="8"/>
  <c r="AQ68" i="8"/>
  <c r="AP68" i="8"/>
  <c r="AO68" i="8"/>
  <c r="AN68" i="8"/>
  <c r="AM68" i="8"/>
  <c r="AL68" i="8"/>
  <c r="AK68" i="8"/>
  <c r="AJ68" i="8"/>
  <c r="AH68" i="8"/>
  <c r="AG68" i="8"/>
  <c r="AF68" i="8"/>
  <c r="AE68" i="8"/>
  <c r="AD68" i="8"/>
  <c r="AC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C68" i="8"/>
  <c r="CA67" i="8"/>
  <c r="I67" i="8"/>
  <c r="D67" i="8"/>
  <c r="CA66" i="8"/>
  <c r="I66" i="8"/>
  <c r="D66" i="8"/>
  <c r="BV65" i="8"/>
  <c r="E65" i="8"/>
  <c r="D65" i="8"/>
  <c r="H65" i="8" s="1"/>
  <c r="CA65" i="8" s="1"/>
  <c r="CA64" i="8"/>
  <c r="BV64" i="8"/>
  <c r="D64" i="8"/>
  <c r="CA63" i="8"/>
  <c r="BV63" i="8"/>
  <c r="D63" i="8"/>
  <c r="CA62" i="8"/>
  <c r="BV62" i="8"/>
  <c r="D62" i="8"/>
  <c r="CA61" i="8"/>
  <c r="BV61" i="8"/>
  <c r="D61" i="8"/>
  <c r="CA60" i="8"/>
  <c r="BV60" i="8"/>
  <c r="D60" i="8"/>
  <c r="CA59" i="8"/>
  <c r="BV59" i="8"/>
  <c r="D59" i="8"/>
  <c r="CA58" i="8"/>
  <c r="BV58" i="8"/>
  <c r="D58" i="8"/>
  <c r="CA57" i="8"/>
  <c r="BV57" i="8"/>
  <c r="D57" i="8"/>
  <c r="AB56" i="8"/>
  <c r="BV56" i="8" s="1"/>
  <c r="CA55" i="8"/>
  <c r="BV55" i="8"/>
  <c r="D55" i="8"/>
  <c r="CA54" i="8"/>
  <c r="BV54" i="8"/>
  <c r="D54" i="8"/>
  <c r="BV53" i="8"/>
  <c r="AB53" i="8"/>
  <c r="D53" i="8"/>
  <c r="H53" i="8" s="1"/>
  <c r="CA53" i="8" s="1"/>
  <c r="CA52" i="8"/>
  <c r="BV52" i="8"/>
  <c r="D52" i="8"/>
  <c r="CA51" i="8"/>
  <c r="BV51" i="8"/>
  <c r="D51" i="8"/>
  <c r="CA50" i="8"/>
  <c r="BV50" i="8"/>
  <c r="D50" i="8"/>
  <c r="CA49" i="8"/>
  <c r="BV49" i="8"/>
  <c r="D49" i="8"/>
  <c r="AB48" i="8"/>
  <c r="BV48" i="8" s="1"/>
  <c r="BV47" i="8"/>
  <c r="E47" i="8"/>
  <c r="D47" i="8"/>
  <c r="H47" i="8" s="1"/>
  <c r="BU45" i="8"/>
  <c r="BU75" i="8" s="1"/>
  <c r="BT45" i="8"/>
  <c r="BT75" i="8" s="1"/>
  <c r="BS45" i="8"/>
  <c r="BS75" i="8" s="1"/>
  <c r="BR45" i="8"/>
  <c r="BQ45" i="8"/>
  <c r="BQ75" i="8" s="1"/>
  <c r="BP45" i="8"/>
  <c r="BP75" i="8" s="1"/>
  <c r="BO45" i="8"/>
  <c r="BO75" i="8" s="1"/>
  <c r="BN45" i="8"/>
  <c r="BM45" i="8"/>
  <c r="BM75" i="8" s="1"/>
  <c r="BL45" i="8"/>
  <c r="BL75" i="8" s="1"/>
  <c r="BK45" i="8"/>
  <c r="BK75" i="8" s="1"/>
  <c r="BJ45" i="8"/>
  <c r="BI45" i="8"/>
  <c r="BI75" i="8" s="1"/>
  <c r="BH45" i="8"/>
  <c r="BH75" i="8" s="1"/>
  <c r="BG45" i="8"/>
  <c r="BG75" i="8" s="1"/>
  <c r="BF45" i="8"/>
  <c r="BE45" i="8"/>
  <c r="BE75" i="8" s="1"/>
  <c r="BD45" i="8"/>
  <c r="BD75" i="8" s="1"/>
  <c r="BC45" i="8"/>
  <c r="BC75" i="8" s="1"/>
  <c r="BB45" i="8"/>
  <c r="BA45" i="8"/>
  <c r="BA75" i="8" s="1"/>
  <c r="AZ45" i="8"/>
  <c r="AZ75" i="8" s="1"/>
  <c r="AY45" i="8"/>
  <c r="AY75" i="8" s="1"/>
  <c r="AX45" i="8"/>
  <c r="AW45" i="8"/>
  <c r="AW75" i="8" s="1"/>
  <c r="AV45" i="8"/>
  <c r="AV75" i="8" s="1"/>
  <c r="AU45" i="8"/>
  <c r="AU75" i="8" s="1"/>
  <c r="AT45" i="8"/>
  <c r="AS45" i="8"/>
  <c r="AS75" i="8" s="1"/>
  <c r="AR45" i="8"/>
  <c r="AR75" i="8" s="1"/>
  <c r="AQ45" i="8"/>
  <c r="AQ75" i="8" s="1"/>
  <c r="AP45" i="8"/>
  <c r="AO45" i="8"/>
  <c r="AO75" i="8" s="1"/>
  <c r="AN45" i="8"/>
  <c r="AN75" i="8" s="1"/>
  <c r="AM45" i="8"/>
  <c r="AM75" i="8" s="1"/>
  <c r="AL45" i="8"/>
  <c r="AK45" i="8"/>
  <c r="AK75" i="8" s="1"/>
  <c r="AJ45" i="8"/>
  <c r="AJ75" i="8" s="1"/>
  <c r="AH45" i="8"/>
  <c r="AH75" i="8" s="1"/>
  <c r="AG45" i="8"/>
  <c r="AF45" i="8"/>
  <c r="AE45" i="8"/>
  <c r="AD45" i="8"/>
  <c r="AA45" i="8"/>
  <c r="AA75" i="8" s="1"/>
  <c r="Z45" i="8"/>
  <c r="Z75" i="8" s="1"/>
  <c r="Y45" i="8"/>
  <c r="Y75" i="8" s="1"/>
  <c r="X45" i="8"/>
  <c r="X75" i="8" s="1"/>
  <c r="W45" i="8"/>
  <c r="V45" i="8"/>
  <c r="V75" i="8" s="1"/>
  <c r="U45" i="8"/>
  <c r="U75" i="8" s="1"/>
  <c r="T45" i="8"/>
  <c r="T75" i="8" s="1"/>
  <c r="S45" i="8"/>
  <c r="S75" i="8" s="1"/>
  <c r="R45" i="8"/>
  <c r="R75" i="8" s="1"/>
  <c r="Q45" i="8"/>
  <c r="Q75" i="8" s="1"/>
  <c r="P45" i="8"/>
  <c r="P75" i="8" s="1"/>
  <c r="O45" i="8"/>
  <c r="N45" i="8"/>
  <c r="N75" i="8" s="1"/>
  <c r="M45" i="8"/>
  <c r="M75" i="8" s="1"/>
  <c r="L45" i="8"/>
  <c r="L75" i="8" s="1"/>
  <c r="K45" i="8"/>
  <c r="K75" i="8" s="1"/>
  <c r="J45" i="8"/>
  <c r="J75" i="8" s="1"/>
  <c r="J76" i="8" s="1"/>
  <c r="K76" i="8" s="1"/>
  <c r="L76" i="8" s="1"/>
  <c r="M76" i="8" s="1"/>
  <c r="C45" i="8"/>
  <c r="C75" i="8" s="1"/>
  <c r="BV44" i="8"/>
  <c r="E44" i="8"/>
  <c r="D44" i="8"/>
  <c r="H44" i="8" s="1"/>
  <c r="CA44" i="8" s="1"/>
  <c r="BV43" i="8"/>
  <c r="D43" i="8"/>
  <c r="E43" i="8" s="1"/>
  <c r="CE42" i="8"/>
  <c r="CA42" i="8"/>
  <c r="BV42" i="8"/>
  <c r="D42" i="8"/>
  <c r="CE41" i="8"/>
  <c r="CA41" i="8"/>
  <c r="BV41" i="8"/>
  <c r="D41" i="8"/>
  <c r="CE40" i="8"/>
  <c r="CA40" i="8"/>
  <c r="BV40" i="8"/>
  <c r="D40" i="8"/>
  <c r="CE39" i="8"/>
  <c r="CA39" i="8"/>
  <c r="BV39" i="8"/>
  <c r="D39" i="8"/>
  <c r="CE38" i="8"/>
  <c r="CA38" i="8"/>
  <c r="BV38" i="8"/>
  <c r="D38" i="8"/>
  <c r="CE37" i="8"/>
  <c r="CA37" i="8"/>
  <c r="BZ37" i="8"/>
  <c r="BV37" i="8"/>
  <c r="D37" i="8"/>
  <c r="CE36" i="8"/>
  <c r="CA36" i="8"/>
  <c r="BV36" i="8"/>
  <c r="D36" i="8"/>
  <c r="BY35" i="8"/>
  <c r="BX35" i="8"/>
  <c r="BZ35" i="8" s="1"/>
  <c r="AC35" i="8"/>
  <c r="AB35" i="8"/>
  <c r="AB45" i="8" s="1"/>
  <c r="G35" i="8"/>
  <c r="BV34" i="8"/>
  <c r="D34" i="8"/>
  <c r="H34" i="8" s="1"/>
  <c r="CA34" i="8" s="1"/>
  <c r="BY33" i="8"/>
  <c r="D33" i="8"/>
  <c r="BY32" i="8" s="1"/>
  <c r="BY34" i="8" s="1"/>
  <c r="BY36" i="8" s="1"/>
  <c r="BY38" i="8" s="1"/>
  <c r="AC33" i="8" s="1"/>
  <c r="BV33" i="8" s="1"/>
  <c r="G32" i="8"/>
  <c r="BX33" i="8" s="1"/>
  <c r="BZ33" i="8" s="1"/>
  <c r="D32" i="8"/>
  <c r="E32" i="8" s="1"/>
  <c r="BV31" i="8"/>
  <c r="H31" i="8"/>
  <c r="CA31" i="8" s="1"/>
  <c r="D31" i="8"/>
  <c r="E31" i="8" s="1"/>
  <c r="BV30" i="8"/>
  <c r="D30" i="8"/>
  <c r="I23" i="8"/>
  <c r="H23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H22" i="8" s="1"/>
  <c r="CA22" i="8" s="1"/>
  <c r="I22" i="8"/>
  <c r="CA21" i="8"/>
  <c r="I21" i="8"/>
  <c r="E21" i="8"/>
  <c r="D21" i="8"/>
  <c r="I20" i="8"/>
  <c r="H20" i="8"/>
  <c r="D20" i="8" s="1"/>
  <c r="E20" i="8" s="1"/>
  <c r="I19" i="8"/>
  <c r="H19" i="8"/>
  <c r="D19" i="8"/>
  <c r="E19" i="8" s="1"/>
  <c r="I18" i="8"/>
  <c r="H18" i="8"/>
  <c r="BU17" i="8"/>
  <c r="BT17" i="8"/>
  <c r="BS17" i="8"/>
  <c r="BR17" i="8"/>
  <c r="BQ17" i="8"/>
  <c r="BP17" i="8"/>
  <c r="BO17" i="8"/>
  <c r="BN17" i="8"/>
  <c r="BM17" i="8"/>
  <c r="BL17" i="8"/>
  <c r="BK17" i="8"/>
  <c r="BJ17" i="8"/>
  <c r="BI17" i="8"/>
  <c r="BH17" i="8"/>
  <c r="BG17" i="8"/>
  <c r="BF17" i="8"/>
  <c r="BE17" i="8"/>
  <c r="BD17" i="8"/>
  <c r="BC17" i="8"/>
  <c r="BB17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I16" i="8"/>
  <c r="H16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H15" i="8" s="1"/>
  <c r="CA15" i="8" s="1"/>
  <c r="I15" i="8"/>
  <c r="AB14" i="8"/>
  <c r="H14" i="8" s="1"/>
  <c r="I14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D13" i="8" s="1"/>
  <c r="D7" i="8" s="1"/>
  <c r="M13" i="8"/>
  <c r="L13" i="8"/>
  <c r="K13" i="8"/>
  <c r="J13" i="8"/>
  <c r="I13" i="8"/>
  <c r="I12" i="8"/>
  <c r="D12" i="8"/>
  <c r="I11" i="8"/>
  <c r="D11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I9" i="8"/>
  <c r="H9" i="8"/>
  <c r="D9" i="8" s="1"/>
  <c r="E9" i="8" s="1"/>
  <c r="I8" i="8"/>
  <c r="H8" i="8"/>
  <c r="D8" i="8" s="1"/>
  <c r="E8" i="8" s="1"/>
  <c r="E10" i="8" s="1"/>
  <c r="BU7" i="8"/>
  <c r="BT7" i="8"/>
  <c r="BS7" i="8"/>
  <c r="BR7" i="8"/>
  <c r="BQ7" i="8"/>
  <c r="BQ24" i="8" s="1"/>
  <c r="BP7" i="8"/>
  <c r="BP24" i="8" s="1"/>
  <c r="BO7" i="8"/>
  <c r="BO24" i="8" s="1"/>
  <c r="BN7" i="8"/>
  <c r="BN24" i="8" s="1"/>
  <c r="BM7" i="8"/>
  <c r="BL7" i="8"/>
  <c r="BK7" i="8"/>
  <c r="BJ7" i="8"/>
  <c r="BI7" i="8"/>
  <c r="BI24" i="8" s="1"/>
  <c r="BH7" i="8"/>
  <c r="BH24" i="8" s="1"/>
  <c r="BG7" i="8"/>
  <c r="BG24" i="8" s="1"/>
  <c r="BF7" i="8"/>
  <c r="BF24" i="8" s="1"/>
  <c r="BE7" i="8"/>
  <c r="BD7" i="8"/>
  <c r="BC7" i="8"/>
  <c r="BB7" i="8"/>
  <c r="BA7" i="8"/>
  <c r="BA24" i="8" s="1"/>
  <c r="AZ7" i="8"/>
  <c r="AZ24" i="8" s="1"/>
  <c r="AY7" i="8"/>
  <c r="AY24" i="8" s="1"/>
  <c r="AX7" i="8"/>
  <c r="AX24" i="8" s="1"/>
  <c r="AW7" i="8"/>
  <c r="AV7" i="8"/>
  <c r="AU7" i="8"/>
  <c r="AT7" i="8"/>
  <c r="AS7" i="8"/>
  <c r="AS24" i="8" s="1"/>
  <c r="AR7" i="8"/>
  <c r="AR24" i="8" s="1"/>
  <c r="AQ7" i="8"/>
  <c r="AQ24" i="8" s="1"/>
  <c r="AP7" i="8"/>
  <c r="AP24" i="8" s="1"/>
  <c r="AO7" i="8"/>
  <c r="AN7" i="8"/>
  <c r="AM7" i="8"/>
  <c r="AL7" i="8"/>
  <c r="AK7" i="8"/>
  <c r="AK24" i="8" s="1"/>
  <c r="AJ7" i="8"/>
  <c r="AJ24" i="8" s="1"/>
  <c r="AH7" i="8"/>
  <c r="AH24" i="8" s="1"/>
  <c r="AG7" i="8"/>
  <c r="AG24" i="8" s="1"/>
  <c r="AF7" i="8"/>
  <c r="AE7" i="8"/>
  <c r="AD7" i="8"/>
  <c r="AC7" i="8"/>
  <c r="AB7" i="8"/>
  <c r="AB24" i="8" s="1"/>
  <c r="AA7" i="8"/>
  <c r="AA24" i="8" s="1"/>
  <c r="Z7" i="8"/>
  <c r="Y7" i="8"/>
  <c r="Y24" i="8" s="1"/>
  <c r="X7" i="8"/>
  <c r="W7" i="8"/>
  <c r="V7" i="8"/>
  <c r="U7" i="8"/>
  <c r="T7" i="8"/>
  <c r="S7" i="8"/>
  <c r="S24" i="8" s="1"/>
  <c r="R7" i="8"/>
  <c r="Q7" i="8"/>
  <c r="Q24" i="8" s="1"/>
  <c r="P7" i="8"/>
  <c r="O7" i="8"/>
  <c r="N7" i="8"/>
  <c r="M7" i="8"/>
  <c r="L7" i="8"/>
  <c r="K7" i="8"/>
  <c r="J7" i="8"/>
  <c r="I7" i="8"/>
  <c r="C7" i="8"/>
  <c r="AH13" i="1"/>
  <c r="AH10" i="1"/>
  <c r="AH7" i="1"/>
  <c r="D32" i="4"/>
  <c r="AF23" i="4"/>
  <c r="Z37" i="4"/>
  <c r="AA37" i="4"/>
  <c r="AF26" i="4"/>
  <c r="AF27" i="4"/>
  <c r="AF29" i="4"/>
  <c r="AF25" i="4"/>
  <c r="E19" i="1"/>
  <c r="D19" i="1"/>
  <c r="D21" i="1"/>
  <c r="E21" i="1" s="1"/>
  <c r="E32" i="4"/>
  <c r="AD32" i="4" s="1"/>
  <c r="D23" i="4"/>
  <c r="C23" i="4"/>
  <c r="AC21" i="4"/>
  <c r="E22" i="4"/>
  <c r="AC22" i="4" s="1"/>
  <c r="Z21" i="4"/>
  <c r="C28" i="4"/>
  <c r="F29" i="5"/>
  <c r="E29" i="5"/>
  <c r="CD36" i="1"/>
  <c r="CD37" i="1"/>
  <c r="CD38" i="1"/>
  <c r="CD39" i="1"/>
  <c r="CD40" i="1"/>
  <c r="CD41" i="1"/>
  <c r="CD42" i="1"/>
  <c r="H77" i="1"/>
  <c r="H78" i="1"/>
  <c r="J24" i="8" l="1"/>
  <c r="R24" i="8"/>
  <c r="Z24" i="8"/>
  <c r="D56" i="8"/>
  <c r="BV68" i="8"/>
  <c r="L24" i="8"/>
  <c r="T24" i="8"/>
  <c r="AL75" i="8"/>
  <c r="AT75" i="8"/>
  <c r="BB75" i="8"/>
  <c r="BJ75" i="8"/>
  <c r="BR75" i="8"/>
  <c r="BV70" i="8"/>
  <c r="H7" i="8"/>
  <c r="E7" i="8"/>
  <c r="H10" i="8"/>
  <c r="D10" i="8" s="1"/>
  <c r="O75" i="8"/>
  <c r="W75" i="8"/>
  <c r="AP75" i="8"/>
  <c r="AX75" i="8"/>
  <c r="BF75" i="8"/>
  <c r="BF82" i="8" s="1"/>
  <c r="BN75" i="8"/>
  <c r="BN82" i="8" s="1"/>
  <c r="H81" i="8"/>
  <c r="M24" i="8"/>
  <c r="AC24" i="8"/>
  <c r="BB24" i="8"/>
  <c r="BB82" i="8" s="1"/>
  <c r="BR24" i="8"/>
  <c r="N24" i="8"/>
  <c r="H17" i="8"/>
  <c r="CA17" i="8" s="1"/>
  <c r="O24" i="8"/>
  <c r="W24" i="8"/>
  <c r="AE24" i="8"/>
  <c r="AN24" i="8"/>
  <c r="AN82" i="8" s="1"/>
  <c r="AV24" i="8"/>
  <c r="AV82" i="8" s="1"/>
  <c r="BD24" i="8"/>
  <c r="BD82" i="8" s="1"/>
  <c r="BL24" i="8"/>
  <c r="BL82" i="8" s="1"/>
  <c r="BT24" i="8"/>
  <c r="BT82" i="8" s="1"/>
  <c r="U24" i="8"/>
  <c r="AL24" i="8"/>
  <c r="AT24" i="8"/>
  <c r="AT82" i="8" s="1"/>
  <c r="BJ24" i="8"/>
  <c r="BJ82" i="8" s="1"/>
  <c r="V24" i="8"/>
  <c r="AD24" i="8"/>
  <c r="AM24" i="8"/>
  <c r="AM82" i="8" s="1"/>
  <c r="AU24" i="8"/>
  <c r="AU82" i="8" s="1"/>
  <c r="BC24" i="8"/>
  <c r="BC82" i="8" s="1"/>
  <c r="BK24" i="8"/>
  <c r="BK82" i="8" s="1"/>
  <c r="BS24" i="8"/>
  <c r="BS82" i="8" s="1"/>
  <c r="P24" i="8"/>
  <c r="X24" i="8"/>
  <c r="AF24" i="8"/>
  <c r="AO24" i="8"/>
  <c r="AO82" i="8" s="1"/>
  <c r="AW24" i="8"/>
  <c r="AW82" i="8" s="1"/>
  <c r="BE24" i="8"/>
  <c r="BE82" i="8" s="1"/>
  <c r="BM24" i="8"/>
  <c r="BM82" i="8" s="1"/>
  <c r="BU24" i="8"/>
  <c r="BU82" i="8" s="1"/>
  <c r="J25" i="8"/>
  <c r="AH82" i="8"/>
  <c r="AQ82" i="8"/>
  <c r="BO82" i="8"/>
  <c r="AJ82" i="8"/>
  <c r="BH82" i="8"/>
  <c r="N76" i="8"/>
  <c r="O76" i="8" s="1"/>
  <c r="P76" i="8" s="1"/>
  <c r="Q76" i="8" s="1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K82" i="8"/>
  <c r="AS82" i="8"/>
  <c r="BA82" i="8"/>
  <c r="BI82" i="8"/>
  <c r="BQ82" i="8"/>
  <c r="AX82" i="8"/>
  <c r="BG82" i="8"/>
  <c r="AR82" i="8"/>
  <c r="H70" i="8"/>
  <c r="D73" i="8"/>
  <c r="E70" i="8"/>
  <c r="AP82" i="8"/>
  <c r="AY82" i="8"/>
  <c r="CA7" i="8"/>
  <c r="AZ82" i="8"/>
  <c r="BP82" i="8"/>
  <c r="K24" i="8"/>
  <c r="H32" i="8"/>
  <c r="CA47" i="8"/>
  <c r="E13" i="8"/>
  <c r="E33" i="8"/>
  <c r="D48" i="8"/>
  <c r="D68" i="8" s="1"/>
  <c r="E53" i="8"/>
  <c r="AB68" i="8"/>
  <c r="AB75" i="8" s="1"/>
  <c r="AB82" i="8" s="1"/>
  <c r="CA20" i="8"/>
  <c r="E72" i="8"/>
  <c r="E30" i="8"/>
  <c r="H33" i="8"/>
  <c r="CA33" i="8" s="1"/>
  <c r="BV35" i="8"/>
  <c r="H30" i="8"/>
  <c r="E34" i="8"/>
  <c r="D35" i="8"/>
  <c r="H43" i="8"/>
  <c r="CA43" i="8" s="1"/>
  <c r="AB73" i="8"/>
  <c r="BX32" i="8"/>
  <c r="AE32" i="4"/>
  <c r="E36" i="4"/>
  <c r="AE36" i="4"/>
  <c r="AD36" i="4"/>
  <c r="AC23" i="4"/>
  <c r="BX35" i="1"/>
  <c r="H4" i="3"/>
  <c r="G4" i="3"/>
  <c r="F4" i="3"/>
  <c r="E4" i="3"/>
  <c r="C58" i="7"/>
  <c r="C49" i="7"/>
  <c r="C46" i="7"/>
  <c r="C50" i="7" s="1"/>
  <c r="C26" i="7"/>
  <c r="C20" i="7"/>
  <c r="C17" i="7"/>
  <c r="C27" i="7" s="1"/>
  <c r="C52" i="7" s="1"/>
  <c r="H81" i="1"/>
  <c r="AL82" i="8" l="1"/>
  <c r="K25" i="8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AH25" i="8" s="1"/>
  <c r="AJ25" i="8" s="1"/>
  <c r="AK25" i="8" s="1"/>
  <c r="AL25" i="8" s="1"/>
  <c r="AM25" i="8" s="1"/>
  <c r="AN25" i="8" s="1"/>
  <c r="AO25" i="8" s="1"/>
  <c r="AP25" i="8" s="1"/>
  <c r="AQ25" i="8" s="1"/>
  <c r="AR25" i="8" s="1"/>
  <c r="AS25" i="8" s="1"/>
  <c r="AT25" i="8" s="1"/>
  <c r="AU25" i="8" s="1"/>
  <c r="AV25" i="8" s="1"/>
  <c r="AW25" i="8" s="1"/>
  <c r="AX25" i="8" s="1"/>
  <c r="AY25" i="8" s="1"/>
  <c r="AZ25" i="8" s="1"/>
  <c r="BA25" i="8" s="1"/>
  <c r="BB25" i="8" s="1"/>
  <c r="BC25" i="8" s="1"/>
  <c r="BD25" i="8" s="1"/>
  <c r="BE25" i="8" s="1"/>
  <c r="BF25" i="8" s="1"/>
  <c r="BG25" i="8" s="1"/>
  <c r="BH25" i="8" s="1"/>
  <c r="BI25" i="8" s="1"/>
  <c r="BJ25" i="8" s="1"/>
  <c r="BK25" i="8" s="1"/>
  <c r="BL25" i="8" s="1"/>
  <c r="BM25" i="8" s="1"/>
  <c r="BN25" i="8" s="1"/>
  <c r="BO25" i="8" s="1"/>
  <c r="BP25" i="8" s="1"/>
  <c r="BQ25" i="8" s="1"/>
  <c r="BR25" i="8" s="1"/>
  <c r="BS25" i="8" s="1"/>
  <c r="BT25" i="8" s="1"/>
  <c r="BU25" i="8" s="1"/>
  <c r="BV25" i="8" s="1"/>
  <c r="BR82" i="8"/>
  <c r="H56" i="8"/>
  <c r="CA56" i="8" s="1"/>
  <c r="E56" i="8"/>
  <c r="H25" i="8"/>
  <c r="H24" i="8"/>
  <c r="CA24" i="8" s="1"/>
  <c r="CA25" i="8" s="1"/>
  <c r="BX34" i="8"/>
  <c r="BZ32" i="8"/>
  <c r="AB76" i="8"/>
  <c r="E73" i="8"/>
  <c r="CA30" i="8"/>
  <c r="H48" i="8"/>
  <c r="E48" i="8"/>
  <c r="E68" i="8" s="1"/>
  <c r="H35" i="8"/>
  <c r="CA35" i="8" s="1"/>
  <c r="E35" i="8"/>
  <c r="E45" i="8" s="1"/>
  <c r="H73" i="8"/>
  <c r="CA70" i="8"/>
  <c r="D45" i="8"/>
  <c r="D75" i="8" s="1"/>
  <c r="AF32" i="4"/>
  <c r="AF36" i="4"/>
  <c r="G35" i="1"/>
  <c r="G32" i="1"/>
  <c r="E75" i="8" l="1"/>
  <c r="I70" i="8"/>
  <c r="I71" i="8"/>
  <c r="I72" i="8"/>
  <c r="AB83" i="8"/>
  <c r="CA48" i="8"/>
  <c r="CA68" i="8" s="1"/>
  <c r="H68" i="8"/>
  <c r="H45" i="8"/>
  <c r="BX36" i="8"/>
  <c r="BZ34" i="8"/>
  <c r="AB14" i="1"/>
  <c r="AB7" i="1" s="1"/>
  <c r="D12" i="1"/>
  <c r="D11" i="1"/>
  <c r="H20" i="1"/>
  <c r="H19" i="1"/>
  <c r="H9" i="1"/>
  <c r="D9" i="1" s="1"/>
  <c r="E9" i="1" s="1"/>
  <c r="H8" i="1"/>
  <c r="D8" i="1" s="1"/>
  <c r="E8" i="1" s="1"/>
  <c r="D40" i="2"/>
  <c r="E40" i="2"/>
  <c r="C40" i="2"/>
  <c r="D39" i="2"/>
  <c r="E39" i="2"/>
  <c r="C39" i="2"/>
  <c r="D35" i="2"/>
  <c r="E35" i="2"/>
  <c r="C35" i="2"/>
  <c r="D18" i="2"/>
  <c r="E18" i="2"/>
  <c r="C18" i="2"/>
  <c r="D37" i="2"/>
  <c r="AB70" i="1"/>
  <c r="D70" i="1" s="1"/>
  <c r="E70" i="1" s="1"/>
  <c r="AB56" i="1"/>
  <c r="D56" i="1" s="1"/>
  <c r="E56" i="1" s="1"/>
  <c r="AB53" i="1"/>
  <c r="BU53" i="1" s="1"/>
  <c r="AB48" i="1"/>
  <c r="BU48" i="1" s="1"/>
  <c r="AB35" i="1"/>
  <c r="D35" i="1" s="1"/>
  <c r="Y37" i="4"/>
  <c r="X37" i="4"/>
  <c r="W37" i="4"/>
  <c r="V37" i="4"/>
  <c r="U37" i="4"/>
  <c r="D37" i="4"/>
  <c r="C35" i="4"/>
  <c r="W33" i="4"/>
  <c r="V33" i="4"/>
  <c r="U33" i="4"/>
  <c r="D31" i="4"/>
  <c r="E31" i="4" s="1"/>
  <c r="D30" i="4"/>
  <c r="E29" i="4"/>
  <c r="E28" i="4"/>
  <c r="Z28" i="4" s="1"/>
  <c r="E27" i="4"/>
  <c r="Z27" i="4" s="1"/>
  <c r="C26" i="4"/>
  <c r="AE25" i="4"/>
  <c r="AD25" i="4"/>
  <c r="AC25" i="4"/>
  <c r="AB25" i="4"/>
  <c r="AA25" i="4"/>
  <c r="Z25" i="4"/>
  <c r="Y25" i="4"/>
  <c r="X25" i="4"/>
  <c r="X33" i="4" s="1"/>
  <c r="E25" i="4"/>
  <c r="Y23" i="4"/>
  <c r="P23" i="4"/>
  <c r="O23" i="4"/>
  <c r="N23" i="4"/>
  <c r="M23" i="4"/>
  <c r="L23" i="4"/>
  <c r="K23" i="4"/>
  <c r="K39" i="4" s="1"/>
  <c r="J23" i="4"/>
  <c r="J39" i="4" s="1"/>
  <c r="H23" i="4"/>
  <c r="H39" i="4" s="1"/>
  <c r="G23" i="4"/>
  <c r="AE22" i="4"/>
  <c r="AE23" i="4" s="1"/>
  <c r="AD22" i="4"/>
  <c r="AD23" i="4" s="1"/>
  <c r="AA22" i="4"/>
  <c r="AB21" i="4"/>
  <c r="AB23" i="4" s="1"/>
  <c r="AA21" i="4"/>
  <c r="Z23" i="4"/>
  <c r="E21" i="4"/>
  <c r="E23" i="4" s="1"/>
  <c r="AF20" i="4"/>
  <c r="E20" i="4"/>
  <c r="X19" i="4"/>
  <c r="W19" i="4"/>
  <c r="V19" i="4"/>
  <c r="T19" i="4"/>
  <c r="S19" i="4"/>
  <c r="E19" i="4"/>
  <c r="X18" i="4"/>
  <c r="W18" i="4"/>
  <c r="V18" i="4"/>
  <c r="T18" i="4"/>
  <c r="S18" i="4"/>
  <c r="E18" i="4"/>
  <c r="AF17" i="4"/>
  <c r="AF16" i="4"/>
  <c r="X15" i="4"/>
  <c r="W15" i="4"/>
  <c r="V15" i="4"/>
  <c r="T15" i="4"/>
  <c r="S15" i="4"/>
  <c r="R15" i="4"/>
  <c r="Q15" i="4"/>
  <c r="E15" i="4"/>
  <c r="X14" i="4"/>
  <c r="W14" i="4"/>
  <c r="V14" i="4"/>
  <c r="T14" i="4"/>
  <c r="S14" i="4"/>
  <c r="R14" i="4"/>
  <c r="Q14" i="4"/>
  <c r="Q23" i="4" s="1"/>
  <c r="E14" i="4"/>
  <c r="AE13" i="4"/>
  <c r="AD13" i="4"/>
  <c r="AC13" i="4"/>
  <c r="AB13" i="4"/>
  <c r="AA13" i="4"/>
  <c r="Z13" i="4"/>
  <c r="Y13" i="4"/>
  <c r="X13" i="4"/>
  <c r="W13" i="4"/>
  <c r="V13" i="4"/>
  <c r="E13" i="4"/>
  <c r="D13" i="4"/>
  <c r="T12" i="4"/>
  <c r="K12" i="4"/>
  <c r="O12" i="4" s="1"/>
  <c r="G12" i="4"/>
  <c r="P12" i="4" s="1"/>
  <c r="T11" i="4"/>
  <c r="K11" i="4"/>
  <c r="O11" i="4" s="1"/>
  <c r="G11" i="4"/>
  <c r="P11" i="4" s="1"/>
  <c r="Q11" i="4" s="1"/>
  <c r="R11" i="4" s="1"/>
  <c r="AJ10" i="4"/>
  <c r="T10" i="4"/>
  <c r="S10" i="4"/>
  <c r="S13" i="4" s="1"/>
  <c r="R10" i="4"/>
  <c r="K10" i="4"/>
  <c r="G10" i="4"/>
  <c r="C10" i="4"/>
  <c r="C13" i="4" s="1"/>
  <c r="AJ9" i="4"/>
  <c r="T9" i="4"/>
  <c r="O9" i="4"/>
  <c r="P9" i="4" s="1"/>
  <c r="Q9" i="4" s="1"/>
  <c r="R9" i="4" s="1"/>
  <c r="K9" i="4"/>
  <c r="N9" i="4" s="1"/>
  <c r="G9" i="4"/>
  <c r="AJ8" i="4"/>
  <c r="T8" i="4"/>
  <c r="K8" i="4"/>
  <c r="M8" i="4" s="1"/>
  <c r="G8" i="4"/>
  <c r="P8" i="4" s="1"/>
  <c r="Q8" i="4" s="1"/>
  <c r="R8" i="4" s="1"/>
  <c r="T7" i="4"/>
  <c r="K7" i="4"/>
  <c r="L7" i="4" s="1"/>
  <c r="G7" i="4"/>
  <c r="M7" i="4" s="1"/>
  <c r="N7" i="4" s="1"/>
  <c r="F38" i="2"/>
  <c r="F37" i="2"/>
  <c r="F33" i="2"/>
  <c r="F31" i="2"/>
  <c r="F30" i="2"/>
  <c r="F29" i="2"/>
  <c r="F26" i="2"/>
  <c r="F25" i="2"/>
  <c r="F24" i="2"/>
  <c r="F23" i="2"/>
  <c r="F22" i="2"/>
  <c r="F21" i="2"/>
  <c r="F20" i="2"/>
  <c r="F17" i="2"/>
  <c r="F16" i="2"/>
  <c r="F14" i="2"/>
  <c r="F13" i="2"/>
  <c r="F12" i="2"/>
  <c r="F11" i="2"/>
  <c r="F10" i="2"/>
  <c r="F9" i="2"/>
  <c r="F8" i="2"/>
  <c r="H76" i="1"/>
  <c r="G76" i="1"/>
  <c r="F76" i="1"/>
  <c r="E76" i="1"/>
  <c r="D76" i="1"/>
  <c r="C76" i="1"/>
  <c r="I76" i="1" s="1"/>
  <c r="BY73" i="1"/>
  <c r="BX73" i="1"/>
  <c r="BW73" i="1"/>
  <c r="BV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C73" i="1"/>
  <c r="D72" i="1"/>
  <c r="E72" i="1" s="1"/>
  <c r="BU71" i="1"/>
  <c r="D71" i="1"/>
  <c r="H71" i="1" s="1"/>
  <c r="BZ71" i="1" s="1"/>
  <c r="BY68" i="1"/>
  <c r="BX68" i="1"/>
  <c r="BW68" i="1"/>
  <c r="BV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C68" i="1"/>
  <c r="BZ67" i="1"/>
  <c r="I67" i="1"/>
  <c r="D67" i="1"/>
  <c r="BZ66" i="1"/>
  <c r="I66" i="1"/>
  <c r="D66" i="1"/>
  <c r="BU65" i="1"/>
  <c r="D65" i="1"/>
  <c r="E65" i="1" s="1"/>
  <c r="BZ64" i="1"/>
  <c r="BU64" i="1"/>
  <c r="D64" i="1"/>
  <c r="BZ63" i="1"/>
  <c r="BU63" i="1"/>
  <c r="D63" i="1"/>
  <c r="BZ62" i="1"/>
  <c r="BU62" i="1"/>
  <c r="D62" i="1"/>
  <c r="BZ61" i="1"/>
  <c r="BU61" i="1"/>
  <c r="D61" i="1"/>
  <c r="BZ60" i="1"/>
  <c r="BU60" i="1"/>
  <c r="D60" i="1"/>
  <c r="BZ59" i="1"/>
  <c r="BU59" i="1"/>
  <c r="D59" i="1"/>
  <c r="BZ58" i="1"/>
  <c r="BU58" i="1"/>
  <c r="D58" i="1"/>
  <c r="BZ57" i="1"/>
  <c r="BU57" i="1"/>
  <c r="D57" i="1"/>
  <c r="BZ55" i="1"/>
  <c r="BU55" i="1"/>
  <c r="D55" i="1"/>
  <c r="BZ54" i="1"/>
  <c r="BU54" i="1"/>
  <c r="D54" i="1"/>
  <c r="D53" i="1"/>
  <c r="H53" i="1" s="1"/>
  <c r="BZ53" i="1" s="1"/>
  <c r="BZ52" i="1"/>
  <c r="BU52" i="1"/>
  <c r="D52" i="1"/>
  <c r="BZ51" i="1"/>
  <c r="BU51" i="1"/>
  <c r="D51" i="1"/>
  <c r="BZ50" i="1"/>
  <c r="BU50" i="1"/>
  <c r="D50" i="1"/>
  <c r="BZ49" i="1"/>
  <c r="BU49" i="1"/>
  <c r="D49" i="1"/>
  <c r="BU47" i="1"/>
  <c r="D47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A45" i="1"/>
  <c r="Z45" i="1"/>
  <c r="Y45" i="1"/>
  <c r="X45" i="1"/>
  <c r="W45" i="1"/>
  <c r="V45" i="1"/>
  <c r="U45" i="1"/>
  <c r="T45" i="1"/>
  <c r="S45" i="1"/>
  <c r="R45" i="1"/>
  <c r="Q45" i="1"/>
  <c r="P45" i="1"/>
  <c r="P75" i="1" s="1"/>
  <c r="O45" i="1"/>
  <c r="N45" i="1"/>
  <c r="M45" i="1"/>
  <c r="L45" i="1"/>
  <c r="K45" i="1"/>
  <c r="J45" i="1"/>
  <c r="C45" i="1"/>
  <c r="BU44" i="1"/>
  <c r="D44" i="1"/>
  <c r="E44" i="1" s="1"/>
  <c r="BU43" i="1"/>
  <c r="D43" i="1"/>
  <c r="H43" i="1" s="1"/>
  <c r="BZ43" i="1" s="1"/>
  <c r="BZ42" i="1"/>
  <c r="BU42" i="1"/>
  <c r="D42" i="1"/>
  <c r="BZ41" i="1"/>
  <c r="BU41" i="1"/>
  <c r="D41" i="1"/>
  <c r="BZ40" i="1"/>
  <c r="BU40" i="1"/>
  <c r="D40" i="1"/>
  <c r="BZ39" i="1"/>
  <c r="BU39" i="1"/>
  <c r="D39" i="1"/>
  <c r="BZ38" i="1"/>
  <c r="BU38" i="1"/>
  <c r="D38" i="1"/>
  <c r="BZ37" i="1"/>
  <c r="BY37" i="1"/>
  <c r="BU37" i="1"/>
  <c r="D37" i="1"/>
  <c r="BZ36" i="1"/>
  <c r="BU36" i="1"/>
  <c r="D36" i="1"/>
  <c r="BW35" i="1"/>
  <c r="AC35" i="1"/>
  <c r="BU34" i="1"/>
  <c r="D34" i="1"/>
  <c r="BX33" i="1"/>
  <c r="BW33" i="1"/>
  <c r="D33" i="1"/>
  <c r="H33" i="1" s="1"/>
  <c r="D32" i="1"/>
  <c r="H32" i="1" s="1"/>
  <c r="BU31" i="1"/>
  <c r="D31" i="1"/>
  <c r="H31" i="1" s="1"/>
  <c r="BZ31" i="1" s="1"/>
  <c r="BU30" i="1"/>
  <c r="D30" i="1"/>
  <c r="E30" i="1" s="1"/>
  <c r="I23" i="1"/>
  <c r="H23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BZ21" i="1"/>
  <c r="I21" i="1"/>
  <c r="I20" i="1"/>
  <c r="I19" i="1"/>
  <c r="I18" i="1"/>
  <c r="H18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I16" i="1"/>
  <c r="H16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I14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I12" i="1"/>
  <c r="I11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I9" i="1"/>
  <c r="I8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G7" i="1"/>
  <c r="AF7" i="1"/>
  <c r="AE7" i="1"/>
  <c r="AD7" i="1"/>
  <c r="AC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C7" i="1"/>
  <c r="X75" i="1" l="1"/>
  <c r="H44" i="1"/>
  <c r="BZ44" i="1" s="1"/>
  <c r="BV75" i="1"/>
  <c r="H82" i="8"/>
  <c r="H83" i="8" s="1"/>
  <c r="BZ36" i="8"/>
  <c r="BX38" i="8"/>
  <c r="I35" i="8"/>
  <c r="I39" i="8"/>
  <c r="I38" i="8"/>
  <c r="I42" i="8"/>
  <c r="I34" i="8"/>
  <c r="I43" i="8"/>
  <c r="I30" i="8"/>
  <c r="I40" i="8"/>
  <c r="I33" i="8"/>
  <c r="I44" i="8"/>
  <c r="I31" i="8"/>
  <c r="H75" i="8"/>
  <c r="I32" i="8"/>
  <c r="I41" i="8"/>
  <c r="I37" i="8"/>
  <c r="I36" i="8"/>
  <c r="I63" i="8"/>
  <c r="I61" i="8"/>
  <c r="I59" i="8"/>
  <c r="I57" i="8"/>
  <c r="I47" i="8"/>
  <c r="I52" i="8"/>
  <c r="I50" i="8"/>
  <c r="I55" i="8"/>
  <c r="I48" i="8"/>
  <c r="I64" i="8"/>
  <c r="I62" i="8"/>
  <c r="I60" i="8"/>
  <c r="I58" i="8"/>
  <c r="I53" i="8"/>
  <c r="I56" i="8"/>
  <c r="I65" i="8"/>
  <c r="I51" i="8"/>
  <c r="I49" i="8"/>
  <c r="I54" i="8"/>
  <c r="AO75" i="1"/>
  <c r="AW75" i="1"/>
  <c r="BE75" i="1"/>
  <c r="BM75" i="1"/>
  <c r="C75" i="1"/>
  <c r="Q75" i="1"/>
  <c r="Y75" i="1"/>
  <c r="Z33" i="4"/>
  <c r="Z39" i="4" s="1"/>
  <c r="BZ20" i="1"/>
  <c r="D20" i="1"/>
  <c r="E20" i="1" s="1"/>
  <c r="E30" i="4"/>
  <c r="AD30" i="4" s="1"/>
  <c r="D33" i="4"/>
  <c r="D39" i="4" s="1"/>
  <c r="AA26" i="4"/>
  <c r="C33" i="4"/>
  <c r="AF22" i="4"/>
  <c r="AE27" i="4"/>
  <c r="AD35" i="4"/>
  <c r="AD37" i="4" s="1"/>
  <c r="AB35" i="4"/>
  <c r="AB37" i="4" s="1"/>
  <c r="AC35" i="4"/>
  <c r="AC37" i="4" s="1"/>
  <c r="AF21" i="4"/>
  <c r="AA23" i="4"/>
  <c r="V23" i="4"/>
  <c r="V39" i="4" s="1"/>
  <c r="U18" i="4"/>
  <c r="AF18" i="4" s="1"/>
  <c r="W23" i="4"/>
  <c r="S23" i="4"/>
  <c r="S39" i="4" s="1"/>
  <c r="U19" i="4"/>
  <c r="AF19" i="4" s="1"/>
  <c r="X23" i="4"/>
  <c r="X39" i="4" s="1"/>
  <c r="G13" i="4"/>
  <c r="G39" i="4" s="1"/>
  <c r="U10" i="4"/>
  <c r="AF10" i="4" s="1"/>
  <c r="U14" i="4"/>
  <c r="AF14" i="4" s="1"/>
  <c r="T13" i="4"/>
  <c r="U15" i="4"/>
  <c r="AF15" i="4" s="1"/>
  <c r="E26" i="4"/>
  <c r="Y26" i="4"/>
  <c r="Z26" i="4"/>
  <c r="AB26" i="4"/>
  <c r="AY75" i="1"/>
  <c r="D48" i="1"/>
  <c r="H48" i="1" s="1"/>
  <c r="BZ48" i="1" s="1"/>
  <c r="BO75" i="1"/>
  <c r="BW32" i="1"/>
  <c r="H34" i="1"/>
  <c r="BZ34" i="1" s="1"/>
  <c r="AI75" i="1"/>
  <c r="BC24" i="1"/>
  <c r="AQ75" i="1"/>
  <c r="AM24" i="1"/>
  <c r="BS24" i="1"/>
  <c r="BG75" i="1"/>
  <c r="AE24" i="1"/>
  <c r="AU24" i="1"/>
  <c r="BK24" i="1"/>
  <c r="H47" i="1"/>
  <c r="BZ47" i="1" s="1"/>
  <c r="D13" i="1"/>
  <c r="E13" i="1" s="1"/>
  <c r="AH24" i="1"/>
  <c r="AP24" i="1"/>
  <c r="AX24" i="1"/>
  <c r="BF24" i="1"/>
  <c r="BN24" i="1"/>
  <c r="O75" i="1"/>
  <c r="W75" i="1"/>
  <c r="BP75" i="1"/>
  <c r="P24" i="1"/>
  <c r="X24" i="1"/>
  <c r="H15" i="1"/>
  <c r="BZ15" i="1" s="1"/>
  <c r="Z24" i="1"/>
  <c r="BX32" i="1"/>
  <c r="K75" i="1"/>
  <c r="BU70" i="1"/>
  <c r="AB73" i="1"/>
  <c r="AJ75" i="1"/>
  <c r="AR75" i="1"/>
  <c r="AI24" i="1"/>
  <c r="AQ24" i="1"/>
  <c r="AY24" i="1"/>
  <c r="BG24" i="1"/>
  <c r="BO24" i="1"/>
  <c r="BY35" i="1"/>
  <c r="M75" i="1"/>
  <c r="U75" i="1"/>
  <c r="E71" i="1"/>
  <c r="E73" i="1" s="1"/>
  <c r="C37" i="4"/>
  <c r="L75" i="1"/>
  <c r="AJ24" i="1"/>
  <c r="AR24" i="1"/>
  <c r="AZ24" i="1"/>
  <c r="BH24" i="1"/>
  <c r="BP24" i="1"/>
  <c r="BY33" i="1"/>
  <c r="AZ75" i="1"/>
  <c r="T75" i="1"/>
  <c r="H22" i="1"/>
  <c r="BZ22" i="1" s="1"/>
  <c r="BH75" i="1"/>
  <c r="AH75" i="1"/>
  <c r="AP75" i="1"/>
  <c r="AX75" i="1"/>
  <c r="BF75" i="1"/>
  <c r="BN75" i="1"/>
  <c r="AM75" i="1"/>
  <c r="BC75" i="1"/>
  <c r="J24" i="1"/>
  <c r="J25" i="1" s="1"/>
  <c r="R24" i="1"/>
  <c r="H30" i="1"/>
  <c r="BZ30" i="1" s="1"/>
  <c r="AN75" i="1"/>
  <c r="AV75" i="1"/>
  <c r="BD75" i="1"/>
  <c r="BL75" i="1"/>
  <c r="BT75" i="1"/>
  <c r="AU75" i="1"/>
  <c r="L24" i="1"/>
  <c r="T24" i="1"/>
  <c r="AC24" i="1"/>
  <c r="AK24" i="1"/>
  <c r="AS24" i="1"/>
  <c r="BA24" i="1"/>
  <c r="BI24" i="1"/>
  <c r="BQ24" i="1"/>
  <c r="H7" i="1"/>
  <c r="M24" i="1"/>
  <c r="U24" i="1"/>
  <c r="AD24" i="1"/>
  <c r="AL24" i="1"/>
  <c r="BB24" i="1"/>
  <c r="BJ24" i="1"/>
  <c r="BR24" i="1"/>
  <c r="H10" i="1"/>
  <c r="D10" i="1" s="1"/>
  <c r="E31" i="1"/>
  <c r="E33" i="1"/>
  <c r="H65" i="1"/>
  <c r="BZ65" i="1" s="1"/>
  <c r="AE35" i="4"/>
  <c r="AE37" i="4" s="1"/>
  <c r="BK75" i="1"/>
  <c r="V24" i="1"/>
  <c r="J75" i="1"/>
  <c r="J76" i="1" s="1"/>
  <c r="R75" i="1"/>
  <c r="Z75" i="1"/>
  <c r="H72" i="1"/>
  <c r="BS75" i="1"/>
  <c r="K24" i="1"/>
  <c r="O24" i="1"/>
  <c r="W24" i="1"/>
  <c r="AF24" i="1"/>
  <c r="AN24" i="1"/>
  <c r="AV24" i="1"/>
  <c r="BD24" i="1"/>
  <c r="BL24" i="1"/>
  <c r="BT24" i="1"/>
  <c r="S75" i="1"/>
  <c r="AA75" i="1"/>
  <c r="BU35" i="1"/>
  <c r="AB45" i="1"/>
  <c r="H14" i="1"/>
  <c r="AC29" i="4"/>
  <c r="AE29" i="4"/>
  <c r="AD29" i="4"/>
  <c r="AB24" i="1"/>
  <c r="H17" i="1"/>
  <c r="N24" i="1"/>
  <c r="AT24" i="1"/>
  <c r="E10" i="1"/>
  <c r="S24" i="1"/>
  <c r="AA24" i="1"/>
  <c r="BU56" i="1"/>
  <c r="BU68" i="1" s="1"/>
  <c r="E53" i="1"/>
  <c r="AB68" i="1"/>
  <c r="H35" i="1"/>
  <c r="BZ35" i="1" s="1"/>
  <c r="D45" i="1"/>
  <c r="U11" i="4"/>
  <c r="AF11" i="4" s="1"/>
  <c r="AE28" i="4"/>
  <c r="AD28" i="4"/>
  <c r="AC28" i="4"/>
  <c r="AB28" i="4"/>
  <c r="AA28" i="4"/>
  <c r="AE31" i="4"/>
  <c r="AD31" i="4"/>
  <c r="AC31" i="4"/>
  <c r="W39" i="4"/>
  <c r="H56" i="1"/>
  <c r="BZ56" i="1" s="1"/>
  <c r="Q12" i="4"/>
  <c r="R12" i="4" s="1"/>
  <c r="Y24" i="1"/>
  <c r="AO24" i="1"/>
  <c r="AO82" i="1" s="1"/>
  <c r="BE24" i="1"/>
  <c r="BE82" i="1" s="1"/>
  <c r="BM24" i="1"/>
  <c r="BM82" i="1" s="1"/>
  <c r="AK75" i="1"/>
  <c r="AS75" i="1"/>
  <c r="BA75" i="1"/>
  <c r="BI75" i="1"/>
  <c r="BQ75" i="1"/>
  <c r="L13" i="4"/>
  <c r="L39" i="4" s="1"/>
  <c r="U9" i="4"/>
  <c r="AF9" i="4" s="1"/>
  <c r="Q24" i="1"/>
  <c r="AW24" i="1"/>
  <c r="AW82" i="1" s="1"/>
  <c r="E35" i="1"/>
  <c r="E43" i="1"/>
  <c r="AL75" i="1"/>
  <c r="AT75" i="1"/>
  <c r="BB75" i="1"/>
  <c r="BJ75" i="1"/>
  <c r="BR75" i="1"/>
  <c r="O7" i="4"/>
  <c r="BW34" i="1"/>
  <c r="BW75" i="1"/>
  <c r="AG24" i="1"/>
  <c r="E32" i="1"/>
  <c r="E34" i="1"/>
  <c r="N75" i="1"/>
  <c r="V75" i="1"/>
  <c r="H70" i="1"/>
  <c r="N8" i="4"/>
  <c r="N13" i="4" s="1"/>
  <c r="N39" i="4" s="1"/>
  <c r="AA27" i="4"/>
  <c r="E47" i="1"/>
  <c r="O8" i="4"/>
  <c r="AC26" i="4"/>
  <c r="AB27" i="4"/>
  <c r="AA29" i="4"/>
  <c r="R23" i="4"/>
  <c r="AD26" i="4"/>
  <c r="AC27" i="4"/>
  <c r="AB29" i="4"/>
  <c r="AE26" i="4"/>
  <c r="AD27" i="4"/>
  <c r="E35" i="4"/>
  <c r="M13" i="4"/>
  <c r="M39" i="4" s="1"/>
  <c r="T23" i="4"/>
  <c r="T39" i="4" s="1"/>
  <c r="D73" i="1"/>
  <c r="Y27" i="4"/>
  <c r="AK82" i="1" l="1"/>
  <c r="D68" i="1"/>
  <c r="D75" i="1" s="1"/>
  <c r="AC72" i="1"/>
  <c r="AC72" i="8"/>
  <c r="BQ82" i="1"/>
  <c r="BZ38" i="8"/>
  <c r="AC32" i="8"/>
  <c r="I68" i="8"/>
  <c r="I45" i="8"/>
  <c r="I75" i="8" s="1"/>
  <c r="I73" i="8"/>
  <c r="AT82" i="1"/>
  <c r="BO82" i="1"/>
  <c r="BI82" i="1"/>
  <c r="BG82" i="1"/>
  <c r="AY82" i="1"/>
  <c r="BT82" i="1"/>
  <c r="AL82" i="1"/>
  <c r="AS82" i="1"/>
  <c r="AQ82" i="1"/>
  <c r="AI82" i="1"/>
  <c r="BP82" i="1"/>
  <c r="AP82" i="1"/>
  <c r="BL82" i="1"/>
  <c r="BH82" i="1"/>
  <c r="AH82" i="1"/>
  <c r="AX82" i="1"/>
  <c r="BS82" i="1"/>
  <c r="AM82" i="1"/>
  <c r="AZ82" i="1"/>
  <c r="BC82" i="1"/>
  <c r="BK82" i="1"/>
  <c r="BD82" i="1"/>
  <c r="AV82" i="1"/>
  <c r="AN82" i="1"/>
  <c r="BR82" i="1"/>
  <c r="AR82" i="1"/>
  <c r="BJ82" i="1"/>
  <c r="AJ82" i="1"/>
  <c r="BB82" i="1"/>
  <c r="BA82" i="1"/>
  <c r="BN82" i="1"/>
  <c r="AU82" i="1"/>
  <c r="BF82" i="1"/>
  <c r="AB30" i="4"/>
  <c r="AC30" i="4"/>
  <c r="AC33" i="4" s="1"/>
  <c r="AC39" i="4" s="1"/>
  <c r="AF72" i="8" s="1"/>
  <c r="AF73" i="8" s="1"/>
  <c r="AF75" i="8" s="1"/>
  <c r="AF82" i="8" s="1"/>
  <c r="AA30" i="4"/>
  <c r="AA33" i="4" s="1"/>
  <c r="AA39" i="4" s="1"/>
  <c r="E33" i="4"/>
  <c r="AE30" i="4"/>
  <c r="AE33" i="4" s="1"/>
  <c r="AE39" i="4" s="1"/>
  <c r="AF31" i="4"/>
  <c r="AD33" i="4"/>
  <c r="AD39" i="4" s="1"/>
  <c r="AG72" i="8" s="1"/>
  <c r="AF28" i="4"/>
  <c r="C39" i="4"/>
  <c r="AF35" i="4"/>
  <c r="AF37" i="4" s="1"/>
  <c r="U23" i="4"/>
  <c r="U39" i="4" s="1"/>
  <c r="Y33" i="4"/>
  <c r="Y39" i="4" s="1"/>
  <c r="BZ68" i="1"/>
  <c r="E48" i="1"/>
  <c r="E68" i="1" s="1"/>
  <c r="E37" i="4"/>
  <c r="K25" i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H68" i="1"/>
  <c r="I61" i="1" s="1"/>
  <c r="BY32" i="1"/>
  <c r="BX34" i="1"/>
  <c r="BX36" i="1" s="1"/>
  <c r="BX38" i="1" s="1"/>
  <c r="AC33" i="1" s="1"/>
  <c r="E45" i="1"/>
  <c r="K76" i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H24" i="1"/>
  <c r="AB75" i="1"/>
  <c r="AB82" i="1" s="1"/>
  <c r="D7" i="1"/>
  <c r="E7" i="1" s="1"/>
  <c r="H45" i="1"/>
  <c r="I44" i="1" s="1"/>
  <c r="BZ70" i="1"/>
  <c r="H73" i="1"/>
  <c r="U8" i="4"/>
  <c r="AF8" i="4" s="1"/>
  <c r="P7" i="4"/>
  <c r="O13" i="4"/>
  <c r="O39" i="4" s="1"/>
  <c r="BZ7" i="1"/>
  <c r="H25" i="1"/>
  <c r="U12" i="4"/>
  <c r="AF12" i="4" s="1"/>
  <c r="I51" i="1"/>
  <c r="BW36" i="1"/>
  <c r="BZ17" i="1"/>
  <c r="E39" i="4" l="1"/>
  <c r="I64" i="1"/>
  <c r="I49" i="1"/>
  <c r="AD72" i="1"/>
  <c r="AD73" i="1" s="1"/>
  <c r="AD75" i="1" s="1"/>
  <c r="AD82" i="1" s="1"/>
  <c r="AD72" i="8"/>
  <c r="AD73" i="8" s="1"/>
  <c r="AD75" i="8" s="1"/>
  <c r="AD82" i="8" s="1"/>
  <c r="I57" i="1"/>
  <c r="AG73" i="8"/>
  <c r="AG75" i="8" s="1"/>
  <c r="AG82" i="8" s="1"/>
  <c r="AF30" i="4"/>
  <c r="AF33" i="4" s="1"/>
  <c r="AC73" i="8"/>
  <c r="AC45" i="8"/>
  <c r="BV32" i="8"/>
  <c r="BV45" i="8" s="1"/>
  <c r="CA32" i="8"/>
  <c r="CA45" i="8" s="1"/>
  <c r="I59" i="1"/>
  <c r="I63" i="1"/>
  <c r="I56" i="1"/>
  <c r="I54" i="1"/>
  <c r="I65" i="1"/>
  <c r="I53" i="1"/>
  <c r="I47" i="1"/>
  <c r="I58" i="1"/>
  <c r="I48" i="1"/>
  <c r="I62" i="1"/>
  <c r="I50" i="1"/>
  <c r="I60" i="1"/>
  <c r="I52" i="1"/>
  <c r="I55" i="1"/>
  <c r="AB33" i="4"/>
  <c r="AB39" i="4" s="1"/>
  <c r="AE72" i="8" s="1"/>
  <c r="AE73" i="8" s="1"/>
  <c r="AE75" i="8" s="1"/>
  <c r="AE82" i="8" s="1"/>
  <c r="AC73" i="1"/>
  <c r="AG72" i="1"/>
  <c r="AF72" i="1"/>
  <c r="AF73" i="1" s="1"/>
  <c r="AF75" i="1" s="1"/>
  <c r="AF82" i="1" s="1"/>
  <c r="BU33" i="1"/>
  <c r="BZ33" i="1"/>
  <c r="E75" i="1"/>
  <c r="BZ24" i="1"/>
  <c r="BZ25" i="1" s="1"/>
  <c r="BY34" i="1"/>
  <c r="BY75" i="1" s="1"/>
  <c r="AB76" i="1"/>
  <c r="BX75" i="1"/>
  <c r="I43" i="1"/>
  <c r="I33" i="1"/>
  <c r="I34" i="1"/>
  <c r="I39" i="1"/>
  <c r="I36" i="1"/>
  <c r="I40" i="1"/>
  <c r="I30" i="1"/>
  <c r="I35" i="1"/>
  <c r="I42" i="1"/>
  <c r="I38" i="1"/>
  <c r="I41" i="1"/>
  <c r="H75" i="1"/>
  <c r="I31" i="1"/>
  <c r="I37" i="1"/>
  <c r="I32" i="1"/>
  <c r="P13" i="4"/>
  <c r="P39" i="4" s="1"/>
  <c r="Q7" i="4"/>
  <c r="AC25" i="1"/>
  <c r="I71" i="1"/>
  <c r="I70" i="1"/>
  <c r="I72" i="1"/>
  <c r="BY36" i="1"/>
  <c r="BW38" i="1"/>
  <c r="AI73" i="8" l="1"/>
  <c r="AC75" i="8"/>
  <c r="AI75" i="8" s="1"/>
  <c r="CA72" i="8"/>
  <c r="CA73" i="8" s="1"/>
  <c r="AE72" i="1"/>
  <c r="AE73" i="1" s="1"/>
  <c r="AE75" i="1" s="1"/>
  <c r="AE82" i="1" s="1"/>
  <c r="BV72" i="8"/>
  <c r="BV73" i="8" s="1"/>
  <c r="BV75" i="8" s="1"/>
  <c r="CA75" i="8"/>
  <c r="CA76" i="8" s="1"/>
  <c r="CA82" i="8" s="1"/>
  <c r="AF39" i="4"/>
  <c r="BY38" i="1"/>
  <c r="AC32" i="1"/>
  <c r="AB83" i="1"/>
  <c r="I45" i="1"/>
  <c r="I73" i="1"/>
  <c r="I68" i="1"/>
  <c r="R7" i="4"/>
  <c r="R13" i="4" s="1"/>
  <c r="R39" i="4" s="1"/>
  <c r="Q13" i="4"/>
  <c r="Q39" i="4" s="1"/>
  <c r="AD25" i="1"/>
  <c r="AC76" i="8" l="1"/>
  <c r="AD76" i="8" s="1"/>
  <c r="AE76" i="8" s="1"/>
  <c r="AF76" i="8" s="1"/>
  <c r="AG76" i="8" s="1"/>
  <c r="AH76" i="8" s="1"/>
  <c r="AJ76" i="8" s="1"/>
  <c r="AK76" i="8" s="1"/>
  <c r="AL76" i="8" s="1"/>
  <c r="AM76" i="8" s="1"/>
  <c r="AN76" i="8" s="1"/>
  <c r="AO76" i="8" s="1"/>
  <c r="AP76" i="8" s="1"/>
  <c r="AQ76" i="8" s="1"/>
  <c r="AR76" i="8" s="1"/>
  <c r="AS76" i="8" s="1"/>
  <c r="AT76" i="8" s="1"/>
  <c r="AU76" i="8" s="1"/>
  <c r="AV76" i="8" s="1"/>
  <c r="AW76" i="8" s="1"/>
  <c r="AX76" i="8" s="1"/>
  <c r="AY76" i="8" s="1"/>
  <c r="AZ76" i="8" s="1"/>
  <c r="BA76" i="8" s="1"/>
  <c r="BB76" i="8" s="1"/>
  <c r="BC76" i="8" s="1"/>
  <c r="BD76" i="8" s="1"/>
  <c r="BE76" i="8" s="1"/>
  <c r="BF76" i="8" s="1"/>
  <c r="BG76" i="8" s="1"/>
  <c r="BH76" i="8" s="1"/>
  <c r="BI76" i="8" s="1"/>
  <c r="BJ76" i="8" s="1"/>
  <c r="BK76" i="8" s="1"/>
  <c r="BL76" i="8" s="1"/>
  <c r="BM76" i="8" s="1"/>
  <c r="BN76" i="8" s="1"/>
  <c r="BO76" i="8" s="1"/>
  <c r="BP76" i="8" s="1"/>
  <c r="BQ76" i="8" s="1"/>
  <c r="BR76" i="8" s="1"/>
  <c r="BS76" i="8" s="1"/>
  <c r="BT76" i="8" s="1"/>
  <c r="BU76" i="8" s="1"/>
  <c r="BV76" i="8" s="1"/>
  <c r="AC82" i="8"/>
  <c r="AC83" i="8" s="1"/>
  <c r="AD83" i="8" s="1"/>
  <c r="AE83" i="8" s="1"/>
  <c r="AF83" i="8" s="1"/>
  <c r="AG83" i="8" s="1"/>
  <c r="AH83" i="8" s="1"/>
  <c r="AJ83" i="8" s="1"/>
  <c r="AK83" i="8" s="1"/>
  <c r="AL83" i="8" s="1"/>
  <c r="AM83" i="8" s="1"/>
  <c r="AN83" i="8" s="1"/>
  <c r="AO83" i="8" s="1"/>
  <c r="AP83" i="8" s="1"/>
  <c r="AQ83" i="8" s="1"/>
  <c r="AR83" i="8" s="1"/>
  <c r="AS83" i="8" s="1"/>
  <c r="AT83" i="8" s="1"/>
  <c r="AU83" i="8" s="1"/>
  <c r="AV83" i="8" s="1"/>
  <c r="AW83" i="8" s="1"/>
  <c r="AX83" i="8" s="1"/>
  <c r="AY83" i="8" s="1"/>
  <c r="AZ83" i="8" s="1"/>
  <c r="BA83" i="8" s="1"/>
  <c r="BB83" i="8" s="1"/>
  <c r="BC83" i="8" s="1"/>
  <c r="BD83" i="8" s="1"/>
  <c r="BE83" i="8" s="1"/>
  <c r="BF83" i="8" s="1"/>
  <c r="BG83" i="8" s="1"/>
  <c r="BH83" i="8" s="1"/>
  <c r="BI83" i="8" s="1"/>
  <c r="BJ83" i="8" s="1"/>
  <c r="BK83" i="8" s="1"/>
  <c r="BL83" i="8" s="1"/>
  <c r="BM83" i="8" s="1"/>
  <c r="BN83" i="8" s="1"/>
  <c r="BO83" i="8" s="1"/>
  <c r="BP83" i="8" s="1"/>
  <c r="BQ83" i="8" s="1"/>
  <c r="BR83" i="8" s="1"/>
  <c r="BS83" i="8" s="1"/>
  <c r="BT83" i="8" s="1"/>
  <c r="BU83" i="8" s="1"/>
  <c r="AG73" i="1"/>
  <c r="AG75" i="1" s="1"/>
  <c r="AG82" i="1" s="1"/>
  <c r="BU72" i="1"/>
  <c r="BU73" i="1" s="1"/>
  <c r="BZ72" i="1"/>
  <c r="BZ73" i="1" s="1"/>
  <c r="H82" i="1"/>
  <c r="BU32" i="1"/>
  <c r="BU45" i="1" s="1"/>
  <c r="AC45" i="1"/>
  <c r="AC75" i="1" s="1"/>
  <c r="BZ32" i="1"/>
  <c r="BZ45" i="1" s="1"/>
  <c r="I75" i="1"/>
  <c r="AE25" i="1"/>
  <c r="U7" i="4"/>
  <c r="AF7" i="4" s="1"/>
  <c r="BW76" i="8" l="1"/>
  <c r="BW82" i="8" s="1"/>
  <c r="BV82" i="8"/>
  <c r="AI83" i="8"/>
  <c r="BZ75" i="1"/>
  <c r="BZ76" i="1" s="1"/>
  <c r="BZ82" i="1" s="1"/>
  <c r="BU75" i="1"/>
  <c r="AC76" i="1"/>
  <c r="AD76" i="1" s="1"/>
  <c r="AC82" i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BG83" i="1" s="1"/>
  <c r="BH83" i="1" s="1"/>
  <c r="BI83" i="1" s="1"/>
  <c r="BJ83" i="1" s="1"/>
  <c r="BK83" i="1" s="1"/>
  <c r="BL83" i="1" s="1"/>
  <c r="BM83" i="1" s="1"/>
  <c r="BN83" i="1" s="1"/>
  <c r="BO83" i="1" s="1"/>
  <c r="BP83" i="1" s="1"/>
  <c r="BQ83" i="1" s="1"/>
  <c r="BR83" i="1" s="1"/>
  <c r="BS83" i="1" s="1"/>
  <c r="BT83" i="1" s="1"/>
  <c r="AF25" i="1"/>
  <c r="BX76" i="8" l="1"/>
  <c r="BY76" i="8" s="1"/>
  <c r="BX82" i="8"/>
  <c r="AE76" i="1"/>
  <c r="AG25" i="1"/>
  <c r="BZ76" i="8" l="1"/>
  <c r="BZ82" i="8" s="1"/>
  <c r="BY82" i="8"/>
  <c r="AF76" i="1"/>
  <c r="AH25" i="1"/>
  <c r="AI25" i="1" s="1"/>
  <c r="AG76" i="1" l="1"/>
  <c r="AJ25" i="1"/>
  <c r="AH76" i="1" l="1"/>
  <c r="AI76" i="1" s="1"/>
  <c r="AK25" i="1"/>
  <c r="AJ76" i="1" l="1"/>
  <c r="AL25" i="1"/>
  <c r="AK76" i="1" l="1"/>
  <c r="AM25" i="1"/>
  <c r="AL76" i="1" l="1"/>
  <c r="AN25" i="1"/>
  <c r="AM76" i="1" l="1"/>
  <c r="AO25" i="1"/>
  <c r="AN76" i="1" l="1"/>
  <c r="AP25" i="1"/>
  <c r="AO76" i="1" l="1"/>
  <c r="AQ25" i="1"/>
  <c r="AP76" i="1" l="1"/>
  <c r="AR25" i="1"/>
  <c r="AQ76" i="1" l="1"/>
  <c r="AS25" i="1"/>
  <c r="AR76" i="1" l="1"/>
  <c r="AT25" i="1"/>
  <c r="AS76" i="1" l="1"/>
  <c r="AU25" i="1"/>
  <c r="AT76" i="1" l="1"/>
  <c r="AV25" i="1"/>
  <c r="AU76" i="1" l="1"/>
  <c r="AW25" i="1"/>
  <c r="AV76" i="1" l="1"/>
  <c r="AX25" i="1"/>
  <c r="AW76" i="1" l="1"/>
  <c r="AY25" i="1"/>
  <c r="AX76" i="1" l="1"/>
  <c r="AZ25" i="1"/>
  <c r="AY76" i="1" l="1"/>
  <c r="BA25" i="1"/>
  <c r="AZ76" i="1" l="1"/>
  <c r="BB25" i="1"/>
  <c r="BA76" i="1" l="1"/>
  <c r="BC25" i="1"/>
  <c r="BB76" i="1" l="1"/>
  <c r="BD25" i="1"/>
  <c r="BC76" i="1" l="1"/>
  <c r="BE25" i="1"/>
  <c r="BD76" i="1" l="1"/>
  <c r="BF25" i="1"/>
  <c r="BE76" i="1" l="1"/>
  <c r="BG25" i="1"/>
  <c r="BF76" i="1" l="1"/>
  <c r="BH25" i="1"/>
  <c r="BG76" i="1" l="1"/>
  <c r="BI25" i="1"/>
  <c r="BH76" i="1" l="1"/>
  <c r="BJ25" i="1"/>
  <c r="BI76" i="1" l="1"/>
  <c r="BK25" i="1"/>
  <c r="BJ76" i="1" l="1"/>
  <c r="BL25" i="1"/>
  <c r="BK76" i="1" l="1"/>
  <c r="BM25" i="1"/>
  <c r="BL76" i="1" l="1"/>
  <c r="BN25" i="1"/>
  <c r="BM76" i="1" l="1"/>
  <c r="BO25" i="1"/>
  <c r="BN76" i="1" l="1"/>
  <c r="BP25" i="1"/>
  <c r="BO76" i="1" l="1"/>
  <c r="BQ25" i="1"/>
  <c r="BP76" i="1" l="1"/>
  <c r="BR25" i="1"/>
  <c r="BQ76" i="1" l="1"/>
  <c r="BS25" i="1"/>
  <c r="BR76" i="1" l="1"/>
  <c r="BT25" i="1"/>
  <c r="BS76" i="1" l="1"/>
  <c r="BU25" i="1"/>
  <c r="BT76" i="1" l="1"/>
  <c r="BU76" i="1" l="1"/>
  <c r="BV76" i="1" l="1"/>
  <c r="BU82" i="1"/>
  <c r="BV82" i="1" l="1"/>
  <c r="BW76" i="1"/>
  <c r="BX76" i="1" l="1"/>
  <c r="BW82" i="1"/>
  <c r="BY76" i="1" l="1"/>
  <c r="BY82" i="1" s="1"/>
  <c r="BX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AB14" authorId="0" shapeId="0" xr:uid="{DDF48A7B-A520-4264-891F-5A77738F0AB7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1.2 MM ingresos de partidas no identificadas en meses anteriores. Ya identificadas a hoy.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Antonely Villalona</author>
  </authors>
  <commentList>
    <comment ref="AB14" authorId="0" shapeId="0" xr:uid="{2FB120FA-1206-415A-9088-95D3AE53E5B8}">
      <text>
        <r>
          <rPr>
            <b/>
            <sz val="9"/>
            <color indexed="81"/>
            <rFont val="Tahoma"/>
            <family val="2"/>
          </rPr>
          <t>Antonely Villalona:</t>
        </r>
        <r>
          <rPr>
            <sz val="9"/>
            <color indexed="81"/>
            <rFont val="Tahoma"/>
            <family val="2"/>
          </rPr>
          <t xml:space="preserve">
Incluye 1.2 MM ingresos de partidas no identificadas en meses anteriores. Ya identificadas a hoy.</t>
        </r>
      </text>
    </comment>
  </commentList>
</comments>
</file>

<file path=xl/sharedStrings.xml><?xml version="1.0" encoding="utf-8"?>
<sst xmlns="http://schemas.openxmlformats.org/spreadsheetml/2006/main" count="1077" uniqueCount="582">
  <si>
    <t>INGRESOS POR FUENTE  —  Valores en RD$</t>
  </si>
  <si>
    <t>DISPONIBILIDAD</t>
  </si>
  <si>
    <t>PRESUPUESTO</t>
  </si>
  <si>
    <t>EJECUTADO</t>
  </si>
  <si>
    <t>POR EJECUTAR</t>
  </si>
  <si>
    <t>INGRESOS ACUM. RD$</t>
  </si>
  <si>
    <t>% PART.</t>
  </si>
  <si>
    <t>Acum 2024</t>
  </si>
  <si>
    <t>Ene-25</t>
  </si>
  <si>
    <t>Feb-25</t>
  </si>
  <si>
    <t>Mar-25</t>
  </si>
  <si>
    <t>Abr-25</t>
  </si>
  <si>
    <t>May-25</t>
  </si>
  <si>
    <t>Jun-25</t>
  </si>
  <si>
    <t>Jul-25</t>
  </si>
  <si>
    <t>Ago-25</t>
  </si>
  <si>
    <t>Sep-25</t>
  </si>
  <si>
    <t>Oct-25</t>
  </si>
  <si>
    <t>Nov-25</t>
  </si>
  <si>
    <t>Dic-25</t>
  </si>
  <si>
    <t>Ene-26</t>
  </si>
  <si>
    <t>Feb-26</t>
  </si>
  <si>
    <t>Mar-26</t>
  </si>
  <si>
    <t>Abr-26</t>
  </si>
  <si>
    <t xml:space="preserve"> 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</si>
  <si>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</si>
  <si>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</si>
  <si>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</si>
  <si>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</si>
  <si>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</si>
  <si>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</si>
  <si>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</si>
  <si>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</si>
  <si>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</si>
  <si>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</si>
  <si>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</si>
  <si>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</si>
  <si>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</si>
  <si>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</si>
  <si>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</si>
  <si>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</si>
  <si>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</si>
  <si>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</si>
  <si>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</si>
  <si>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</si>
  <si>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</si>
  <si>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</si>
  <si>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</si>
  <si>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</si>
  <si>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</si>
  <si>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</si>
  <si>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</si>
  <si>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</si>
  <si>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</si>
  <si>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</si>
  <si>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</si>
  <si>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</si>
  <si>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</si>
  <si>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</si>
  <si>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</si>
  <si>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</si>
  <si>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</si>
  <si>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</si>
  <si>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</si>
  <si>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</si>
  <si>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</si>
  <si>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</si>
  <si>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</si>
  <si>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Jan-30</t>
  </si>
  <si>
    <t>Feb-30</t>
  </si>
  <si>
    <t>TOTAL
PROYECCIÓN</t>
  </si>
  <si>
    <t>Total</t>
  </si>
  <si>
    <t xml:space="preserve">  ◆  DEPÓSITOS DE CLIENTES</t>
  </si>
  <si>
    <t xml:space="preserve">      └  Unidades vendidas en el período</t>
  </si>
  <si>
    <t xml:space="preserve">      └  Unidades desistidas en el período</t>
  </si>
  <si>
    <t xml:space="preserve">      └  Unidades vinculadas en el período</t>
  </si>
  <si>
    <t xml:space="preserve">      └  Monto vendido en el período</t>
  </si>
  <si>
    <t xml:space="preserve">      └  Monto desistido en el período</t>
  </si>
  <si>
    <t xml:space="preserve">      └  Total Monto vinculado en el período</t>
  </si>
  <si>
    <t xml:space="preserve">      └  Monto depósitos recibidos (RD$)</t>
  </si>
  <si>
    <t xml:space="preserve">  ◆  APORTES DE SOCIOS</t>
  </si>
  <si>
    <t xml:space="preserve">      └  AFI Universal — Fideicomitente</t>
  </si>
  <si>
    <t xml:space="preserve">  ◆  PRÉSTAMOS RECIBIDOS</t>
  </si>
  <si>
    <t xml:space="preserve">      └  Grupo BAK</t>
  </si>
  <si>
    <t xml:space="preserve">      └  AFI Universal (Crédito Puente)</t>
  </si>
  <si>
    <t xml:space="preserve">      └  Banco Alaver</t>
  </si>
  <si>
    <t xml:space="preserve">      └  IFC</t>
  </si>
  <si>
    <t xml:space="preserve">  ◆  INTERESES GENERADOS POR INVERSIONES</t>
  </si>
  <si>
    <t xml:space="preserve">      └  Cuentas de ahorro y Fondos de inversión</t>
  </si>
  <si>
    <t>TOTAL INGRESOS  RD$</t>
  </si>
  <si>
    <t>TOTAL INGRESOS  ACUMULADOS RD$</t>
  </si>
  <si>
    <t>CENTRO DE COSTO / AUXILIAR</t>
  </si>
  <si>
    <t>PRESUPUESTO
TOTAL</t>
  </si>
  <si>
    <t>ANTICIPOS
ACUM.</t>
  </si>
  <si>
    <t>CXP
AL CORTE</t>
  </si>
  <si>
    <t>PAGOS
ACUMULADOS</t>
  </si>
  <si>
    <t>% EJEC.</t>
  </si>
  <si>
    <t xml:space="preserve">  ◆  CONSTRUCCIÓN</t>
  </si>
  <si>
    <t xml:space="preserve">  1-1 Terreno</t>
  </si>
  <si>
    <t xml:space="preserve">  1-2 Diseño y Proyecto</t>
  </si>
  <si>
    <t>Urbanismo</t>
  </si>
  <si>
    <t>Edificaciones</t>
  </si>
  <si>
    <t xml:space="preserve">  1-4 Urbanismo</t>
  </si>
  <si>
    <t xml:space="preserve">  1-5 Edificaciones</t>
  </si>
  <si>
    <t>CXP</t>
  </si>
  <si>
    <t xml:space="preserve">  1-6 Gerencia de Construcción</t>
  </si>
  <si>
    <t>Pagado</t>
  </si>
  <si>
    <t xml:space="preserve">  1-7 Indirectos de Obra</t>
  </si>
  <si>
    <t>Anticipos</t>
  </si>
  <si>
    <t xml:space="preserve">      └  1-7-1 Gastos Personal Adm. de Obra</t>
  </si>
  <si>
    <t xml:space="preserve">      └  1-7-2 Gastos Operativos Generales</t>
  </si>
  <si>
    <t>Según Flujo</t>
  </si>
  <si>
    <t xml:space="preserve">      └  1-7-3 Equipos y Transporte</t>
  </si>
  <si>
    <t xml:space="preserve">      └  1-7-4 Vigilancia</t>
  </si>
  <si>
    <t xml:space="preserve">      └  1-7-5 Póliza TRC</t>
  </si>
  <si>
    <t xml:space="preserve">      └  1-7-6 Campamento</t>
  </si>
  <si>
    <t xml:space="preserve">      └  1-7-7 Otros Gastos</t>
  </si>
  <si>
    <t xml:space="preserve">  1-8 Fondo de Contingencia</t>
  </si>
  <si>
    <t xml:space="preserve">  1-9 Inspección Técnica</t>
  </si>
  <si>
    <t>Subtotal CONSTRUCCIÓN</t>
  </si>
  <si>
    <t xml:space="preserve">  ◆  GASTOS OPERATIVOS</t>
  </si>
  <si>
    <t xml:space="preserve">  2-1 Gerencia de la Promotora</t>
  </si>
  <si>
    <t xml:space="preserve">  2-2 Gerencia de Ventas</t>
  </si>
  <si>
    <t xml:space="preserve">      └  2-2-1 Comisiones por Venta</t>
  </si>
  <si>
    <t xml:space="preserve">      └  2-2-2 Administración de la Venta</t>
  </si>
  <si>
    <t xml:space="preserve">      └  2-2-3 Equipo de Trabajo Oficina de Ventas</t>
  </si>
  <si>
    <t xml:space="preserve">      └  2-2-4 Gastos Operativos Oficina de Ventas</t>
  </si>
  <si>
    <t xml:space="preserve">  2-3 Administración Fiduciaria</t>
  </si>
  <si>
    <t xml:space="preserve">      └  2-3-1 Adm. General de la Fiduciaria</t>
  </si>
  <si>
    <t xml:space="preserve">      └  2-3-2 Debida Diligencia / Fiduciaria</t>
  </si>
  <si>
    <t xml:space="preserve">  2-4 Promoción y Publicidad</t>
  </si>
  <si>
    <t xml:space="preserve">      └  2-4-1 Apartamento Modelo / Show Room</t>
  </si>
  <si>
    <t xml:space="preserve">      └  2-4-2 Inversión Inicial Promoción y Mercadeo</t>
  </si>
  <si>
    <t xml:space="preserve">      └  2-4-3 Medios Digitales (Campaña y Redes)</t>
  </si>
  <si>
    <t xml:space="preserve">      └  2-4-4 Community Management</t>
  </si>
  <si>
    <t xml:space="preserve">      └  2-4-5 Vallas Publicitarias</t>
  </si>
  <si>
    <t xml:space="preserve">      └  2-4-6 Materiales POP</t>
  </si>
  <si>
    <t xml:space="preserve">      └  2-4-7 Feria y Eventos Publicitarios</t>
  </si>
  <si>
    <t xml:space="preserve">      └  2-4-8 Programa de Referidos</t>
  </si>
  <si>
    <t xml:space="preserve">  2-5 Post Ventas</t>
  </si>
  <si>
    <t xml:space="preserve">      └  2-5-1 Administración Condominio</t>
  </si>
  <si>
    <t xml:space="preserve">      └  2-5-2 Gastos Operativos Post-Venta</t>
  </si>
  <si>
    <t>Subtotal GASTOS OPERATIVOS</t>
  </si>
  <si>
    <t xml:space="preserve">  ◆  OTROS GASTOS</t>
  </si>
  <si>
    <t xml:space="preserve">  3-1 Permisos y Preliminares</t>
  </si>
  <si>
    <t xml:space="preserve">  3-2 Imprevistos</t>
  </si>
  <si>
    <t xml:space="preserve">  3-3 Gastos Financieros</t>
  </si>
  <si>
    <t>Subtotal OTROS GASTOS</t>
  </si>
  <si>
    <t>TOTALES GENERALES  RD$</t>
  </si>
  <si>
    <t>TOTALES GENERALES  ACUMULADOS RD$</t>
  </si>
  <si>
    <t>NETO  (Ingresos − Costos)  RD$</t>
  </si>
  <si>
    <t>NETO  (Ingresos − Costos)  RD$ Acumulados</t>
  </si>
  <si>
    <t>FIDEICOMISO ARAYA — COSTOS DEL PROYECTO  |  Jun 2026  |  Valores en RD$</t>
  </si>
  <si>
    <t>Acumulado May-26  +  Ejecutado Jun-26  =  Acumulado Jun-26</t>
  </si>
  <si>
    <t>AUXILIAR / CENTRO DE COSTO</t>
  </si>
  <si>
    <t>ACUM.
MAY-26</t>
  </si>
  <si>
    <t>JUN-26
(Mes)</t>
  </si>
  <si>
    <t>ACUM.
JUN-26</t>
  </si>
  <si>
    <t>% VAR.
MES</t>
  </si>
  <si>
    <t>◆  CONSTRUCCIÓN</t>
  </si>
  <si>
    <t>1-1-1 Terreno</t>
  </si>
  <si>
    <t>1-2-1 Diseno y Proyecto</t>
  </si>
  <si>
    <t>1-4-1 Urbanismo</t>
  </si>
  <si>
    <t>1-5-1 Edificaciones</t>
  </si>
  <si>
    <t>1-6-1 Gerencia de Construccion</t>
  </si>
  <si>
    <t>1-7-1 Gastos Personal Administrativo de Obra</t>
  </si>
  <si>
    <t>1-7-2 Gastos Operativos Generales</t>
  </si>
  <si>
    <t>1-7-3 Equipos y Transporte</t>
  </si>
  <si>
    <t>1-7-4 Vigilancia</t>
  </si>
  <si>
    <t>1-7-5 Poliza TRC</t>
  </si>
  <si>
    <t>1-7-6 Campamento</t>
  </si>
  <si>
    <t>1-9-1 Inspeccion Tecnica</t>
  </si>
  <si>
    <t>◆  GASTOS OPERATIVOS</t>
  </si>
  <si>
    <t>2-1-1 Gerencia de la Promotora</t>
  </si>
  <si>
    <t>2-2-1 Comisiones por Venta</t>
  </si>
  <si>
    <t>2-2-2 Administracion de la Venta</t>
  </si>
  <si>
    <t>2-2-3 Equipo de Trabajo Oficina de Ventas</t>
  </si>
  <si>
    <t>2-2-4 Gastos Operativos Oficina de ventas</t>
  </si>
  <si>
    <t>2-3-1 Adm General de la Fiduciaria (Estruc. Post y Prev. Adm. Garantia)</t>
  </si>
  <si>
    <t>2-3-2 Debida Diligencia/Desvinculacion-Fiduciaria</t>
  </si>
  <si>
    <t>2-4-1 Apartamento Modelo (Equipamiento)/Show Room</t>
  </si>
  <si>
    <t>2-4-2 Inversion Inicial Promocion y Mercadeo</t>
  </si>
  <si>
    <t>2-4-3 Medios Digitales (Campana y Redes Sociales)</t>
  </si>
  <si>
    <t>2-4-4 Community Management</t>
  </si>
  <si>
    <t>2-4-5 Vallas Publicitarias</t>
  </si>
  <si>
    <t>2-4-6 Materiales POP</t>
  </si>
  <si>
    <t>2-4-7 Feria y Eventos Publicitarios</t>
  </si>
  <si>
    <t>2-4-8 Programa de Referidos</t>
  </si>
  <si>
    <t>◆  OTROS GASTOS</t>
  </si>
  <si>
    <t>3-1-1 Permisos Legales y Preliminares</t>
  </si>
  <si>
    <t>3-3-1 Interes Prestamo</t>
  </si>
  <si>
    <t>TOTAL GENERAL</t>
  </si>
  <si>
    <t>CUENTAS POR PAGAR — CORTE 30 DE JUNIO 2026  |  Valores en RD$</t>
  </si>
  <si>
    <t>Corriente</t>
  </si>
  <si>
    <t>&lt; 1 Mes</t>
  </si>
  <si>
    <t>1 Mes</t>
  </si>
  <si>
    <t>2+ Meses</t>
  </si>
  <si>
    <t>TOTAL</t>
  </si>
  <si>
    <t>AUXILIAR / PROVEEDOR</t>
  </si>
  <si>
    <t>REFERENCIA</t>
  </si>
  <si>
    <t>VENCE</t>
  </si>
  <si>
    <t>CORRIENTE</t>
  </si>
  <si>
    <t>&lt; 1 MES</t>
  </si>
  <si>
    <t>1 MES</t>
  </si>
  <si>
    <t>2 MESES</t>
  </si>
  <si>
    <t>3 MESES</t>
  </si>
  <si>
    <t xml:space="preserve">  ▸  1-4-1 Urbanismo</t>
  </si>
  <si>
    <t xml:space="preserve">  ALMACENES UNIDOS SAS</t>
  </si>
  <si>
    <t>E310002285181</t>
  </si>
  <si>
    <t>22/05/26</t>
  </si>
  <si>
    <t xml:space="preserve">  TALLER INDUSTRIAL J NIVAR SRL</t>
  </si>
  <si>
    <t>B0100000004</t>
  </si>
  <si>
    <t>20/06/26</t>
  </si>
  <si>
    <t xml:space="preserve">  BELLON SAS</t>
  </si>
  <si>
    <t>E310000989574</t>
  </si>
  <si>
    <t>13/07/26</t>
  </si>
  <si>
    <t>E310000989869</t>
  </si>
  <si>
    <t>15/07/26</t>
  </si>
  <si>
    <t xml:space="preserve">  CONSTRUCTORA FELIX CAMPOS SRL</t>
  </si>
  <si>
    <t>B0100000111</t>
  </si>
  <si>
    <t>26/06/26</t>
  </si>
  <si>
    <t>B0100000113</t>
  </si>
  <si>
    <t xml:space="preserve">  INVERSIONES ROMUR SRL</t>
  </si>
  <si>
    <t>B0100000161</t>
  </si>
  <si>
    <t xml:space="preserve">  BLUE WAVE AGREGADOS SRL</t>
  </si>
  <si>
    <t>E310000000590</t>
  </si>
  <si>
    <t>02/07/26</t>
  </si>
  <si>
    <t xml:space="preserve">  FERRETERIA DETALLISTA SA</t>
  </si>
  <si>
    <t>E310000273424</t>
  </si>
  <si>
    <t>08/07/26</t>
  </si>
  <si>
    <t>E310000273448</t>
  </si>
  <si>
    <t>09/07/26</t>
  </si>
  <si>
    <t>E310000273450</t>
  </si>
  <si>
    <t>10/07/26</t>
  </si>
  <si>
    <t>E310000000632</t>
  </si>
  <si>
    <t>E310000991806</t>
  </si>
  <si>
    <t>18/07/26</t>
  </si>
  <si>
    <t>E310000991646</t>
  </si>
  <si>
    <t>17/07/26</t>
  </si>
  <si>
    <t xml:space="preserve">  SUPLIDORES ELECTRICOS DEL CARI</t>
  </si>
  <si>
    <t>E310000026687</t>
  </si>
  <si>
    <t>24/07/26</t>
  </si>
  <si>
    <t>E310001389213</t>
  </si>
  <si>
    <t>26/07/26</t>
  </si>
  <si>
    <t>E310001390031</t>
  </si>
  <si>
    <t>29/07/26</t>
  </si>
  <si>
    <t xml:space="preserve">  ▸  1-5-1 Edificaciones</t>
  </si>
  <si>
    <t>E310000989046</t>
  </si>
  <si>
    <t>11/07/26</t>
  </si>
  <si>
    <t xml:space="preserve">  RODFOR TEAM S R L</t>
  </si>
  <si>
    <t>E310000013333</t>
  </si>
  <si>
    <t>27/03/26</t>
  </si>
  <si>
    <t>E310000273292</t>
  </si>
  <si>
    <t>25/06/26</t>
  </si>
  <si>
    <t>E310000373345</t>
  </si>
  <si>
    <t>28/06/26</t>
  </si>
  <si>
    <t>E310000273381</t>
  </si>
  <si>
    <t>03/07/26</t>
  </si>
  <si>
    <t>E310000273379</t>
  </si>
  <si>
    <t xml:space="preserve">  TYRVAL DOMINICANA SRL</t>
  </si>
  <si>
    <t>B0100000213</t>
  </si>
  <si>
    <t>E310000000601</t>
  </si>
  <si>
    <t>05/07/26</t>
  </si>
  <si>
    <t>E310000000604</t>
  </si>
  <si>
    <t>E310000987739</t>
  </si>
  <si>
    <t>E310000273441</t>
  </si>
  <si>
    <t>E310000000623</t>
  </si>
  <si>
    <t>E310000000622</t>
  </si>
  <si>
    <t xml:space="preserve">  ENCOFRADOS VERSATEC SRL</t>
  </si>
  <si>
    <t>B0100000422</t>
  </si>
  <si>
    <t>11/06/26</t>
  </si>
  <si>
    <t>B0100000424</t>
  </si>
  <si>
    <t>E310000989651</t>
  </si>
  <si>
    <t>B0100000427</t>
  </si>
  <si>
    <t>13/06/26</t>
  </si>
  <si>
    <t>B0100000428</t>
  </si>
  <si>
    <t>E310000273508</t>
  </si>
  <si>
    <t>E310000000636</t>
  </si>
  <si>
    <t>E310000273514</t>
  </si>
  <si>
    <t xml:space="preserve">  IBEROCOMERCIAL DEL CARIBE S. A</t>
  </si>
  <si>
    <t>E310000039186</t>
  </si>
  <si>
    <t>16/07/26</t>
  </si>
  <si>
    <t>B0100000214</t>
  </si>
  <si>
    <t>E310000991649</t>
  </si>
  <si>
    <t xml:space="preserve">  GERDAU METALDOM SA</t>
  </si>
  <si>
    <t>E310000184761</t>
  </si>
  <si>
    <t>E310000992369</t>
  </si>
  <si>
    <t>19/07/26</t>
  </si>
  <si>
    <t xml:space="preserve">  PREVENTIONART J&amp;C SRL</t>
  </si>
  <si>
    <t>E310000000038</t>
  </si>
  <si>
    <t>30/06/26</t>
  </si>
  <si>
    <t>E310000000646</t>
  </si>
  <si>
    <t>22/07/26</t>
  </si>
  <si>
    <t>E310000000645</t>
  </si>
  <si>
    <t xml:space="preserve">  KINNOX S A</t>
  </si>
  <si>
    <t>E310000016534</t>
  </si>
  <si>
    <t>07/07/26</t>
  </si>
  <si>
    <t>E310000017814</t>
  </si>
  <si>
    <t xml:space="preserve">  TECNICA MMHB SRL</t>
  </si>
  <si>
    <t>E310000000004</t>
  </si>
  <si>
    <t xml:space="preserve">  TORRANCE DEVELOPMENT GROUP SRL</t>
  </si>
  <si>
    <t>B0100000651</t>
  </si>
  <si>
    <t>23/07/26</t>
  </si>
  <si>
    <t>E310000994496</t>
  </si>
  <si>
    <t xml:space="preserve">  EMPRESA GALACTICA SRL</t>
  </si>
  <si>
    <t>E310000003525</t>
  </si>
  <si>
    <t xml:space="preserve">  CONTE DIRECTO INTERNACIONAL M </t>
  </si>
  <si>
    <t>B0100005325</t>
  </si>
  <si>
    <t>E310001390422</t>
  </si>
  <si>
    <t>30/07/26</t>
  </si>
  <si>
    <t xml:space="preserve">  ▸  1-7 Indirectos (grupo)</t>
  </si>
  <si>
    <t>E310000000003</t>
  </si>
  <si>
    <t>12/06/26</t>
  </si>
  <si>
    <t xml:space="preserve">  ▸  1-7-4 Vigilancia</t>
  </si>
  <si>
    <t xml:space="preserve">  SEGURIDAD INVESTIGACIONES Y PR</t>
  </si>
  <si>
    <t>B0100006074</t>
  </si>
  <si>
    <t xml:space="preserve">  ▸  1-9-1 Inspección Técnica</t>
  </si>
  <si>
    <t xml:space="preserve">  ING OMAR CORDERO &amp; ASOCIADOS S</t>
  </si>
  <si>
    <t>E310000000007</t>
  </si>
  <si>
    <t xml:space="preserve">  ▸  2-2-1 Comisiones Venta</t>
  </si>
  <si>
    <t xml:space="preserve">  KISWER INVESTMENTS SRL</t>
  </si>
  <si>
    <t>B0100001086</t>
  </si>
  <si>
    <t xml:space="preserve">  INVERSIONES SERACINI SRL</t>
  </si>
  <si>
    <t>E310000000102</t>
  </si>
  <si>
    <t xml:space="preserve">  PPCRE PARADISE PUNTA CANA REAL</t>
  </si>
  <si>
    <t>B0100000253</t>
  </si>
  <si>
    <t>B0100000254</t>
  </si>
  <si>
    <t>B0100001111</t>
  </si>
  <si>
    <t xml:space="preserve">  NAVIA REAL ESTATE SRL</t>
  </si>
  <si>
    <t>B0100000038</t>
  </si>
  <si>
    <t xml:space="preserve">  COACHING 360 SRL REMAX</t>
  </si>
  <si>
    <t>B0100000809</t>
  </si>
  <si>
    <t xml:space="preserve">  ▸  2-2-4 Gastos Oficina Ventas</t>
  </si>
  <si>
    <t>B0100006021</t>
  </si>
  <si>
    <t>B0100000423</t>
  </si>
  <si>
    <t>B0100000426</t>
  </si>
  <si>
    <t xml:space="preserve">  COSFREYCAM TROPICAL S A S</t>
  </si>
  <si>
    <t>B0100002968</t>
  </si>
  <si>
    <t>B0100006080</t>
  </si>
  <si>
    <t xml:space="preserve">  ▸  2-3-2 Debida Diligencia</t>
  </si>
  <si>
    <t xml:space="preserve">  FIDUCIARIA UNIVERSAL S A</t>
  </si>
  <si>
    <t>E310000001063</t>
  </si>
  <si>
    <t xml:space="preserve">  ▸  2-4-2 Inversión Inicial</t>
  </si>
  <si>
    <t xml:space="preserve">  LMCAD ESTUDIO DE ANIMACION SRL</t>
  </si>
  <si>
    <t>nan</t>
  </si>
  <si>
    <t>17/10/25</t>
  </si>
  <si>
    <t xml:space="preserve">  ▸  2-4-3 Medios Digitales</t>
  </si>
  <si>
    <t xml:space="preserve">  REDES SOCIALES -FB-GOOGLE-</t>
  </si>
  <si>
    <t>REDES SOCIALES MAY-26</t>
  </si>
  <si>
    <t>18/06/26</t>
  </si>
  <si>
    <t xml:space="preserve">  ▸  2-4-4 Community Mgmt</t>
  </si>
  <si>
    <t xml:space="preserve">  JONATHAN JOHANSER DIAZ SOTO - </t>
  </si>
  <si>
    <t>B0100000107</t>
  </si>
  <si>
    <t xml:space="preserve">  CANVAS DESIGN &amp; MEDIA GROUP SR</t>
  </si>
  <si>
    <t>E310000000179</t>
  </si>
  <si>
    <t xml:space="preserve">  GRUPO RAICES DIGITALES SRL</t>
  </si>
  <si>
    <t>B0100000023</t>
  </si>
  <si>
    <t xml:space="preserve">  INMOSTRATEGIA SRL</t>
  </si>
  <si>
    <t>B0100000071</t>
  </si>
  <si>
    <t xml:space="preserve">  ▸  2-4-5 Vallas</t>
  </si>
  <si>
    <t xml:space="preserve">  CARTEL SRL</t>
  </si>
  <si>
    <t>E310000004239</t>
  </si>
  <si>
    <t xml:space="preserve">  INMOBILIARIA PEREZ &amp; PINEDA SR</t>
  </si>
  <si>
    <t>B0100002566</t>
  </si>
  <si>
    <t>B0100002567</t>
  </si>
  <si>
    <t xml:space="preserve">  COLORIN S A</t>
  </si>
  <si>
    <t>E310000005301</t>
  </si>
  <si>
    <t xml:space="preserve">  ▸  2-4-7 Feria y Eventos</t>
  </si>
  <si>
    <t xml:space="preserve">  KAHKOW SRL</t>
  </si>
  <si>
    <t>B0100043093</t>
  </si>
  <si>
    <t>15/05/26</t>
  </si>
  <si>
    <t xml:space="preserve">  ACERVO INMOBILIARIO SRL</t>
  </si>
  <si>
    <t>E310000000116</t>
  </si>
  <si>
    <t>22/06/26</t>
  </si>
  <si>
    <t xml:space="preserve">  ▸  3-1-1 Permisos</t>
  </si>
  <si>
    <t xml:space="preserve">  OMG LEGAL SAS</t>
  </si>
  <si>
    <t>B0100001142</t>
  </si>
  <si>
    <t>31/03/26</t>
  </si>
  <si>
    <t xml:space="preserve">  ADIG CONSULTING SRL</t>
  </si>
  <si>
    <t>B0100000531</t>
  </si>
  <si>
    <t>21/05/26</t>
  </si>
  <si>
    <t xml:space="preserve">  ONEIDA MARIA FRIAS PADILLA</t>
  </si>
  <si>
    <t>B0100000108</t>
  </si>
  <si>
    <t>TOTAL CXP  —  30/06/2026</t>
  </si>
  <si>
    <t>PRESTAMOS PARA ARAYA</t>
  </si>
  <si>
    <t xml:space="preserve">Empresa </t>
  </si>
  <si>
    <t xml:space="preserve">Banco </t>
  </si>
  <si>
    <t>Desembolsos</t>
  </si>
  <si>
    <t>Amortización</t>
  </si>
  <si>
    <t xml:space="preserve">Capital actual </t>
  </si>
  <si>
    <t>Tasa</t>
  </si>
  <si>
    <t>Intereses mensual</t>
  </si>
  <si>
    <t xml:space="preserve">Fecha </t>
  </si>
  <si>
    <t>Transf. Araya</t>
  </si>
  <si>
    <t xml:space="preserve">Primer mes </t>
  </si>
  <si>
    <t>Dias</t>
  </si>
  <si>
    <t>Acum a 
Dic-25</t>
  </si>
  <si>
    <t>A pagar</t>
  </si>
  <si>
    <t>Vencimiento de Facilidad</t>
  </si>
  <si>
    <t>Grupo Bak</t>
  </si>
  <si>
    <t>ALNAP</t>
  </si>
  <si>
    <t>Optima</t>
  </si>
  <si>
    <t>Total Grupo Bak</t>
  </si>
  <si>
    <t>Fondo Inversión</t>
  </si>
  <si>
    <t>Acumulado a feb-26</t>
  </si>
  <si>
    <t>Total Fondo Inversión</t>
  </si>
  <si>
    <t>Banco Alaver</t>
  </si>
  <si>
    <t>Total Banco Alaver</t>
  </si>
  <si>
    <t>Crédito Interino</t>
  </si>
  <si>
    <t>Total Crédito interino</t>
  </si>
  <si>
    <t>Total Intereses Proyectados</t>
  </si>
  <si>
    <t>ANTICIPOS OTORGADOS — CORTE 30 DE JUNIO 2026  |  Valores en RD$</t>
  </si>
  <si>
    <t>PROVEEDOR</t>
  </si>
  <si>
    <t>F. EMISIÓN</t>
  </si>
  <si>
    <t>MONTO TOTAL</t>
  </si>
  <si>
    <t>SALDO PEND.</t>
  </si>
  <si>
    <t>AUXILIAR</t>
  </si>
  <si>
    <t>DESCRIPCIÓN</t>
  </si>
  <si>
    <t>HIDROPOZO SRL</t>
  </si>
  <si>
    <t>ANTICIPO HIDROPOZOS</t>
  </si>
  <si>
    <t>2023-12-06</t>
  </si>
  <si>
    <t>1-2-1 Diseno y Proye</t>
  </si>
  <si>
    <t>ANTICIPO COT 94 PRUEBA DE IN</t>
  </si>
  <si>
    <t>CONSTRUCTORA FELIX CAMPOS SRL</t>
  </si>
  <si>
    <t>ANTICIPO 40%-SC--147</t>
  </si>
  <si>
    <t>2026-06-30</t>
  </si>
  <si>
    <t>ANTICIPO 40%-SC--147 Contrac</t>
  </si>
  <si>
    <t>GRUPO ALUGAV SAS</t>
  </si>
  <si>
    <t>ANTICIPO--SC--144</t>
  </si>
  <si>
    <t>2026-06-17</t>
  </si>
  <si>
    <t>ANTICIPO--SC--144 Contract #</t>
  </si>
  <si>
    <t>ANTICIPO 40%-SC--146</t>
  </si>
  <si>
    <t>ANTICIPO 40%-SC--146 Contrac</t>
  </si>
  <si>
    <t>INVERSIONES ROMUR SRL</t>
  </si>
  <si>
    <t>ANTICIPO SC--115</t>
  </si>
  <si>
    <t>2026-05-27</t>
  </si>
  <si>
    <t>Anticipo del 20% SC--115 par</t>
  </si>
  <si>
    <t>TALLER INDUSTRIAL J NIVAR SRL</t>
  </si>
  <si>
    <t>ANTICIPO SC--114</t>
  </si>
  <si>
    <t>2026-05-15</t>
  </si>
  <si>
    <t>ANTICIPO-SC--114 Contract #S</t>
  </si>
  <si>
    <t xml:space="preserve">GERENCIA INMOBILIARIA PROACTIVA </t>
  </si>
  <si>
    <t>ANTICIPO SC--145</t>
  </si>
  <si>
    <t>2026-06-26</t>
  </si>
  <si>
    <t>ANTICIPO SC--145 Contract #S</t>
  </si>
  <si>
    <t>MICARGO SRL</t>
  </si>
  <si>
    <t>ANTICIPO PO--528</t>
  </si>
  <si>
    <t>2026-05-08</t>
  </si>
  <si>
    <t>ANTICIPO PO--528 Purchase Or</t>
  </si>
  <si>
    <t>MULTISERVICIOS 24 SEVEN JM EIRL</t>
  </si>
  <si>
    <t>ANTICIPO PO--702</t>
  </si>
  <si>
    <t>ANTICIPO PO--702 Purchase Or</t>
  </si>
  <si>
    <t>FUSIONTECH SRL</t>
  </si>
  <si>
    <t>ANTICIPO-SC--143</t>
  </si>
  <si>
    <t>2026-06-29</t>
  </si>
  <si>
    <t>ANTICIPO-SC--143 Contract #S</t>
  </si>
  <si>
    <t>ROCAENCA SRL</t>
  </si>
  <si>
    <t>ANTICIPO-PO--513</t>
  </si>
  <si>
    <t>2026-06-18</t>
  </si>
  <si>
    <t>ANTICIPO-PO--513 Purchase Or</t>
  </si>
  <si>
    <t xml:space="preserve">OZONO QUIMICOS Y ESPECIALIDADES </t>
  </si>
  <si>
    <t>ANTICIPO PO--704</t>
  </si>
  <si>
    <t>ANTICIPO PO--704 Purchase Or</t>
  </si>
  <si>
    <t>ANTICIPO SC--118</t>
  </si>
  <si>
    <t>2026-05-13</t>
  </si>
  <si>
    <t>ANTICIPO SC--118 TRABAJOS S/</t>
  </si>
  <si>
    <t>ANTICIPO-P0--556</t>
  </si>
  <si>
    <t>2026-05-21</t>
  </si>
  <si>
    <t>ANTICIPO-P0--556 Purchase Or</t>
  </si>
  <si>
    <t>ANTICIPO SC--132</t>
  </si>
  <si>
    <t>ANTICIPO SC--132 Contract #S</t>
  </si>
  <si>
    <t>ANTICIPO-PO--609</t>
  </si>
  <si>
    <t>ANTICIPO-PO--609 Purchase Or</t>
  </si>
  <si>
    <t>PREVENTIONART J&amp;C SRL</t>
  </si>
  <si>
    <t>ANTICIPO SC--089</t>
  </si>
  <si>
    <t>2026-03-13</t>
  </si>
  <si>
    <t>ANTICIPO SC--089 Elaboracion</t>
  </si>
  <si>
    <t>DASS SRL</t>
  </si>
  <si>
    <t>ANTICIPO-PO--691</t>
  </si>
  <si>
    <t>ANTICIPO-PO--691 Purchase Or</t>
  </si>
  <si>
    <t>MADESOL SA</t>
  </si>
  <si>
    <t>ANTICIPO PO--707</t>
  </si>
  <si>
    <t>ANTICIPO PO--707 Purchase Or</t>
  </si>
  <si>
    <t>GRUPO SANIDOM SRL</t>
  </si>
  <si>
    <t>ANTICIPO PO--694</t>
  </si>
  <si>
    <t>ANTICIPO PO--694 Purchase Or</t>
  </si>
  <si>
    <t>SUPLEMENTOS INDUSTRIALES PUNTA C</t>
  </si>
  <si>
    <t>ANTICIPO SC--116</t>
  </si>
  <si>
    <t>2026-05-20</t>
  </si>
  <si>
    <t>ANTICIPO SC--116 Fabricacion</t>
  </si>
  <si>
    <t>MINISTERIO DE LA VIVIENDA HABITA</t>
  </si>
  <si>
    <t>Anticipo MIVED PO--366</t>
  </si>
  <si>
    <t>2026-02-20</t>
  </si>
  <si>
    <t>3-1-1 Permisos Legal</t>
  </si>
  <si>
    <t>Anticipo MIVED PO--366 inspe</t>
  </si>
  <si>
    <t>FIDUCIARIA UNIVERSAL S A</t>
  </si>
  <si>
    <t>ANTICIPO PO--635</t>
  </si>
  <si>
    <t>Anticipo PO--635 Registro de</t>
  </si>
  <si>
    <t>TESORERIA NACIONAL</t>
  </si>
  <si>
    <t>ANTICIPO MIVED</t>
  </si>
  <si>
    <t>2026-01-20</t>
  </si>
  <si>
    <t>Pago para deposito de expedi</t>
  </si>
  <si>
    <t>DISTRITO MUNICIPAL TURISTICO VER</t>
  </si>
  <si>
    <t>ANTICIPO PO--191</t>
  </si>
  <si>
    <t>2026-04-23</t>
  </si>
  <si>
    <t>ANTICIPO PO--191 SALDO PERMI</t>
  </si>
  <si>
    <t>RIOS &amp; ASOCIADOS ABOGADOS CONSUL</t>
  </si>
  <si>
    <t>ANTICIPO RIOS</t>
  </si>
  <si>
    <t>2025-10-06</t>
  </si>
  <si>
    <t>Anticipo PO--137 Confotur De</t>
  </si>
  <si>
    <t>TOTAL ANTICIPOS</t>
  </si>
  <si>
    <t>Retenciones Varias</t>
  </si>
  <si>
    <t>Fondo Rotatorio</t>
  </si>
  <si>
    <t>Desistimientos por pagar</t>
  </si>
  <si>
    <t>Otras cuentas por pagar</t>
  </si>
  <si>
    <t>Gastos Bancarios</t>
  </si>
  <si>
    <t>Balance Sheet</t>
  </si>
  <si>
    <t>Fideicomiso Irrevocable de Desarrollo Inmobiliario y Administración Araya</t>
  </si>
  <si>
    <t>As at 30 June 2026</t>
  </si>
  <si>
    <t>Account</t>
  </si>
  <si>
    <t>30 Jun 2026</t>
  </si>
  <si>
    <t>Assets</t>
  </si>
  <si>
    <t>Bank</t>
  </si>
  <si>
    <t>Banco Alaver Cta de Ahorro en DOP</t>
  </si>
  <si>
    <t>Banesco DOP -Cta. Corriente No.99100010856</t>
  </si>
  <si>
    <t>Banesco USA No. 1500192677</t>
  </si>
  <si>
    <t>[FX]</t>
  </si>
  <si>
    <t>Banesco USD -Cta. Ahorro No.99200013780</t>
  </si>
  <si>
    <t>Fondo de Inversión Abierto Plazo Mensual USD</t>
  </si>
  <si>
    <t>Fondo de Inversión Abierto Universal Liquidez DOP</t>
  </si>
  <si>
    <t>Popular Cta Ahorro No. 845567916</t>
  </si>
  <si>
    <t>Popular Cta Corriente No. 845567809</t>
  </si>
  <si>
    <t>Total Bank</t>
  </si>
  <si>
    <t>Current Assets</t>
  </si>
  <si>
    <t>Anticipos a Proveedores</t>
  </si>
  <si>
    <t>Total Current Assets</t>
  </si>
  <si>
    <t>Non-current Assets</t>
  </si>
  <si>
    <t>1% Impuesto Retenido a Intereses Norma 13-11</t>
  </si>
  <si>
    <t>Costos de Construcción</t>
  </si>
  <si>
    <t>Costos Operativos</t>
  </si>
  <si>
    <t>Otros Costos</t>
  </si>
  <si>
    <t>Total Non-current Assets</t>
  </si>
  <si>
    <t>Total Assets</t>
  </si>
  <si>
    <t>Liabilities</t>
  </si>
  <si>
    <t>Current Liabilities</t>
  </si>
  <si>
    <t>Créditos en Instituciones Financieras</t>
  </si>
  <si>
    <t>Cuentas por Cobrar Compañía Relacionada USD</t>
  </si>
  <si>
    <t>Cuentas por Pagar Comerciales</t>
  </si>
  <si>
    <t>Depósitos Diferidos de Clientes</t>
  </si>
  <si>
    <t>Fondo Rotatorio Tecnica MMHB</t>
  </si>
  <si>
    <t>Otras Cuentas por Pagar Tecnica MMHB</t>
  </si>
  <si>
    <t>Retención 100% ITBIS. Personas Físicas</t>
  </si>
  <si>
    <t>Retención 100% ITBIS. Personas Jurídicas</t>
  </si>
  <si>
    <t>Retención 30% ITBIS Jurídica</t>
  </si>
  <si>
    <t>Retención de Derecho Laboral</t>
  </si>
  <si>
    <t>Retención de Fiel Cumplimiento</t>
  </si>
  <si>
    <t>Retención ISR Exterior 27%</t>
  </si>
  <si>
    <t>Retención ISR Personas Físicas 10%</t>
  </si>
  <si>
    <t>Retención ISR Personas Físicas 2%</t>
  </si>
  <si>
    <t>Rounding</t>
  </si>
  <si>
    <t>Total Current Liabilities</t>
  </si>
  <si>
    <t>Non-current Liabilities</t>
  </si>
  <si>
    <t>Otros créditos - No corriente</t>
  </si>
  <si>
    <t>Total Non-current Liabilities</t>
  </si>
  <si>
    <t>Total Liabilities</t>
  </si>
  <si>
    <t>Net Assets</t>
  </si>
  <si>
    <t>Equity</t>
  </si>
  <si>
    <t>Aporte Fideicomitente AFI Universal</t>
  </si>
  <si>
    <t>Current Year Earnings</t>
  </si>
  <si>
    <t>Resultado del Ejercicio</t>
  </si>
  <si>
    <t>Total Equity</t>
  </si>
  <si>
    <r>
      <rPr>
        <b/>
        <sz val="9"/>
        <color theme="1"/>
        <rFont val="Arial"/>
        <family val="2"/>
      </rPr>
      <t>[FX]</t>
    </r>
    <r>
      <rPr>
        <sz val="9"/>
        <color theme="1"/>
        <rFont val="Arial"/>
        <family val="2"/>
      </rPr>
      <t xml:space="preserve"> Exchange rates used to convert foreign currency into DOP are shown below. Rates are provided by XE.com unless otherwise stated.</t>
    </r>
  </si>
  <si>
    <t>0.0167880 USD (United States Dollar)</t>
  </si>
  <si>
    <t>FIDEICOMISO ARAYA — INFORME JUNIO 2026</t>
  </si>
  <si>
    <t>Control Presupuestal  ·  Cuentas por Pagar  ·  Anticipos  |  Corte: 30 de junio de 2026</t>
  </si>
  <si>
    <t>Ejecutado de dic-25 a jun-26</t>
  </si>
  <si>
    <t>Pendiente de Pagar a jun-26</t>
  </si>
  <si>
    <t xml:space="preserve">Valores en RD$ </t>
  </si>
  <si>
    <t>CONTROL PRESUPUESTAL</t>
  </si>
  <si>
    <t>COSTOS DE CONSTRUCCIÓN</t>
  </si>
  <si>
    <t>GASTOS OPERATIVOS</t>
  </si>
  <si>
    <t>OTROS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</si>
</sst>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#,##0;\(#,##0\);\-"/>
    <numFmt numFmtId="165" formatCode="#,##0;\(#,##0\);&quot;-&quot;"/>
    <numFmt numFmtId="166" formatCode="0.0%;\(0.0%\);&quot;-&quot;"/>
    <numFmt numFmtId="167" formatCode="_(* #,##0_);_(* \(#,##0\);_(* &quot;-&quot;??_);_(@_)"/>
    <numFmt numFmtId="168" formatCode="[$USD]\ #,##0.00_);[Red]\([$USD]\ #,##0.00\)"/>
    <numFmt numFmtId="169" formatCode="0%;\(0%\);&quot;-&quot;"/>
    <numFmt numFmtId="170" formatCode="[$USD]\ #,##0_);[Red]\([$USD]\ #,##0\)"/>
    <numFmt numFmtId="171" formatCode="#,##0.00;\(#,##0.00\)"/>
    <numFmt numFmtId="172" formatCode="#,##0.0000000_);\(#,##0.0000000\)"/>
    <numFmt numFmtId="173" formatCode="#,##0.00000000_);\(#,##0.00000000\)"/>
  </numFmts>
  <fonts count="10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8.5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C8A951"/>
      <name val="Arial"/>
      <family val="2"/>
    </font>
    <font>
      <b/>
      <sz val="8.5"/>
      <color rgb="FF003366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</font>
    <font>
      <b/>
      <sz val="9"/>
      <color rgb="FFC8A95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7"/>
      <color rgb="FFFFFFFF"/>
      <name val="Arial"/>
      <family val="2"/>
    </font>
    <font>
      <sz val="11"/>
      <color rgb="FFFFFFFF"/>
      <name val="Calibri"/>
      <family val="2"/>
    </font>
    <font>
      <sz val="10"/>
      <color rgb="FFFFFFFF"/>
      <name val="Arial"/>
      <family val="2"/>
    </font>
    <font>
      <b/>
      <sz val="8.5"/>
      <color rgb="FFFFFFFF"/>
      <name val="Arial"/>
      <family val="2"/>
    </font>
    <font>
      <b/>
      <sz val="7.5"/>
      <color rgb="FFFFFFFF"/>
      <name val="Arial"/>
      <family val="2"/>
    </font>
    <font>
      <b/>
      <sz val="9.5"/>
      <color rgb="FFC8A951"/>
      <name val="Arial"/>
      <family val="2"/>
    </font>
    <font>
      <sz val="7.5"/>
      <color rgb="FF1A5C38"/>
      <name val="Arial"/>
      <family val="2"/>
    </font>
    <font>
      <b/>
      <sz val="7.5"/>
      <color rgb="FF1A5C38"/>
      <name val="Arial"/>
      <family val="2"/>
    </font>
    <font>
      <b/>
      <sz val="7.5"/>
      <color rgb="FF1A5C38"/>
      <name val="Calibri"/>
      <family val="2"/>
    </font>
    <font>
      <sz val="11"/>
      <color rgb="FF1A5C38"/>
      <name val="Calibri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8.5"/>
      <color rgb="FF1A3D5C"/>
      <name val="Arial"/>
      <family val="2"/>
    </font>
    <font>
      <sz val="8.5"/>
      <color rgb="FF1A3D5C"/>
      <name val="Calibri"/>
      <family val="2"/>
    </font>
    <font>
      <sz val="8.5"/>
      <color rgb="FF1A3D5C"/>
      <name val="Arial"/>
      <family val="2"/>
    </font>
    <font>
      <sz val="7.5"/>
      <color rgb="FF1A3D5C"/>
      <name val="Arial"/>
      <family val="2"/>
    </font>
    <font>
      <sz val="11"/>
      <color rgb="FF1A3D5C"/>
      <name val="Calibri"/>
      <family val="2"/>
    </font>
    <font>
      <sz val="8"/>
      <color rgb="FF1A3D5C"/>
      <name val="Arial"/>
      <family val="2"/>
    </font>
    <font>
      <sz val="9"/>
      <color rgb="FF1A3D5C"/>
      <name val="Arial"/>
      <family val="2"/>
    </font>
    <font>
      <sz val="10"/>
      <color rgb="FF1A3D5C"/>
      <name val="Arial"/>
      <family val="2"/>
    </font>
    <font>
      <sz val="7.5"/>
      <color rgb="FF1A3D5C"/>
      <name val="Calibri"/>
      <family val="2"/>
    </font>
    <font>
      <b/>
      <sz val="9"/>
      <color rgb="FFFFFFFF"/>
      <name val="Arial"/>
      <family val="2"/>
    </font>
    <font>
      <i/>
      <sz val="11"/>
      <color rgb="FFFFFFFF"/>
      <name val="Calibri"/>
      <family val="2"/>
    </font>
    <font>
      <b/>
      <i/>
      <sz val="7"/>
      <color rgb="FFFFFFFF"/>
      <name val="Arial"/>
      <family val="2"/>
    </font>
    <font>
      <b/>
      <i/>
      <sz val="6.5"/>
      <color rgb="FFFFFFFF"/>
      <name val="Arial"/>
      <family val="2"/>
    </font>
    <font>
      <b/>
      <i/>
      <sz val="8.5"/>
      <color rgb="FFFFFFFF"/>
      <name val="Arial"/>
      <family val="2"/>
    </font>
    <font>
      <sz val="11"/>
      <color rgb="FF2B5F3A"/>
      <name val="Calibri"/>
      <family val="2"/>
    </font>
    <font>
      <i/>
      <sz val="8"/>
      <color rgb="FF2B5F3A"/>
      <name val="Arial"/>
      <family val="2"/>
    </font>
    <font>
      <b/>
      <i/>
      <sz val="8.5"/>
      <color rgb="FF2B5F3A"/>
      <name val="Arial"/>
      <family val="2"/>
    </font>
    <font>
      <i/>
      <sz val="11"/>
      <color rgb="FF2B5F3A"/>
      <name val="Calibri"/>
      <family val="2"/>
    </font>
    <font>
      <i/>
      <sz val="8.5"/>
      <color rgb="FF1A5B6A"/>
      <name val="Arial"/>
      <family val="2"/>
    </font>
    <font>
      <b/>
      <sz val="8.5"/>
      <color rgb="FF1A5B6A"/>
      <name val="Arial"/>
      <family val="2"/>
    </font>
    <font>
      <i/>
      <sz val="11"/>
      <color rgb="FF1A5B6A"/>
      <name val="Calibri"/>
      <family val="2"/>
    </font>
    <font>
      <sz val="8"/>
      <color rgb="FF1A5B6A"/>
      <name val="Arial"/>
      <family val="2"/>
    </font>
    <font>
      <b/>
      <i/>
      <sz val="8.5"/>
      <color rgb="FF1A5B6A"/>
      <name val="Arial"/>
      <family val="2"/>
    </font>
    <font>
      <sz val="11"/>
      <color rgb="FF1A5B6A"/>
      <name val="Calibri"/>
      <family val="2"/>
    </font>
    <font>
      <b/>
      <i/>
      <sz val="9"/>
      <color rgb="FFC8A951"/>
      <name val="Arial"/>
      <family val="2"/>
    </font>
    <font>
      <b/>
      <sz val="7.5"/>
      <color rgb="FF1A3D5C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8"/>
      <color rgb="FFC8A951"/>
      <name val="Arial"/>
      <family val="2"/>
    </font>
    <font>
      <b/>
      <i/>
      <sz val="8"/>
      <color rgb="FFFFFFFF"/>
      <name val="Arial"/>
      <family val="2"/>
    </font>
    <font>
      <sz val="8"/>
      <color rgb="FFFFFFFF"/>
      <name val="Calibri"/>
      <family val="2"/>
    </font>
    <font>
      <sz val="8"/>
      <color rgb="FF1A5C38"/>
      <name val="Arial"/>
      <family val="2"/>
    </font>
    <font>
      <b/>
      <sz val="8"/>
      <color rgb="FF1A5C38"/>
      <name val="Arial"/>
      <family val="2"/>
    </font>
    <font>
      <b/>
      <sz val="8"/>
      <color rgb="FF1A5C38"/>
      <name val="Calibri"/>
      <family val="2"/>
    </font>
    <font>
      <sz val="8"/>
      <color rgb="FF2B5F3A"/>
      <name val="Calibri"/>
      <family val="2"/>
    </font>
    <font>
      <sz val="8"/>
      <color rgb="FF1A5C38"/>
      <name val="Calibri"/>
      <family val="2"/>
    </font>
    <font>
      <i/>
      <sz val="8"/>
      <color rgb="FF2B5F3A"/>
      <name val="Calibri"/>
      <family val="2"/>
    </font>
    <font>
      <b/>
      <i/>
      <sz val="8"/>
      <color rgb="FF2B5F3A"/>
      <name val="Arial"/>
      <family val="2"/>
    </font>
    <font>
      <b/>
      <sz val="12"/>
      <color rgb="FFC8A951"/>
      <name val="Arial"/>
    </font>
    <font>
      <sz val="8"/>
      <color rgb="FFA8C4D8"/>
      <name val="Arial"/>
    </font>
    <font>
      <b/>
      <sz val="9"/>
      <color rgb="FFFFFFFF"/>
      <name val="Arial"/>
    </font>
    <font>
      <b/>
      <sz val="10"/>
      <color rgb="FFC8A951"/>
      <name val="Arial"/>
    </font>
    <font>
      <sz val="8.5"/>
      <color rgb="FF1A2B45"/>
      <name val="Arial"/>
    </font>
    <font>
      <sz val="9"/>
      <color rgb="FF1A2B45"/>
      <name val="Arial"/>
    </font>
    <font>
      <sz val="9"/>
      <color rgb="FF14527A"/>
      <name val="Arial"/>
    </font>
    <font>
      <b/>
      <sz val="9"/>
      <color rgb="FF14527A"/>
      <name val="Arial"/>
    </font>
    <font>
      <sz val="8"/>
      <color rgb="FF2B5E8C"/>
      <name val="Arial"/>
    </font>
    <font>
      <b/>
      <sz val="9"/>
      <color rgb="FF1A3D5C"/>
      <name val="Arial"/>
    </font>
    <font>
      <b/>
      <sz val="11"/>
      <color rgb="FFC8A951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b/>
      <sz val="10"/>
      <name val="Arial"/>
    </font>
    <font>
      <sz val="7.5"/>
      <color rgb="FF666666"/>
      <name val="Arial"/>
    </font>
    <font>
      <b/>
      <sz val="9"/>
      <color rgb="FFC8A951"/>
      <name val="Arial"/>
    </font>
    <font>
      <sz val="8"/>
      <color rgb="FF1A2B45"/>
      <name val="Arial"/>
    </font>
    <font>
      <sz val="7.5"/>
      <color rgb="FF555555"/>
      <name val="Arial"/>
    </font>
    <font>
      <sz val="8"/>
      <color rgb="FFC0392B"/>
      <name val="Arial"/>
    </font>
    <font>
      <sz val="8"/>
      <color rgb="FF444444"/>
      <name val="Arial"/>
    </font>
    <font>
      <b/>
      <sz val="9"/>
      <color rgb="FF1A5C38"/>
      <name val="Arial"/>
    </font>
    <font>
      <sz val="8"/>
      <color rgb="FF555555"/>
      <name val="Arial"/>
    </font>
    <font>
      <sz val="7.5"/>
      <color rgb="FF777777"/>
      <name val="Arial"/>
    </font>
    <font>
      <b/>
      <sz val="10"/>
      <color rgb="FFFFFFFF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rgb="FF001F3F"/>
        <bgColor rgb="FF002855"/>
      </patternFill>
    </fill>
    <fill>
      <patternFill patternType="solid">
        <fgColor rgb="FFFFFFFF"/>
        <bgColor rgb="FFF2F5F9"/>
      </patternFill>
    </fill>
    <fill>
      <patternFill patternType="solid">
        <fgColor rgb="FFFFFFFF"/>
      </patternFill>
    </fill>
    <fill>
      <patternFill patternType="solid">
        <fgColor rgb="FF001F3F"/>
      </patternFill>
    </fill>
    <fill>
      <patternFill patternType="solid">
        <fgColor rgb="FF001F3F"/>
      </patternFill>
    </fill>
    <fill>
      <patternFill patternType="solid">
        <fgColor rgb="FFF7F8FA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A2D45"/>
      </patternFill>
    </fill>
    <fill>
      <patternFill patternType="solid">
        <fgColor rgb="FF2D7A50"/>
      </patternFill>
    </fill>
    <fill>
      <patternFill patternType="solid">
        <fgColor rgb="FFE8F5EE"/>
      </patternFill>
    </fill>
    <fill>
      <patternFill patternType="solid">
        <fgColor rgb="FF2B5E8C"/>
      </patternFill>
    </fill>
    <fill>
      <patternFill patternType="solid">
        <fgColor rgb="FF4A8ABF"/>
      </patternFill>
    </fill>
    <fill>
      <patternFill patternType="solid">
        <fgColor rgb="FFEAF1F8"/>
      </patternFill>
    </fill>
    <fill>
      <patternFill patternType="solid">
        <fgColor rgb="FFF4F7FB"/>
      </patternFill>
    </fill>
    <fill>
      <patternFill patternType="solid">
        <fgColor rgb="FFFFFFFF"/>
      </patternFill>
    </fill>
    <fill>
      <patternFill patternType="solid">
        <fgColor rgb="FFC4D9EC"/>
      </patternFill>
    </fill>
    <fill>
      <patternFill patternType="solid">
        <fgColor rgb="FF1A3020"/>
      </patternFill>
    </fill>
    <fill>
      <patternFill patternType="solid">
        <fgColor rgb="FF4A8B3F"/>
      </patternFill>
    </fill>
    <fill>
      <patternFill patternType="solid">
        <fgColor rgb="FF2D6A3E"/>
      </patternFill>
    </fill>
    <fill>
      <patternFill patternType="solid">
        <fgColor rgb="FFE0EFE6"/>
      </patternFill>
    </fill>
    <fill>
      <patternFill patternType="solid">
        <fgColor rgb="FFF0F7E4"/>
      </patternFill>
    </fill>
    <fill>
      <patternFill patternType="solid">
        <fgColor rgb="FFE8F0E0"/>
      </patternFill>
    </fill>
    <fill>
      <patternFill patternType="solid">
        <fgColor rgb="FF3A6FA0"/>
      </patternFill>
    </fill>
    <fill>
      <patternFill patternType="solid">
        <fgColor rgb="FF2B7A8C"/>
      </patternFill>
    </fill>
    <fill>
      <patternFill patternType="solid">
        <fgColor rgb="FFE4ECF4"/>
      </patternFill>
    </fill>
    <fill>
      <patternFill patternType="solid">
        <fgColor rgb="FFE4F3F6"/>
      </patternFill>
    </fill>
    <fill>
      <patternFill patternType="solid">
        <fgColor rgb="FFE0ECF2"/>
      </patternFill>
    </fill>
    <fill>
      <patternFill patternType="solid">
        <fgColor rgb="FFEEF2F7"/>
      </patternFill>
    </fill>
    <fill>
      <patternFill patternType="solid">
        <fgColor rgb="FFEDF6F8"/>
      </patternFill>
    </fill>
    <fill>
      <patternFill patternType="solid">
        <fgColor rgb="FFB8CCDF"/>
      </patternFill>
    </fill>
    <fill>
      <patternFill patternType="solid">
        <fgColor rgb="FFB8DEE6"/>
      </patternFill>
    </fill>
    <fill>
      <patternFill patternType="solid">
        <fgColor rgb="FF001F3F"/>
      </patternFill>
    </fill>
    <fill>
      <patternFill patternType="solid">
        <fgColor rgb="FFFFFFFF"/>
      </patternFill>
    </fill>
    <fill>
      <patternFill patternType="solid">
        <fgColor rgb="FF2B5E8C"/>
      </patternFill>
    </fill>
    <fill>
      <patternFill patternType="solid">
        <fgColor rgb="FF14527A"/>
      </patternFill>
    </fill>
    <fill>
      <patternFill patternType="solid">
        <fgColor rgb="FFEAF1F8"/>
      </patternFill>
    </fill>
    <fill>
      <patternFill patternType="solid">
        <fgColor rgb="FFC4D9EC"/>
      </patternFill>
    </fill>
    <fill>
      <patternFill patternType="solid">
        <fgColor rgb="FF1A7A4A"/>
      </patternFill>
    </fill>
    <fill>
      <patternFill patternType="solid">
        <fgColor rgb="FFE67E22"/>
      </patternFill>
    </fill>
    <fill>
      <patternFill patternType="solid">
        <fgColor rgb="FFC0392B"/>
      </patternFill>
    </fill>
    <fill>
      <patternFill patternType="solid">
        <fgColor rgb="FF1A4E7C"/>
      </patternFill>
    </fill>
    <fill>
      <patternFill patternType="solid">
        <fgColor rgb="FFF4F7FB"/>
      </patternFill>
    </fill>
    <fill>
      <patternFill patternType="solid">
        <fgColor rgb="FF1A7A6A"/>
      </patternFill>
    </fill>
    <fill>
      <patternFill patternType="solid">
        <fgColor rgb="FFF2FAF5"/>
      </patternFill>
    </fill>
    <fill>
      <patternFill patternType="solid">
        <fgColor rgb="FFE8F5EE"/>
      </patternFill>
    </fill>
    <fill>
      <patternFill patternType="solid">
        <fgColor rgb="FFF2F2F2"/>
      </patternFill>
    </fill>
  </fills>
  <borders count="31">
    <border>
      <left/>
      <right/>
      <top/>
      <bottom/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  <border>
      <left style="medium">
        <color rgb="FFA0AEBE"/>
      </left>
      <right style="medium">
        <color rgb="FFA0AEBE"/>
      </right>
      <top style="medium">
        <color rgb="FFA0AEBE"/>
      </top>
      <bottom style="medium">
        <color rgb="FFA0AEBE"/>
      </bottom>
      <diagonal/>
    </border>
    <border>
      <left/>
      <right/>
      <top style="thin">
        <color rgb="FFD0D7E3"/>
      </top>
      <bottom style="thin">
        <color rgb="FFD0D7E3"/>
      </bottom>
      <diagonal/>
    </border>
    <border>
      <left style="medium">
        <color rgb="FF7A8EA8"/>
      </left>
      <right style="medium">
        <color rgb="FF7A8EA8"/>
      </right>
      <top style="medium">
        <color rgb="FF7A8EA8"/>
      </top>
      <bottom style="medium">
        <color rgb="FF7A8EA8"/>
      </bottom>
      <diagonal/>
    </border>
    <border>
      <left style="thin">
        <color rgb="FFC8D0DC"/>
      </left>
      <right style="thin">
        <color rgb="FFC8D0DC"/>
      </right>
      <top style="thin">
        <color rgb="FFC8D0DC"/>
      </top>
      <bottom style="thin">
        <color rgb="FFC8D0DC"/>
      </bottom>
      <diagonal/>
    </border>
    <border>
      <left/>
      <right/>
      <top style="thin">
        <color rgb="FFC8D0DC"/>
      </top>
      <bottom style="thin">
        <color rgb="FFC8D0DC"/>
      </bottom>
      <diagonal/>
    </border>
    <border>
      <left/>
      <right style="thin">
        <color rgb="FFC8D0DC"/>
      </right>
      <top style="thin">
        <color rgb="FFC8D0DC"/>
      </top>
      <bottom style="thin">
        <color rgb="FFC8D0DC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6" fillId="0" borderId="0"/>
    <xf numFmtId="0" fontId="12" fillId="0" borderId="0"/>
    <xf numFmtId="0" fontId="1" fillId="0" borderId="0"/>
    <xf numFmtId="43" fontId="1" fillId="0" borderId="0"/>
    <xf numFmtId="9" fontId="1" fillId="0" borderId="0"/>
  </cellStyleXfs>
  <cellXfs count="362">
    <xf numFmtId="0" fontId="0" fillId="0" borderId="0" xfId="0"/>
    <xf numFmtId="0" fontId="0" fillId="0" borderId="0" xfId="0" applyAlignment="1">
      <alignment vertical="center"/>
    </xf>
    <xf numFmtId="0" fontId="13" fillId="0" borderId="3" xfId="3" applyFont="1" applyBorder="1"/>
    <xf numFmtId="0" fontId="14" fillId="0" borderId="0" xfId="3" applyFont="1"/>
    <xf numFmtId="0" fontId="14" fillId="0" borderId="0" xfId="3" applyFont="1" applyAlignment="1">
      <alignment horizontal="center"/>
    </xf>
    <xf numFmtId="0" fontId="1" fillId="0" borderId="0" xfId="3"/>
    <xf numFmtId="0" fontId="1" fillId="0" borderId="4" xfId="3" applyBorder="1"/>
    <xf numFmtId="14" fontId="14" fillId="0" borderId="5" xfId="3" applyNumberFormat="1" applyFont="1" applyBorder="1"/>
    <xf numFmtId="0" fontId="15" fillId="0" borderId="0" xfId="3" applyFont="1"/>
    <xf numFmtId="0" fontId="15" fillId="0" borderId="0" xfId="3" applyFont="1" applyAlignment="1">
      <alignment horizontal="center"/>
    </xf>
    <xf numFmtId="0" fontId="14" fillId="0" borderId="3" xfId="3" applyFont="1" applyBorder="1"/>
    <xf numFmtId="0" fontId="1" fillId="0" borderId="6" xfId="3" applyBorder="1"/>
    <xf numFmtId="0" fontId="16" fillId="8" borderId="7" xfId="3" applyFont="1" applyFill="1" applyBorder="1" applyAlignment="1">
      <alignment horizontal="center" vertical="center"/>
    </xf>
    <xf numFmtId="0" fontId="16" fillId="8" borderId="8" xfId="3" applyFont="1" applyFill="1" applyBorder="1" applyAlignment="1">
      <alignment horizontal="center" vertical="center"/>
    </xf>
    <xf numFmtId="167" fontId="16" fillId="8" borderId="8" xfId="4" applyNumberFormat="1" applyFont="1" applyFill="1" applyBorder="1" applyAlignment="1">
      <alignment horizontal="center" vertical="center"/>
    </xf>
    <xf numFmtId="0" fontId="16" fillId="8" borderId="8" xfId="3" applyFont="1" applyFill="1" applyBorder="1" applyAlignment="1">
      <alignment horizontal="center" vertical="center" wrapText="1"/>
    </xf>
    <xf numFmtId="17" fontId="16" fillId="8" borderId="8" xfId="3" applyNumberFormat="1" applyFont="1" applyFill="1" applyBorder="1" applyAlignment="1">
      <alignment horizontal="center" vertical="center"/>
    </xf>
    <xf numFmtId="17" fontId="16" fillId="8" borderId="8" xfId="3" applyNumberFormat="1" applyFont="1" applyFill="1" applyBorder="1" applyAlignment="1">
      <alignment horizontal="center" vertical="center" wrapText="1"/>
    </xf>
    <xf numFmtId="0" fontId="16" fillId="8" borderId="9" xfId="3" applyFont="1" applyFill="1" applyBorder="1" applyAlignment="1">
      <alignment horizontal="center" vertical="center" wrapText="1"/>
    </xf>
    <xf numFmtId="0" fontId="17" fillId="9" borderId="10" xfId="3" applyFont="1" applyFill="1" applyBorder="1" applyAlignment="1">
      <alignment horizontal="center" vertical="center" wrapText="1"/>
    </xf>
    <xf numFmtId="0" fontId="1" fillId="0" borderId="0" xfId="3" applyAlignment="1">
      <alignment vertical="center"/>
    </xf>
    <xf numFmtId="0" fontId="14" fillId="0" borderId="11" xfId="3" applyFont="1" applyBorder="1" applyAlignment="1">
      <alignment vertical="center"/>
    </xf>
    <xf numFmtId="167" fontId="0" fillId="0" borderId="0" xfId="4" applyNumberFormat="1" applyFont="1" applyAlignment="1">
      <alignment vertical="center"/>
    </xf>
    <xf numFmtId="167" fontId="11" fillId="8" borderId="12" xfId="4" applyNumberFormat="1" applyFont="1" applyFill="1" applyBorder="1" applyAlignment="1">
      <alignment vertical="center"/>
    </xf>
    <xf numFmtId="14" fontId="0" fillId="0" borderId="0" xfId="4" applyNumberFormat="1" applyFont="1" applyAlignment="1">
      <alignment vertical="center"/>
    </xf>
    <xf numFmtId="0" fontId="14" fillId="8" borderId="13" xfId="3" applyFont="1" applyFill="1" applyBorder="1" applyAlignment="1">
      <alignment vertical="center"/>
    </xf>
    <xf numFmtId="0" fontId="14" fillId="8" borderId="14" xfId="3" applyFont="1" applyFill="1" applyBorder="1" applyAlignment="1">
      <alignment vertical="center"/>
    </xf>
    <xf numFmtId="167" fontId="14" fillId="8" borderId="14" xfId="4" applyNumberFormat="1" applyFont="1" applyFill="1" applyBorder="1" applyAlignment="1">
      <alignment vertical="center"/>
    </xf>
    <xf numFmtId="0" fontId="14" fillId="8" borderId="14" xfId="3" applyFont="1" applyFill="1" applyBorder="1" applyAlignment="1">
      <alignment horizontal="center" vertical="center"/>
    </xf>
    <xf numFmtId="4" fontId="14" fillId="8" borderId="14" xfId="3" applyNumberFormat="1" applyFont="1" applyFill="1" applyBorder="1" applyAlignment="1">
      <alignment vertical="center"/>
    </xf>
    <xf numFmtId="167" fontId="14" fillId="8" borderId="15" xfId="4" applyNumberFormat="1" applyFont="1" applyFill="1" applyBorder="1" applyAlignment="1">
      <alignment vertical="center"/>
    </xf>
    <xf numFmtId="0" fontId="11" fillId="0" borderId="0" xfId="3" applyFont="1" applyAlignment="1">
      <alignment vertical="center"/>
    </xf>
    <xf numFmtId="0" fontId="1" fillId="0" borderId="11" xfId="3" applyBorder="1"/>
    <xf numFmtId="0" fontId="1" fillId="0" borderId="0" xfId="3" applyAlignment="1">
      <alignment horizontal="center"/>
    </xf>
    <xf numFmtId="0" fontId="14" fillId="8" borderId="11" xfId="3" applyFont="1" applyFill="1" applyBorder="1" applyAlignment="1">
      <alignment vertical="center"/>
    </xf>
    <xf numFmtId="43" fontId="0" fillId="0" borderId="0" xfId="4" applyFont="1" applyAlignment="1">
      <alignment vertical="center"/>
    </xf>
    <xf numFmtId="0" fontId="14" fillId="8" borderId="16" xfId="3" applyFont="1" applyFill="1" applyBorder="1" applyAlignment="1">
      <alignment vertical="center"/>
    </xf>
    <xf numFmtId="0" fontId="14" fillId="8" borderId="17" xfId="3" applyFont="1" applyFill="1" applyBorder="1" applyAlignment="1">
      <alignment vertical="center"/>
    </xf>
    <xf numFmtId="3" fontId="14" fillId="8" borderId="17" xfId="4" applyNumberFormat="1" applyFont="1" applyFill="1" applyBorder="1" applyAlignment="1">
      <alignment vertical="center"/>
    </xf>
    <xf numFmtId="167" fontId="14" fillId="8" borderId="17" xfId="5" applyNumberFormat="1" applyFont="1" applyFill="1" applyBorder="1" applyAlignment="1">
      <alignment vertical="center"/>
    </xf>
    <xf numFmtId="167" fontId="14" fillId="8" borderId="17" xfId="4" applyNumberFormat="1" applyFont="1" applyFill="1" applyBorder="1" applyAlignment="1">
      <alignment vertical="center"/>
    </xf>
    <xf numFmtId="167" fontId="0" fillId="0" borderId="12" xfId="4" applyNumberFormat="1" applyFont="1" applyBorder="1" applyAlignment="1">
      <alignment vertical="center"/>
    </xf>
    <xf numFmtId="38" fontId="11" fillId="0" borderId="12" xfId="4" applyNumberFormat="1" applyFont="1" applyBorder="1" applyAlignment="1">
      <alignment vertical="center"/>
    </xf>
    <xf numFmtId="38" fontId="14" fillId="8" borderId="17" xfId="3" applyNumberFormat="1" applyFont="1" applyFill="1" applyBorder="1" applyAlignment="1">
      <alignment vertical="center"/>
    </xf>
    <xf numFmtId="4" fontId="14" fillId="8" borderId="17" xfId="3" applyNumberFormat="1" applyFont="1" applyFill="1" applyBorder="1" applyAlignment="1">
      <alignment vertical="center"/>
    </xf>
    <xf numFmtId="3" fontId="14" fillId="8" borderId="17" xfId="3" applyNumberFormat="1" applyFont="1" applyFill="1" applyBorder="1" applyAlignment="1">
      <alignment vertical="center"/>
    </xf>
    <xf numFmtId="38" fontId="14" fillId="8" borderId="17" xfId="4" applyNumberFormat="1" applyFont="1" applyFill="1" applyBorder="1" applyAlignment="1">
      <alignment vertical="center"/>
    </xf>
    <xf numFmtId="38" fontId="14" fillId="8" borderId="15" xfId="4" applyNumberFormat="1" applyFont="1" applyFill="1" applyBorder="1" applyAlignment="1">
      <alignment vertical="center"/>
    </xf>
    <xf numFmtId="38" fontId="0" fillId="0" borderId="12" xfId="4" applyNumberFormat="1" applyFont="1" applyBorder="1" applyAlignment="1">
      <alignment vertical="center"/>
    </xf>
    <xf numFmtId="0" fontId="14" fillId="11" borderId="13" xfId="3" applyFont="1" applyFill="1" applyBorder="1" applyAlignment="1">
      <alignment horizontal="left" vertical="center" wrapText="1"/>
    </xf>
    <xf numFmtId="0" fontId="14" fillId="11" borderId="14" xfId="3" applyFont="1" applyFill="1" applyBorder="1" applyAlignment="1">
      <alignment vertical="center"/>
    </xf>
    <xf numFmtId="38" fontId="14" fillId="11" borderId="14" xfId="3" applyNumberFormat="1" applyFont="1" applyFill="1" applyBorder="1" applyAlignment="1">
      <alignment vertical="center"/>
    </xf>
    <xf numFmtId="4" fontId="14" fillId="11" borderId="14" xfId="3" applyNumberFormat="1" applyFont="1" applyFill="1" applyBorder="1" applyAlignment="1">
      <alignment vertical="center"/>
    </xf>
    <xf numFmtId="167" fontId="14" fillId="11" borderId="14" xfId="4" applyNumberFormat="1" applyFont="1" applyFill="1" applyBorder="1" applyAlignment="1">
      <alignment vertical="center"/>
    </xf>
    <xf numFmtId="38" fontId="14" fillId="11" borderId="14" xfId="4" applyNumberFormat="1" applyFont="1" applyFill="1" applyBorder="1" applyAlignment="1">
      <alignment vertical="center"/>
    </xf>
    <xf numFmtId="38" fontId="14" fillId="11" borderId="18" xfId="4" applyNumberFormat="1" applyFont="1" applyFill="1" applyBorder="1" applyAlignment="1">
      <alignment vertical="center"/>
    </xf>
    <xf numFmtId="4" fontId="1" fillId="0" borderId="0" xfId="3" applyNumberFormat="1"/>
    <xf numFmtId="43" fontId="1" fillId="0" borderId="0" xfId="3" applyNumberFormat="1"/>
    <xf numFmtId="0" fontId="19" fillId="12" borderId="19" xfId="0" applyFont="1" applyFill="1" applyBorder="1" applyAlignment="1">
      <alignment horizontal="left" vertical="center"/>
    </xf>
    <xf numFmtId="0" fontId="21" fillId="12" borderId="19" xfId="0" applyFont="1" applyFill="1" applyBorder="1" applyAlignment="1">
      <alignment horizontal="left" vertical="center"/>
    </xf>
    <xf numFmtId="0" fontId="22" fillId="13" borderId="19" xfId="0" applyFont="1" applyFill="1" applyBorder="1" applyAlignment="1">
      <alignment vertical="center"/>
    </xf>
    <xf numFmtId="0" fontId="22" fillId="13" borderId="19" xfId="0" applyFont="1" applyFill="1" applyBorder="1" applyAlignment="1">
      <alignment horizontal="center" vertical="center" wrapText="1"/>
    </xf>
    <xf numFmtId="17" fontId="22" fillId="13" borderId="19" xfId="0" applyNumberFormat="1" applyFont="1" applyFill="1" applyBorder="1" applyAlignment="1">
      <alignment horizontal="center" vertical="center" wrapText="1"/>
    </xf>
    <xf numFmtId="168" fontId="22" fillId="13" borderId="19" xfId="1" applyNumberFormat="1" applyFont="1" applyFill="1" applyBorder="1" applyAlignment="1">
      <alignment horizontal="center" vertical="center" wrapText="1"/>
    </xf>
    <xf numFmtId="167" fontId="22" fillId="13" borderId="19" xfId="1" applyNumberFormat="1" applyFont="1" applyFill="1" applyBorder="1" applyAlignment="1">
      <alignment horizontal="center" vertical="center" wrapText="1"/>
    </xf>
    <xf numFmtId="0" fontId="25" fillId="14" borderId="19" xfId="0" applyFont="1" applyFill="1" applyBorder="1" applyAlignment="1">
      <alignment horizontal="left" vertical="center"/>
    </xf>
    <xf numFmtId="0" fontId="22" fillId="15" borderId="19" xfId="0" applyFont="1" applyFill="1" applyBorder="1" applyAlignment="1">
      <alignment horizontal="center" vertical="center" wrapText="1"/>
    </xf>
    <xf numFmtId="0" fontId="24" fillId="12" borderId="19" xfId="0" applyFont="1" applyFill="1" applyBorder="1" applyAlignment="1">
      <alignment horizontal="left" vertical="center"/>
    </xf>
    <xf numFmtId="0" fontId="22" fillId="16" borderId="19" xfId="0" applyFont="1" applyFill="1" applyBorder="1" applyAlignment="1">
      <alignment horizontal="left" vertical="center"/>
    </xf>
    <xf numFmtId="167" fontId="31" fillId="17" borderId="19" xfId="1" applyNumberFormat="1" applyFont="1" applyFill="1" applyBorder="1" applyAlignment="1">
      <alignment horizontal="left" vertical="center"/>
    </xf>
    <xf numFmtId="43" fontId="31" fillId="17" borderId="19" xfId="1" applyFont="1" applyFill="1" applyBorder="1" applyAlignment="1">
      <alignment horizontal="right" vertical="center"/>
    </xf>
    <xf numFmtId="43" fontId="33" fillId="17" borderId="19" xfId="1" applyFont="1" applyFill="1" applyBorder="1" applyAlignment="1">
      <alignment horizontal="right" vertical="center"/>
    </xf>
    <xf numFmtId="167" fontId="33" fillId="17" borderId="19" xfId="1" applyNumberFormat="1" applyFont="1" applyFill="1" applyBorder="1" applyAlignment="1">
      <alignment horizontal="right" vertical="center"/>
    </xf>
    <xf numFmtId="0" fontId="34" fillId="18" borderId="19" xfId="0" applyFont="1" applyFill="1" applyBorder="1" applyAlignment="1">
      <alignment horizontal="left" vertical="center"/>
    </xf>
    <xf numFmtId="43" fontId="37" fillId="18" borderId="19" xfId="1" applyFont="1" applyFill="1" applyBorder="1" applyAlignment="1">
      <alignment horizontal="right" vertical="center"/>
    </xf>
    <xf numFmtId="167" fontId="37" fillId="18" borderId="19" xfId="1" applyNumberFormat="1" applyFont="1" applyFill="1" applyBorder="1" applyAlignment="1">
      <alignment horizontal="right" vertical="center"/>
    </xf>
    <xf numFmtId="0" fontId="34" fillId="19" borderId="19" xfId="0" applyFont="1" applyFill="1" applyBorder="1" applyAlignment="1">
      <alignment horizontal="left" vertical="center"/>
    </xf>
    <xf numFmtId="43" fontId="37" fillId="19" borderId="19" xfId="1" applyFont="1" applyFill="1" applyBorder="1" applyAlignment="1">
      <alignment horizontal="right" vertical="center"/>
    </xf>
    <xf numFmtId="167" fontId="37" fillId="19" borderId="19" xfId="1" applyNumberFormat="1" applyFont="1" applyFill="1" applyBorder="1" applyAlignment="1">
      <alignment horizontal="right" vertical="center"/>
    </xf>
    <xf numFmtId="0" fontId="40" fillId="12" borderId="19" xfId="0" applyFont="1" applyFill="1" applyBorder="1" applyAlignment="1">
      <alignment horizontal="left" vertical="center"/>
    </xf>
    <xf numFmtId="164" fontId="40" fillId="12" borderId="19" xfId="0" applyNumberFormat="1" applyFont="1" applyFill="1" applyBorder="1" applyAlignment="1">
      <alignment horizontal="right" vertical="center"/>
    </xf>
    <xf numFmtId="0" fontId="4" fillId="21" borderId="19" xfId="0" applyFont="1" applyFill="1" applyBorder="1" applyAlignment="1">
      <alignment vertical="center"/>
    </xf>
    <xf numFmtId="0" fontId="42" fillId="22" borderId="19" xfId="0" applyFont="1" applyFill="1" applyBorder="1" applyAlignment="1">
      <alignment horizontal="center" vertical="center" wrapText="1"/>
    </xf>
    <xf numFmtId="0" fontId="43" fillId="22" borderId="19" xfId="0" applyFont="1" applyFill="1" applyBorder="1" applyAlignment="1">
      <alignment horizontal="center" vertical="center" wrapText="1"/>
    </xf>
    <xf numFmtId="0" fontId="23" fillId="23" borderId="19" xfId="0" applyFont="1" applyFill="1" applyBorder="1" applyAlignment="1">
      <alignment horizontal="center" vertical="center" wrapText="1"/>
    </xf>
    <xf numFmtId="167" fontId="44" fillId="22" borderId="19" xfId="1" applyNumberFormat="1" applyFont="1" applyFill="1" applyBorder="1" applyAlignment="1">
      <alignment horizontal="center" vertical="center" wrapText="1"/>
    </xf>
    <xf numFmtId="0" fontId="30" fillId="27" borderId="19" xfId="0" applyFont="1" applyFill="1" applyBorder="1" applyAlignment="1">
      <alignment horizontal="center" vertical="center" wrapText="1"/>
    </xf>
    <xf numFmtId="0" fontId="42" fillId="28" borderId="19" xfId="0" applyFont="1" applyFill="1" applyBorder="1" applyAlignment="1">
      <alignment horizontal="center" vertical="center" wrapText="1"/>
    </xf>
    <xf numFmtId="0" fontId="30" fillId="12" borderId="19" xfId="0" applyFont="1" applyFill="1" applyBorder="1" applyAlignment="1">
      <alignment horizontal="center" vertical="center" wrapText="1"/>
    </xf>
    <xf numFmtId="164" fontId="55" fillId="12" borderId="19" xfId="0" applyNumberFormat="1" applyFont="1" applyFill="1" applyBorder="1" applyAlignment="1">
      <alignment horizontal="right" vertical="center"/>
    </xf>
    <xf numFmtId="0" fontId="3" fillId="13" borderId="19" xfId="0" applyFont="1" applyFill="1" applyBorder="1" applyAlignment="1">
      <alignment horizontal="center" vertical="center" wrapText="1"/>
    </xf>
    <xf numFmtId="0" fontId="3" fillId="15" borderId="19" xfId="0" applyFont="1" applyFill="1" applyBorder="1" applyAlignment="1">
      <alignment horizontal="center" vertical="center" wrapText="1"/>
    </xf>
    <xf numFmtId="166" fontId="57" fillId="12" borderId="19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7" fillId="12" borderId="19" xfId="0" applyFont="1" applyFill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0" fontId="20" fillId="12" borderId="19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7" borderId="2" xfId="0" applyFill="1" applyBorder="1" applyAlignment="1">
      <alignment vertical="center"/>
    </xf>
    <xf numFmtId="165" fontId="22" fillId="13" borderId="19" xfId="0" applyNumberFormat="1" applyFont="1" applyFill="1" applyBorder="1" applyAlignment="1">
      <alignment horizontal="right" vertical="center"/>
    </xf>
    <xf numFmtId="0" fontId="41" fillId="22" borderId="19" xfId="0" applyFont="1" applyFill="1" applyBorder="1" applyAlignment="1">
      <alignment vertical="center"/>
    </xf>
    <xf numFmtId="0" fontId="20" fillId="23" borderId="19" xfId="0" applyFont="1" applyFill="1" applyBorder="1" applyAlignment="1">
      <alignment vertical="center"/>
    </xf>
    <xf numFmtId="0" fontId="20" fillId="13" borderId="19" xfId="0" applyFont="1" applyFill="1" applyBorder="1" applyAlignment="1">
      <alignment vertical="center"/>
    </xf>
    <xf numFmtId="168" fontId="22" fillId="13" borderId="19" xfId="0" applyNumberFormat="1" applyFont="1" applyFill="1" applyBorder="1" applyAlignment="1">
      <alignment horizontal="right" vertical="center"/>
    </xf>
    <xf numFmtId="166" fontId="3" fillId="13" borderId="19" xfId="0" applyNumberFormat="1" applyFont="1" applyFill="1" applyBorder="1" applyAlignment="1">
      <alignment horizontal="center" vertical="center"/>
    </xf>
    <xf numFmtId="165" fontId="44" fillId="22" borderId="19" xfId="0" applyNumberFormat="1" applyFont="1" applyFill="1" applyBorder="1" applyAlignment="1">
      <alignment horizontal="right" vertical="center"/>
    </xf>
    <xf numFmtId="0" fontId="27" fillId="14" borderId="19" xfId="0" applyFont="1" applyFill="1" applyBorder="1" applyAlignment="1">
      <alignment vertical="center"/>
    </xf>
    <xf numFmtId="166" fontId="26" fillId="14" borderId="19" xfId="0" applyNumberFormat="1" applyFont="1" applyFill="1" applyBorder="1" applyAlignment="1">
      <alignment horizontal="center" vertical="center"/>
    </xf>
    <xf numFmtId="165" fontId="25" fillId="24" borderId="19" xfId="0" applyNumberFormat="1" applyFont="1" applyFill="1" applyBorder="1" applyAlignment="1">
      <alignment horizontal="right" vertical="center"/>
    </xf>
    <xf numFmtId="0" fontId="45" fillId="26" borderId="19" xfId="0" applyFont="1" applyFill="1" applyBorder="1" applyAlignment="1">
      <alignment vertical="center"/>
    </xf>
    <xf numFmtId="0" fontId="28" fillId="14" borderId="19" xfId="0" applyFont="1" applyFill="1" applyBorder="1" applyAlignment="1">
      <alignment vertical="center"/>
    </xf>
    <xf numFmtId="164" fontId="25" fillId="14" borderId="19" xfId="0" applyNumberFormat="1" applyFont="1" applyFill="1" applyBorder="1" applyAlignment="1">
      <alignment horizontal="right" vertical="center"/>
    </xf>
    <xf numFmtId="165" fontId="26" fillId="14" borderId="19" xfId="0" applyNumberFormat="1" applyFont="1" applyFill="1" applyBorder="1" applyAlignment="1">
      <alignment horizontal="right" vertical="center"/>
    </xf>
    <xf numFmtId="167" fontId="27" fillId="14" borderId="19" xfId="1" applyNumberFormat="1" applyFont="1" applyFill="1" applyBorder="1" applyAlignment="1">
      <alignment vertical="center"/>
    </xf>
    <xf numFmtId="165" fontId="46" fillId="25" borderId="19" xfId="0" applyNumberFormat="1" applyFont="1" applyFill="1" applyBorder="1" applyAlignment="1">
      <alignment horizontal="right" vertical="center"/>
    </xf>
    <xf numFmtId="165" fontId="47" fillId="25" borderId="19" xfId="0" applyNumberFormat="1" applyFont="1" applyFill="1" applyBorder="1" applyAlignment="1">
      <alignment horizontal="right" vertical="center"/>
    </xf>
    <xf numFmtId="0" fontId="48" fillId="25" borderId="19" xfId="0" applyFont="1" applyFill="1" applyBorder="1" applyAlignment="1">
      <alignment vertical="center"/>
    </xf>
    <xf numFmtId="166" fontId="2" fillId="13" borderId="19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7" fillId="19" borderId="19" xfId="0" applyFont="1" applyFill="1" applyBorder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20" fillId="27" borderId="19" xfId="0" applyFont="1" applyFill="1" applyBorder="1" applyAlignment="1">
      <alignment vertical="center"/>
    </xf>
    <xf numFmtId="0" fontId="41" fillId="28" borderId="19" xfId="0" applyFont="1" applyFill="1" applyBorder="1" applyAlignment="1">
      <alignment vertical="center"/>
    </xf>
    <xf numFmtId="0" fontId="20" fillId="15" borderId="19" xfId="0" applyFont="1" applyFill="1" applyBorder="1" applyAlignment="1">
      <alignment vertical="center"/>
    </xf>
    <xf numFmtId="167" fontId="20" fillId="12" borderId="19" xfId="0" applyNumberFormat="1" applyFont="1" applyFill="1" applyBorder="1" applyAlignment="1">
      <alignment vertical="center"/>
    </xf>
    <xf numFmtId="167" fontId="41" fillId="12" borderId="19" xfId="0" applyNumberFormat="1" applyFont="1" applyFill="1" applyBorder="1" applyAlignment="1">
      <alignment vertical="center"/>
    </xf>
    <xf numFmtId="0" fontId="41" fillId="12" borderId="19" xfId="0" applyFont="1" applyFill="1" applyBorder="1" applyAlignment="1">
      <alignment vertical="center"/>
    </xf>
    <xf numFmtId="165" fontId="31" fillId="17" borderId="19" xfId="0" applyNumberFormat="1" applyFont="1" applyFill="1" applyBorder="1" applyAlignment="1">
      <alignment horizontal="right" vertical="center"/>
    </xf>
    <xf numFmtId="169" fontId="36" fillId="17" borderId="19" xfId="0" applyNumberFormat="1" applyFont="1" applyFill="1" applyBorder="1" applyAlignment="1">
      <alignment horizontal="center" vertical="center"/>
    </xf>
    <xf numFmtId="165" fontId="31" fillId="29" borderId="19" xfId="0" applyNumberFormat="1" applyFont="1" applyFill="1" applyBorder="1" applyAlignment="1">
      <alignment horizontal="right" vertical="center"/>
    </xf>
    <xf numFmtId="165" fontId="49" fillId="30" borderId="19" xfId="0" applyNumberFormat="1" applyFont="1" applyFill="1" applyBorder="1" applyAlignment="1">
      <alignment horizontal="right" vertical="center"/>
    </xf>
    <xf numFmtId="165" fontId="50" fillId="31" borderId="19" xfId="0" applyNumberFormat="1" applyFont="1" applyFill="1" applyBorder="1" applyAlignment="1">
      <alignment horizontal="right" vertical="center"/>
    </xf>
    <xf numFmtId="0" fontId="32" fillId="17" borderId="19" xfId="0" applyFont="1" applyFill="1" applyBorder="1" applyAlignment="1">
      <alignment vertical="center"/>
    </xf>
    <xf numFmtId="167" fontId="32" fillId="17" borderId="19" xfId="0" applyNumberFormat="1" applyFont="1" applyFill="1" applyBorder="1" applyAlignment="1">
      <alignment vertical="center"/>
    </xf>
    <xf numFmtId="0" fontId="33" fillId="17" borderId="19" xfId="2" applyFont="1" applyFill="1" applyBorder="1" applyAlignment="1">
      <alignment vertical="center"/>
    </xf>
    <xf numFmtId="0" fontId="31" fillId="17" borderId="19" xfId="2" applyFont="1" applyFill="1" applyBorder="1" applyAlignment="1">
      <alignment vertical="center"/>
    </xf>
    <xf numFmtId="167" fontId="31" fillId="17" borderId="19" xfId="2" applyNumberFormat="1" applyFont="1" applyFill="1" applyBorder="1" applyAlignment="1">
      <alignment vertical="center"/>
    </xf>
    <xf numFmtId="165" fontId="34" fillId="18" borderId="19" xfId="0" applyNumberFormat="1" applyFont="1" applyFill="1" applyBorder="1" applyAlignment="1">
      <alignment horizontal="right" vertical="center"/>
    </xf>
    <xf numFmtId="165" fontId="33" fillId="18" borderId="19" xfId="0" applyNumberFormat="1" applyFont="1" applyFill="1" applyBorder="1" applyAlignment="1">
      <alignment horizontal="right" vertical="center"/>
    </xf>
    <xf numFmtId="165" fontId="34" fillId="32" borderId="19" xfId="0" applyNumberFormat="1" applyFont="1" applyFill="1" applyBorder="1" applyAlignment="1">
      <alignment horizontal="right" vertical="center"/>
    </xf>
    <xf numFmtId="0" fontId="51" fillId="33" borderId="19" xfId="0" applyFont="1" applyFill="1" applyBorder="1" applyAlignment="1">
      <alignment vertical="center"/>
    </xf>
    <xf numFmtId="165" fontId="52" fillId="18" borderId="19" xfId="0" applyNumberFormat="1" applyFont="1" applyFill="1" applyBorder="1" applyAlignment="1">
      <alignment horizontal="right" vertical="center"/>
    </xf>
    <xf numFmtId="167" fontId="37" fillId="18" borderId="19" xfId="2" applyNumberFormat="1" applyFont="1" applyFill="1" applyBorder="1" applyAlignment="1">
      <alignment vertical="center"/>
    </xf>
    <xf numFmtId="165" fontId="34" fillId="19" borderId="19" xfId="0" applyNumberFormat="1" applyFont="1" applyFill="1" applyBorder="1" applyAlignment="1">
      <alignment horizontal="right" vertical="center"/>
    </xf>
    <xf numFmtId="165" fontId="33" fillId="19" borderId="19" xfId="0" applyNumberFormat="1" applyFont="1" applyFill="1" applyBorder="1" applyAlignment="1">
      <alignment horizontal="right" vertical="center"/>
    </xf>
    <xf numFmtId="0" fontId="51" fillId="19" borderId="19" xfId="0" applyFont="1" applyFill="1" applyBorder="1" applyAlignment="1">
      <alignment vertical="center"/>
    </xf>
    <xf numFmtId="167" fontId="37" fillId="19" borderId="19" xfId="2" applyNumberFormat="1" applyFont="1" applyFill="1" applyBorder="1" applyAlignment="1">
      <alignment vertical="center"/>
    </xf>
    <xf numFmtId="0" fontId="38" fillId="19" borderId="19" xfId="2" applyFont="1" applyFill="1" applyBorder="1" applyAlignment="1">
      <alignment vertical="center"/>
    </xf>
    <xf numFmtId="165" fontId="35" fillId="18" borderId="19" xfId="0" applyNumberFormat="1" applyFont="1" applyFill="1" applyBorder="1" applyAlignment="1">
      <alignment vertical="center"/>
    </xf>
    <xf numFmtId="0" fontId="35" fillId="18" borderId="19" xfId="0" applyFont="1" applyFill="1" applyBorder="1" applyAlignment="1">
      <alignment vertical="center"/>
    </xf>
    <xf numFmtId="165" fontId="35" fillId="19" borderId="19" xfId="0" applyNumberFormat="1" applyFont="1" applyFill="1" applyBorder="1" applyAlignment="1">
      <alignment vertical="center"/>
    </xf>
    <xf numFmtId="0" fontId="35" fillId="19" borderId="19" xfId="0" applyFont="1" applyFill="1" applyBorder="1" applyAlignment="1">
      <alignment vertical="center"/>
    </xf>
    <xf numFmtId="164" fontId="34" fillId="18" borderId="19" xfId="0" applyNumberFormat="1" applyFont="1" applyFill="1" applyBorder="1" applyAlignment="1">
      <alignment horizontal="right" vertical="center"/>
    </xf>
    <xf numFmtId="0" fontId="39" fillId="32" borderId="19" xfId="0" applyFont="1" applyFill="1" applyBorder="1" applyAlignment="1">
      <alignment vertical="center"/>
    </xf>
    <xf numFmtId="165" fontId="33" fillId="29" borderId="19" xfId="0" applyNumberFormat="1" applyFont="1" applyFill="1" applyBorder="1" applyAlignment="1">
      <alignment horizontal="right" vertical="center"/>
    </xf>
    <xf numFmtId="165" fontId="32" fillId="17" borderId="19" xfId="0" applyNumberFormat="1" applyFont="1" applyFill="1" applyBorder="1" applyAlignment="1">
      <alignment vertical="center"/>
    </xf>
    <xf numFmtId="0" fontId="31" fillId="20" borderId="20" xfId="0" applyFont="1" applyFill="1" applyBorder="1" applyAlignment="1">
      <alignment horizontal="left" vertical="center"/>
    </xf>
    <xf numFmtId="164" fontId="31" fillId="20" borderId="20" xfId="0" applyNumberFormat="1" applyFont="1" applyFill="1" applyBorder="1" applyAlignment="1">
      <alignment horizontal="right" vertical="center"/>
    </xf>
    <xf numFmtId="169" fontId="31" fillId="20" borderId="20" xfId="0" applyNumberFormat="1" applyFont="1" applyFill="1" applyBorder="1" applyAlignment="1">
      <alignment horizontal="center" vertical="center"/>
    </xf>
    <xf numFmtId="164" fontId="31" fillId="34" borderId="19" xfId="0" applyNumberFormat="1" applyFont="1" applyFill="1" applyBorder="1" applyAlignment="1">
      <alignment horizontal="right" vertical="center"/>
    </xf>
    <xf numFmtId="165" fontId="53" fillId="35" borderId="19" xfId="0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164" fontId="34" fillId="19" borderId="19" xfId="0" applyNumberFormat="1" applyFont="1" applyFill="1" applyBorder="1" applyAlignment="1">
      <alignment horizontal="right" vertical="center"/>
    </xf>
    <xf numFmtId="0" fontId="39" fillId="19" borderId="19" xfId="0" applyFont="1" applyFill="1" applyBorder="1" applyAlignment="1">
      <alignment vertical="center"/>
    </xf>
    <xf numFmtId="0" fontId="39" fillId="18" borderId="19" xfId="0" applyFont="1" applyFill="1" applyBorder="1" applyAlignment="1">
      <alignment vertical="center"/>
    </xf>
    <xf numFmtId="169" fontId="56" fillId="18" borderId="19" xfId="0" applyNumberFormat="1" applyFont="1" applyFill="1" applyBorder="1" applyAlignment="1">
      <alignment horizontal="center" vertical="center"/>
    </xf>
    <xf numFmtId="0" fontId="54" fillId="18" borderId="19" xfId="0" applyFont="1" applyFill="1" applyBorder="1" applyAlignment="1">
      <alignment vertical="center"/>
    </xf>
    <xf numFmtId="169" fontId="56" fillId="19" borderId="19" xfId="0" applyNumberFormat="1" applyFont="1" applyFill="1" applyBorder="1" applyAlignment="1">
      <alignment horizontal="center" vertical="center"/>
    </xf>
    <xf numFmtId="169" fontId="7" fillId="12" borderId="1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66" fontId="9" fillId="12" borderId="19" xfId="0" applyNumberFormat="1" applyFont="1" applyFill="1" applyBorder="1" applyAlignment="1">
      <alignment horizontal="center" vertical="center"/>
    </xf>
    <xf numFmtId="167" fontId="8" fillId="21" borderId="19" xfId="1" applyNumberFormat="1" applyFont="1" applyFill="1" applyBorder="1" applyAlignment="1">
      <alignment vertical="center"/>
    </xf>
    <xf numFmtId="0" fontId="7" fillId="21" borderId="19" xfId="0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59" fillId="0" borderId="0" xfId="0" applyFont="1" applyAlignment="1">
      <alignment vertical="center"/>
    </xf>
    <xf numFmtId="0" fontId="60" fillId="13" borderId="19" xfId="0" applyFont="1" applyFill="1" applyBorder="1" applyAlignment="1">
      <alignment vertical="center"/>
    </xf>
    <xf numFmtId="170" fontId="3" fillId="13" borderId="19" xfId="0" applyNumberFormat="1" applyFont="1" applyFill="1" applyBorder="1" applyAlignment="1">
      <alignment horizontal="right" vertical="center"/>
    </xf>
    <xf numFmtId="170" fontId="3" fillId="13" borderId="19" xfId="1" applyNumberFormat="1" applyFont="1" applyFill="1" applyBorder="1" applyAlignment="1">
      <alignment horizontal="center" vertical="center" wrapText="1"/>
    </xf>
    <xf numFmtId="168" fontId="3" fillId="13" borderId="19" xfId="1" applyNumberFormat="1" applyFont="1" applyFill="1" applyBorder="1" applyAlignment="1">
      <alignment horizontal="center" vertical="center" wrapText="1"/>
    </xf>
    <xf numFmtId="167" fontId="3" fillId="13" borderId="19" xfId="1" applyNumberFormat="1" applyFont="1" applyFill="1" applyBorder="1" applyAlignment="1">
      <alignment horizontal="center" vertical="center" wrapText="1"/>
    </xf>
    <xf numFmtId="167" fontId="61" fillId="22" borderId="19" xfId="1" applyNumberFormat="1" applyFont="1" applyFill="1" applyBorder="1" applyAlignment="1">
      <alignment horizontal="center" vertical="center" wrapText="1"/>
    </xf>
    <xf numFmtId="165" fontId="61" fillId="22" borderId="19" xfId="0" applyNumberFormat="1" applyFont="1" applyFill="1" applyBorder="1" applyAlignment="1">
      <alignment horizontal="right" vertical="center"/>
    </xf>
    <xf numFmtId="0" fontId="62" fillId="23" borderId="19" xfId="0" applyFont="1" applyFill="1" applyBorder="1" applyAlignment="1">
      <alignment vertical="center"/>
    </xf>
    <xf numFmtId="0" fontId="62" fillId="13" borderId="19" xfId="0" applyFont="1" applyFill="1" applyBorder="1" applyAlignment="1">
      <alignment vertical="center"/>
    </xf>
    <xf numFmtId="0" fontId="63" fillId="14" borderId="19" xfId="0" applyFont="1" applyFill="1" applyBorder="1" applyAlignment="1">
      <alignment horizontal="left" vertical="center"/>
    </xf>
    <xf numFmtId="165" fontId="64" fillId="14" borderId="19" xfId="0" applyNumberFormat="1" applyFont="1" applyFill="1" applyBorder="1" applyAlignment="1">
      <alignment horizontal="center" vertical="center"/>
    </xf>
    <xf numFmtId="0" fontId="65" fillId="14" borderId="19" xfId="0" applyFont="1" applyFill="1" applyBorder="1" applyAlignment="1">
      <alignment vertical="center"/>
    </xf>
    <xf numFmtId="166" fontId="64" fillId="14" borderId="19" xfId="0" applyNumberFormat="1" applyFont="1" applyFill="1" applyBorder="1" applyAlignment="1">
      <alignment horizontal="center" vertical="center"/>
    </xf>
    <xf numFmtId="165" fontId="63" fillId="24" borderId="19" xfId="0" applyNumberFormat="1" applyFont="1" applyFill="1" applyBorder="1" applyAlignment="1">
      <alignment horizontal="right" vertical="center"/>
    </xf>
    <xf numFmtId="0" fontId="66" fillId="26" borderId="19" xfId="0" applyFont="1" applyFill="1" applyBorder="1" applyAlignment="1">
      <alignment vertical="center"/>
    </xf>
    <xf numFmtId="0" fontId="67" fillId="14" borderId="19" xfId="0" applyFont="1" applyFill="1" applyBorder="1" applyAlignment="1">
      <alignment vertical="center"/>
    </xf>
    <xf numFmtId="170" fontId="63" fillId="14" borderId="19" xfId="0" applyNumberFormat="1" applyFont="1" applyFill="1" applyBorder="1" applyAlignment="1">
      <alignment horizontal="right" vertical="center"/>
    </xf>
    <xf numFmtId="170" fontId="65" fillId="14" borderId="19" xfId="1" applyNumberFormat="1" applyFont="1" applyFill="1" applyBorder="1" applyAlignment="1">
      <alignment vertical="center"/>
    </xf>
    <xf numFmtId="170" fontId="65" fillId="14" borderId="19" xfId="0" applyNumberFormat="1" applyFont="1" applyFill="1" applyBorder="1" applyAlignment="1">
      <alignment vertical="center"/>
    </xf>
    <xf numFmtId="170" fontId="67" fillId="24" borderId="19" xfId="1" applyNumberFormat="1" applyFont="1" applyFill="1" applyBorder="1" applyAlignment="1">
      <alignment vertical="center"/>
    </xf>
    <xf numFmtId="170" fontId="68" fillId="25" borderId="19" xfId="1" applyNumberFormat="1" applyFont="1" applyFill="1" applyBorder="1" applyAlignment="1">
      <alignment vertical="center"/>
    </xf>
    <xf numFmtId="170" fontId="64" fillId="14" borderId="19" xfId="0" applyNumberFormat="1" applyFont="1" applyFill="1" applyBorder="1" applyAlignment="1">
      <alignment horizontal="right" vertical="center"/>
    </xf>
    <xf numFmtId="164" fontId="63" fillId="14" borderId="19" xfId="0" applyNumberFormat="1" applyFont="1" applyFill="1" applyBorder="1" applyAlignment="1">
      <alignment horizontal="right" vertical="center"/>
    </xf>
    <xf numFmtId="165" fontId="64" fillId="14" borderId="19" xfId="0" applyNumberFormat="1" applyFont="1" applyFill="1" applyBorder="1" applyAlignment="1">
      <alignment horizontal="right" vertical="center"/>
    </xf>
    <xf numFmtId="167" fontId="65" fillId="14" borderId="19" xfId="1" applyNumberFormat="1" applyFont="1" applyFill="1" applyBorder="1" applyAlignment="1">
      <alignment vertical="center"/>
    </xf>
    <xf numFmtId="168" fontId="3" fillId="13" borderId="19" xfId="0" applyNumberFormat="1" applyFont="1" applyFill="1" applyBorder="1" applyAlignment="1">
      <alignment horizontal="right" vertical="center"/>
    </xf>
    <xf numFmtId="165" fontId="69" fillId="25" borderId="19" xfId="0" applyNumberFormat="1" applyFont="1" applyFill="1" applyBorder="1" applyAlignment="1">
      <alignment horizontal="right" vertical="center"/>
    </xf>
    <xf numFmtId="43" fontId="58" fillId="0" borderId="0" xfId="1" applyFont="1"/>
    <xf numFmtId="167" fontId="0" fillId="0" borderId="0" xfId="0" applyNumberFormat="1" applyAlignment="1">
      <alignment vertical="center"/>
    </xf>
    <xf numFmtId="165" fontId="31" fillId="20" borderId="20" xfId="0" applyNumberFormat="1" applyFont="1" applyFill="1" applyBorder="1" applyAlignment="1">
      <alignment horizontal="right" vertical="center"/>
    </xf>
    <xf numFmtId="165" fontId="39" fillId="19" borderId="19" xfId="0" applyNumberFormat="1" applyFont="1" applyFill="1" applyBorder="1" applyAlignment="1">
      <alignment horizontal="right" vertical="center"/>
    </xf>
    <xf numFmtId="165" fontId="39" fillId="18" borderId="19" xfId="0" applyNumberFormat="1" applyFont="1" applyFill="1" applyBorder="1" applyAlignment="1">
      <alignment horizontal="right" vertical="center"/>
    </xf>
    <xf numFmtId="165" fontId="40" fillId="12" borderId="19" xfId="0" applyNumberFormat="1" applyFont="1" applyFill="1" applyBorder="1" applyAlignment="1">
      <alignment horizontal="right" vertical="center"/>
    </xf>
    <xf numFmtId="0" fontId="0" fillId="37" borderId="0" xfId="0" applyFill="1"/>
    <xf numFmtId="0" fontId="72" fillId="36" borderId="22" xfId="0" applyFont="1" applyFill="1" applyBorder="1" applyAlignment="1">
      <alignment horizontal="left" vertical="center" wrapText="1"/>
    </xf>
    <xf numFmtId="0" fontId="72" fillId="36" borderId="22" xfId="0" applyFont="1" applyFill="1" applyBorder="1" applyAlignment="1">
      <alignment horizontal="center" vertical="center" wrapText="1"/>
    </xf>
    <xf numFmtId="0" fontId="72" fillId="38" borderId="22" xfId="0" applyFont="1" applyFill="1" applyBorder="1" applyAlignment="1">
      <alignment horizontal="center" vertical="center" wrapText="1"/>
    </xf>
    <xf numFmtId="0" fontId="72" fillId="39" borderId="22" xfId="0" applyFont="1" applyFill="1" applyBorder="1" applyAlignment="1">
      <alignment horizontal="center" vertical="center" wrapText="1"/>
    </xf>
    <xf numFmtId="0" fontId="73" fillId="36" borderId="23" xfId="0" applyFont="1" applyFill="1" applyBorder="1" applyAlignment="1">
      <alignment horizontal="left" vertical="center"/>
    </xf>
    <xf numFmtId="0" fontId="0" fillId="36" borderId="23" xfId="0" applyFill="1" applyBorder="1"/>
    <xf numFmtId="0" fontId="74" fillId="40" borderId="23" xfId="0" applyFont="1" applyFill="1" applyBorder="1" applyAlignment="1">
      <alignment horizontal="left" vertical="center"/>
    </xf>
    <xf numFmtId="165" fontId="75" fillId="40" borderId="23" xfId="0" applyNumberFormat="1" applyFont="1" applyFill="1" applyBorder="1" applyAlignment="1">
      <alignment horizontal="right" vertical="center"/>
    </xf>
    <xf numFmtId="165" fontId="76" fillId="40" borderId="23" xfId="0" applyNumberFormat="1" applyFont="1" applyFill="1" applyBorder="1" applyAlignment="1">
      <alignment horizontal="right" vertical="center"/>
    </xf>
    <xf numFmtId="165" fontId="77" fillId="40" borderId="23" xfId="0" applyNumberFormat="1" applyFont="1" applyFill="1" applyBorder="1" applyAlignment="1">
      <alignment horizontal="right" vertical="center"/>
    </xf>
    <xf numFmtId="166" fontId="78" fillId="40" borderId="23" xfId="0" applyNumberFormat="1" applyFont="1" applyFill="1" applyBorder="1" applyAlignment="1">
      <alignment horizontal="right" vertical="center"/>
    </xf>
    <xf numFmtId="0" fontId="74" fillId="37" borderId="23" xfId="0" applyFont="1" applyFill="1" applyBorder="1" applyAlignment="1">
      <alignment horizontal="left" vertical="center"/>
    </xf>
    <xf numFmtId="165" fontId="75" fillId="37" borderId="23" xfId="0" applyNumberFormat="1" applyFont="1" applyFill="1" applyBorder="1" applyAlignment="1">
      <alignment horizontal="right" vertical="center"/>
    </xf>
    <xf numFmtId="165" fontId="76" fillId="37" borderId="23" xfId="0" applyNumberFormat="1" applyFont="1" applyFill="1" applyBorder="1" applyAlignment="1">
      <alignment horizontal="right" vertical="center"/>
    </xf>
    <xf numFmtId="165" fontId="77" fillId="37" borderId="23" xfId="0" applyNumberFormat="1" applyFont="1" applyFill="1" applyBorder="1" applyAlignment="1">
      <alignment horizontal="right" vertical="center"/>
    </xf>
    <xf numFmtId="166" fontId="78" fillId="37" borderId="23" xfId="0" applyNumberFormat="1" applyFont="1" applyFill="1" applyBorder="1" applyAlignment="1">
      <alignment horizontal="right" vertical="center"/>
    </xf>
    <xf numFmtId="0" fontId="79" fillId="41" borderId="23" xfId="0" applyFont="1" applyFill="1" applyBorder="1" applyAlignment="1">
      <alignment horizontal="left" vertical="center"/>
    </xf>
    <xf numFmtId="165" fontId="79" fillId="41" borderId="22" xfId="0" applyNumberFormat="1" applyFont="1" applyFill="1" applyBorder="1" applyAlignment="1">
      <alignment horizontal="right" vertical="center"/>
    </xf>
    <xf numFmtId="0" fontId="0" fillId="41" borderId="22" xfId="0" applyFill="1" applyBorder="1"/>
    <xf numFmtId="0" fontId="80" fillId="36" borderId="23" xfId="0" applyFont="1" applyFill="1" applyBorder="1" applyAlignment="1">
      <alignment horizontal="left" vertical="center"/>
    </xf>
    <xf numFmtId="165" fontId="81" fillId="36" borderId="23" xfId="0" applyNumberFormat="1" applyFont="1" applyFill="1" applyBorder="1" applyAlignment="1">
      <alignment horizontal="right" vertical="center"/>
    </xf>
    <xf numFmtId="0" fontId="81" fillId="36" borderId="23" xfId="0" applyFont="1" applyFill="1" applyBorder="1" applyAlignment="1">
      <alignment horizontal="right" vertical="center"/>
    </xf>
    <xf numFmtId="0" fontId="82" fillId="42" borderId="23" xfId="0" applyFont="1" applyFill="1" applyBorder="1" applyAlignment="1">
      <alignment horizontal="center"/>
    </xf>
    <xf numFmtId="0" fontId="82" fillId="38" borderId="23" xfId="0" applyFont="1" applyFill="1" applyBorder="1" applyAlignment="1">
      <alignment horizontal="center"/>
    </xf>
    <xf numFmtId="0" fontId="82" fillId="43" borderId="23" xfId="0" applyFont="1" applyFill="1" applyBorder="1" applyAlignment="1">
      <alignment horizontal="center"/>
    </xf>
    <xf numFmtId="0" fontId="82" fillId="44" borderId="23" xfId="0" applyFont="1" applyFill="1" applyBorder="1" applyAlignment="1">
      <alignment horizontal="center"/>
    </xf>
    <xf numFmtId="0" fontId="82" fillId="36" borderId="23" xfId="0" applyFont="1" applyFill="1" applyBorder="1" applyAlignment="1">
      <alignment horizontal="center"/>
    </xf>
    <xf numFmtId="165" fontId="83" fillId="37" borderId="23" xfId="0" applyNumberFormat="1" applyFont="1" applyFill="1" applyBorder="1" applyAlignment="1">
      <alignment horizontal="center"/>
    </xf>
    <xf numFmtId="166" fontId="84" fillId="37" borderId="23" xfId="0" applyNumberFormat="1" applyFont="1" applyFill="1" applyBorder="1" applyAlignment="1">
      <alignment horizontal="center"/>
    </xf>
    <xf numFmtId="0" fontId="72" fillId="45" borderId="23" xfId="0" applyFont="1" applyFill="1" applyBorder="1" applyAlignment="1">
      <alignment horizontal="left" vertical="center"/>
    </xf>
    <xf numFmtId="0" fontId="0" fillId="45" borderId="23" xfId="0" applyFill="1" applyBorder="1"/>
    <xf numFmtId="165" fontId="85" fillId="45" borderId="23" xfId="0" applyNumberFormat="1" applyFont="1" applyFill="1" applyBorder="1" applyAlignment="1">
      <alignment horizontal="right"/>
    </xf>
    <xf numFmtId="0" fontId="86" fillId="46" borderId="23" xfId="0" applyFont="1" applyFill="1" applyBorder="1" applyAlignment="1">
      <alignment horizontal="left" vertical="center"/>
    </xf>
    <xf numFmtId="0" fontId="87" fillId="46" borderId="23" xfId="0" applyFont="1" applyFill="1" applyBorder="1" applyAlignment="1">
      <alignment horizontal="left" vertical="center"/>
    </xf>
    <xf numFmtId="0" fontId="86" fillId="46" borderId="23" xfId="0" applyFont="1" applyFill="1" applyBorder="1" applyAlignment="1">
      <alignment horizontal="center" vertical="center"/>
    </xf>
    <xf numFmtId="165" fontId="86" fillId="46" borderId="23" xfId="0" applyNumberFormat="1" applyFont="1" applyFill="1" applyBorder="1" applyAlignment="1">
      <alignment horizontal="right"/>
    </xf>
    <xf numFmtId="0" fontId="86" fillId="37" borderId="23" xfId="0" applyFont="1" applyFill="1" applyBorder="1" applyAlignment="1">
      <alignment horizontal="left" vertical="center"/>
    </xf>
    <xf numFmtId="0" fontId="87" fillId="37" borderId="23" xfId="0" applyFont="1" applyFill="1" applyBorder="1" applyAlignment="1">
      <alignment horizontal="left" vertical="center"/>
    </xf>
    <xf numFmtId="0" fontId="86" fillId="37" borderId="23" xfId="0" applyFont="1" applyFill="1" applyBorder="1" applyAlignment="1">
      <alignment horizontal="center" vertical="center"/>
    </xf>
    <xf numFmtId="165" fontId="86" fillId="37" borderId="23" xfId="0" applyNumberFormat="1" applyFont="1" applyFill="1" applyBorder="1" applyAlignment="1">
      <alignment horizontal="right"/>
    </xf>
    <xf numFmtId="165" fontId="88" fillId="37" borderId="23" xfId="0" applyNumberFormat="1" applyFont="1" applyFill="1" applyBorder="1" applyAlignment="1">
      <alignment horizontal="right"/>
    </xf>
    <xf numFmtId="165" fontId="88" fillId="46" borderId="23" xfId="0" applyNumberFormat="1" applyFont="1" applyFill="1" applyBorder="1" applyAlignment="1">
      <alignment horizontal="right"/>
    </xf>
    <xf numFmtId="0" fontId="72" fillId="36" borderId="23" xfId="0" applyFont="1" applyFill="1" applyBorder="1" applyAlignment="1">
      <alignment horizontal="left" vertical="center"/>
    </xf>
    <xf numFmtId="165" fontId="85" fillId="36" borderId="23" xfId="0" applyNumberFormat="1" applyFont="1" applyFill="1" applyBorder="1" applyAlignment="1">
      <alignment horizontal="right"/>
    </xf>
    <xf numFmtId="0" fontId="72" fillId="47" borderId="22" xfId="0" applyFont="1" applyFill="1" applyBorder="1" applyAlignment="1">
      <alignment horizontal="center" vertical="center" wrapText="1"/>
    </xf>
    <xf numFmtId="0" fontId="74" fillId="48" borderId="23" xfId="0" applyFont="1" applyFill="1" applyBorder="1" applyAlignment="1">
      <alignment horizontal="left" vertical="center"/>
    </xf>
    <xf numFmtId="0" fontId="89" fillId="48" borderId="23" xfId="0" applyFont="1" applyFill="1" applyBorder="1" applyAlignment="1">
      <alignment horizontal="left" vertical="center"/>
    </xf>
    <xf numFmtId="0" fontId="86" fillId="48" borderId="23" xfId="0" applyFont="1" applyFill="1" applyBorder="1" applyAlignment="1">
      <alignment horizontal="center" vertical="center"/>
    </xf>
    <xf numFmtId="165" fontId="75" fillId="48" borderId="23" xfId="0" applyNumberFormat="1" applyFont="1" applyFill="1" applyBorder="1" applyAlignment="1">
      <alignment horizontal="right" vertical="center"/>
    </xf>
    <xf numFmtId="165" fontId="90" fillId="48" borderId="23" xfId="0" applyNumberFormat="1" applyFont="1" applyFill="1" applyBorder="1" applyAlignment="1">
      <alignment horizontal="right" vertical="center"/>
    </xf>
    <xf numFmtId="0" fontId="91" fillId="48" borderId="23" xfId="0" applyFont="1" applyFill="1" applyBorder="1" applyAlignment="1">
      <alignment horizontal="left" vertical="center"/>
    </xf>
    <xf numFmtId="0" fontId="92" fillId="48" borderId="23" xfId="0" applyFont="1" applyFill="1" applyBorder="1" applyAlignment="1">
      <alignment horizontal="left" vertical="center"/>
    </xf>
    <xf numFmtId="0" fontId="74" fillId="49" borderId="23" xfId="0" applyFont="1" applyFill="1" applyBorder="1" applyAlignment="1">
      <alignment horizontal="left" vertical="center"/>
    </xf>
    <xf numFmtId="0" fontId="89" fillId="49" borderId="23" xfId="0" applyFont="1" applyFill="1" applyBorder="1" applyAlignment="1">
      <alignment horizontal="left" vertical="center"/>
    </xf>
    <xf numFmtId="0" fontId="86" fillId="49" borderId="23" xfId="0" applyFont="1" applyFill="1" applyBorder="1" applyAlignment="1">
      <alignment horizontal="center" vertical="center"/>
    </xf>
    <xf numFmtId="165" fontId="75" fillId="49" borderId="23" xfId="0" applyNumberFormat="1" applyFont="1" applyFill="1" applyBorder="1" applyAlignment="1">
      <alignment horizontal="right" vertical="center"/>
    </xf>
    <xf numFmtId="165" fontId="90" fillId="49" borderId="23" xfId="0" applyNumberFormat="1" applyFont="1" applyFill="1" applyBorder="1" applyAlignment="1">
      <alignment horizontal="right" vertical="center"/>
    </xf>
    <xf numFmtId="0" fontId="91" fillId="49" borderId="23" xfId="0" applyFont="1" applyFill="1" applyBorder="1" applyAlignment="1">
      <alignment horizontal="left" vertical="center"/>
    </xf>
    <xf numFmtId="0" fontId="92" fillId="49" borderId="23" xfId="0" applyFont="1" applyFill="1" applyBorder="1" applyAlignment="1">
      <alignment horizontal="left" vertical="center"/>
    </xf>
    <xf numFmtId="165" fontId="93" fillId="36" borderId="23" xfId="0" applyNumberFormat="1" applyFont="1" applyFill="1" applyBorder="1" applyAlignment="1">
      <alignment horizontal="right"/>
    </xf>
    <xf numFmtId="165" fontId="73" fillId="36" borderId="23" xfId="0" applyNumberFormat="1" applyFont="1" applyFill="1" applyBorder="1" applyAlignment="1">
      <alignment horizontal="right"/>
    </xf>
    <xf numFmtId="165" fontId="65" fillId="14" borderId="19" xfId="0" applyNumberFormat="1" applyFont="1" applyFill="1" applyBorder="1" applyAlignment="1">
      <alignment horizontal="center" vertical="center"/>
    </xf>
    <xf numFmtId="165" fontId="27" fillId="14" borderId="19" xfId="0" applyNumberFormat="1" applyFont="1" applyFill="1" applyBorder="1" applyAlignment="1">
      <alignment vertical="center"/>
    </xf>
    <xf numFmtId="43" fontId="0" fillId="7" borderId="2" xfId="0" applyNumberFormat="1" applyFill="1" applyBorder="1" applyAlignment="1">
      <alignment vertical="center"/>
    </xf>
    <xf numFmtId="39" fontId="59" fillId="0" borderId="0" xfId="0" applyNumberFormat="1" applyFont="1" applyAlignment="1">
      <alignment vertical="center"/>
    </xf>
    <xf numFmtId="43" fontId="6" fillId="0" borderId="0" xfId="1"/>
    <xf numFmtId="0" fontId="96" fillId="0" borderId="0" xfId="2" applyFont="1" applyAlignment="1">
      <alignment vertical="center"/>
    </xf>
    <xf numFmtId="0" fontId="97" fillId="0" borderId="0" xfId="2" applyFont="1"/>
    <xf numFmtId="0" fontId="98" fillId="0" borderId="0" xfId="2" applyFont="1" applyAlignment="1">
      <alignment vertical="center"/>
    </xf>
    <xf numFmtId="0" fontId="98" fillId="0" borderId="0" xfId="2" applyFont="1"/>
    <xf numFmtId="0" fontId="12" fillId="0" borderId="0" xfId="2"/>
    <xf numFmtId="0" fontId="99" fillId="0" borderId="26" xfId="2" applyFont="1" applyBorder="1" applyAlignment="1">
      <alignment vertical="center"/>
    </xf>
    <xf numFmtId="0" fontId="99" fillId="0" borderId="26" xfId="2" applyFont="1" applyBorder="1" applyAlignment="1">
      <alignment horizontal="left" vertical="center"/>
    </xf>
    <xf numFmtId="0" fontId="99" fillId="0" borderId="26" xfId="2" applyFont="1" applyBorder="1" applyAlignment="1">
      <alignment horizontal="right" vertical="center"/>
    </xf>
    <xf numFmtId="0" fontId="100" fillId="0" borderId="0" xfId="2" applyFont="1"/>
    <xf numFmtId="0" fontId="101" fillId="0" borderId="0" xfId="2" applyFont="1" applyAlignment="1">
      <alignment vertical="center"/>
    </xf>
    <xf numFmtId="0" fontId="12" fillId="0" borderId="27" xfId="2" applyBorder="1" applyAlignment="1">
      <alignment vertical="center"/>
    </xf>
    <xf numFmtId="171" fontId="12" fillId="0" borderId="27" xfId="2" applyNumberFormat="1" applyBorder="1" applyAlignment="1">
      <alignment horizontal="right" vertical="center"/>
    </xf>
    <xf numFmtId="0" fontId="101" fillId="0" borderId="27" xfId="2" applyFont="1" applyBorder="1" applyAlignment="1">
      <alignment vertical="center"/>
    </xf>
    <xf numFmtId="171" fontId="101" fillId="0" borderId="27" xfId="2" applyNumberFormat="1" applyFont="1" applyBorder="1" applyAlignment="1">
      <alignment horizontal="right" vertical="center"/>
    </xf>
    <xf numFmtId="39" fontId="12" fillId="0" borderId="0" xfId="2" applyNumberFormat="1"/>
    <xf numFmtId="0" fontId="101" fillId="50" borderId="28" xfId="2" applyFont="1" applyFill="1" applyBorder="1" applyAlignment="1">
      <alignment vertical="center"/>
    </xf>
    <xf numFmtId="171" fontId="101" fillId="50" borderId="28" xfId="2" applyNumberFormat="1" applyFont="1" applyFill="1" applyBorder="1" applyAlignment="1">
      <alignment horizontal="right" vertical="center"/>
    </xf>
    <xf numFmtId="0" fontId="12" fillId="0" borderId="0" xfId="2" applyAlignment="1">
      <alignment vertical="center"/>
    </xf>
    <xf numFmtId="171" fontId="12" fillId="0" borderId="0" xfId="2" applyNumberFormat="1" applyAlignment="1">
      <alignment horizontal="right" vertical="center"/>
    </xf>
    <xf numFmtId="0" fontId="12" fillId="0" borderId="0" xfId="2" applyAlignment="1">
      <alignment vertical="top"/>
    </xf>
    <xf numFmtId="0" fontId="101" fillId="0" borderId="0" xfId="2" applyFont="1" applyAlignment="1">
      <alignment vertical="top"/>
    </xf>
    <xf numFmtId="172" fontId="0" fillId="0" borderId="0" xfId="0" applyNumberFormat="1" applyAlignment="1">
      <alignment vertical="center"/>
    </xf>
    <xf numFmtId="167" fontId="102" fillId="21" borderId="19" xfId="1" applyNumberFormat="1" applyFont="1" applyFill="1" applyBorder="1" applyAlignment="1">
      <alignment vertical="center"/>
    </xf>
    <xf numFmtId="173" fontId="0" fillId="0" borderId="0" xfId="0" applyNumberFormat="1" applyAlignment="1">
      <alignment vertical="center"/>
    </xf>
    <xf numFmtId="43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7" fontId="103" fillId="0" borderId="29" xfId="4" applyNumberFormat="1" applyFont="1" applyBorder="1" applyAlignment="1">
      <alignment vertical="center"/>
    </xf>
    <xf numFmtId="38" fontId="0" fillId="8" borderId="29" xfId="4" applyNumberFormat="1" applyFont="1" applyFill="1" applyBorder="1" applyAlignment="1">
      <alignment vertical="center"/>
    </xf>
    <xf numFmtId="167" fontId="104" fillId="0" borderId="29" xfId="1" applyNumberFormat="1" applyFont="1" applyBorder="1"/>
    <xf numFmtId="167" fontId="6" fillId="0" borderId="29" xfId="1" applyNumberFormat="1" applyBorder="1"/>
    <xf numFmtId="38" fontId="0" fillId="8" borderId="0" xfId="4" applyNumberFormat="1" applyFont="1" applyFill="1" applyAlignment="1">
      <alignment vertical="center"/>
    </xf>
    <xf numFmtId="167" fontId="6" fillId="0" borderId="0" xfId="1" applyNumberFormat="1"/>
    <xf numFmtId="3" fontId="14" fillId="8" borderId="29" xfId="3" applyNumberFormat="1" applyFont="1" applyFill="1" applyBorder="1" applyAlignment="1">
      <alignment vertical="center"/>
    </xf>
    <xf numFmtId="4" fontId="14" fillId="8" borderId="29" xfId="3" applyNumberFormat="1" applyFont="1" applyFill="1" applyBorder="1" applyAlignment="1">
      <alignment vertical="center"/>
    </xf>
    <xf numFmtId="167" fontId="14" fillId="8" borderId="29" xfId="4" applyNumberFormat="1" applyFont="1" applyFill="1" applyBorder="1" applyAlignment="1">
      <alignment vertical="center"/>
    </xf>
    <xf numFmtId="38" fontId="14" fillId="8" borderId="29" xfId="4" applyNumberFormat="1" applyFont="1" applyFill="1" applyBorder="1" applyAlignment="1">
      <alignment vertical="center"/>
    </xf>
    <xf numFmtId="14" fontId="15" fillId="8" borderId="29" xfId="3" applyNumberFormat="1" applyFont="1" applyFill="1" applyBorder="1" applyAlignment="1">
      <alignment vertical="center"/>
    </xf>
    <xf numFmtId="167" fontId="15" fillId="8" borderId="29" xfId="4" applyNumberFormat="1" applyFont="1" applyFill="1" applyBorder="1" applyAlignment="1">
      <alignment vertical="center"/>
    </xf>
    <xf numFmtId="167" fontId="0" fillId="8" borderId="29" xfId="4" applyNumberFormat="1" applyFont="1" applyFill="1" applyBorder="1" applyAlignment="1">
      <alignment vertical="center"/>
    </xf>
    <xf numFmtId="0" fontId="15" fillId="0" borderId="0" xfId="3" applyFont="1" applyAlignment="1">
      <alignment vertical="center"/>
    </xf>
    <xf numFmtId="167" fontId="15" fillId="0" borderId="0" xfId="4" applyNumberFormat="1" applyFont="1" applyAlignment="1">
      <alignment vertical="center"/>
    </xf>
    <xf numFmtId="10" fontId="18" fillId="0" borderId="0" xfId="3" applyNumberFormat="1" applyFont="1" applyAlignment="1">
      <alignment horizontal="center" vertical="center"/>
    </xf>
    <xf numFmtId="4" fontId="15" fillId="0" borderId="0" xfId="3" applyNumberFormat="1" applyFont="1" applyAlignment="1">
      <alignment vertical="center"/>
    </xf>
    <xf numFmtId="14" fontId="15" fillId="0" borderId="0" xfId="3" applyNumberFormat="1" applyFont="1" applyAlignment="1">
      <alignment vertical="center"/>
    </xf>
    <xf numFmtId="167" fontId="0" fillId="0" borderId="0" xfId="4" applyNumberFormat="1" applyFont="1"/>
    <xf numFmtId="3" fontId="15" fillId="0" borderId="0" xfId="3" applyNumberFormat="1" applyFont="1" applyAlignment="1">
      <alignment vertical="center"/>
    </xf>
    <xf numFmtId="3" fontId="1" fillId="0" borderId="0" xfId="3" applyNumberFormat="1"/>
    <xf numFmtId="0" fontId="15" fillId="10" borderId="0" xfId="3" applyFont="1" applyFill="1" applyAlignment="1">
      <alignment vertical="center"/>
    </xf>
    <xf numFmtId="0" fontId="15" fillId="8" borderId="0" xfId="3" applyFont="1" applyFill="1" applyAlignment="1">
      <alignment vertical="center"/>
    </xf>
    <xf numFmtId="3" fontId="15" fillId="8" borderId="0" xfId="3" applyNumberFormat="1" applyFont="1" applyFill="1" applyAlignment="1">
      <alignment vertical="center"/>
    </xf>
    <xf numFmtId="3" fontId="10" fillId="8" borderId="0" xfId="3" applyNumberFormat="1" applyFont="1" applyFill="1" applyAlignment="1">
      <alignment vertical="center"/>
    </xf>
    <xf numFmtId="38" fontId="10" fillId="8" borderId="0" xfId="3" applyNumberFormat="1" applyFont="1" applyFill="1" applyAlignment="1">
      <alignment vertical="center"/>
    </xf>
    <xf numFmtId="10" fontId="10" fillId="0" borderId="0" xfId="3" applyNumberFormat="1" applyFont="1" applyAlignment="1">
      <alignment horizontal="center" vertical="center"/>
    </xf>
    <xf numFmtId="4" fontId="10" fillId="0" borderId="0" xfId="3" applyNumberFormat="1" applyFont="1" applyAlignment="1">
      <alignment vertical="center"/>
    </xf>
    <xf numFmtId="14" fontId="10" fillId="0" borderId="0" xfId="3" applyNumberFormat="1" applyFont="1" applyAlignment="1">
      <alignment vertical="center"/>
    </xf>
    <xf numFmtId="167" fontId="10" fillId="0" borderId="0" xfId="4" applyNumberFormat="1" applyFont="1" applyAlignment="1">
      <alignment vertical="center"/>
    </xf>
    <xf numFmtId="167" fontId="103" fillId="0" borderId="0" xfId="4" applyNumberFormat="1" applyFont="1" applyAlignment="1">
      <alignment vertical="center"/>
    </xf>
    <xf numFmtId="38" fontId="15" fillId="0" borderId="0" xfId="3" applyNumberFormat="1" applyFont="1" applyAlignment="1">
      <alignment vertical="center"/>
    </xf>
    <xf numFmtId="38" fontId="0" fillId="0" borderId="0" xfId="4" applyNumberFormat="1" applyFont="1" applyAlignment="1">
      <alignment vertical="center"/>
    </xf>
    <xf numFmtId="38" fontId="15" fillId="8" borderId="0" xfId="3" applyNumberFormat="1" applyFont="1" applyFill="1" applyAlignment="1">
      <alignment vertical="center"/>
    </xf>
    <xf numFmtId="10" fontId="18" fillId="8" borderId="0" xfId="3" applyNumberFormat="1" applyFont="1" applyFill="1" applyAlignment="1">
      <alignment horizontal="center" vertical="center"/>
    </xf>
    <xf numFmtId="4" fontId="15" fillId="8" borderId="0" xfId="3" applyNumberFormat="1" applyFont="1" applyFill="1" applyAlignment="1">
      <alignment vertical="center"/>
    </xf>
    <xf numFmtId="14" fontId="15" fillId="8" borderId="0" xfId="3" applyNumberFormat="1" applyFont="1" applyFill="1" applyAlignment="1">
      <alignment vertical="center"/>
    </xf>
    <xf numFmtId="167" fontId="15" fillId="8" borderId="0" xfId="4" applyNumberFormat="1" applyFont="1" applyFill="1" applyAlignment="1">
      <alignment vertical="center"/>
    </xf>
    <xf numFmtId="167" fontId="0" fillId="8" borderId="0" xfId="4" applyNumberFormat="1" applyFont="1" applyFill="1" applyAlignment="1">
      <alignment vertical="center"/>
    </xf>
    <xf numFmtId="38" fontId="18" fillId="8" borderId="0" xfId="3" applyNumberFormat="1" applyFont="1" applyFill="1" applyAlignment="1">
      <alignment vertical="center"/>
    </xf>
    <xf numFmtId="167" fontId="6" fillId="0" borderId="12" xfId="1" applyNumberFormat="1" applyBorder="1"/>
    <xf numFmtId="167" fontId="6" fillId="0" borderId="30" xfId="1" applyNumberFormat="1" applyBorder="1"/>
    <xf numFmtId="167" fontId="104" fillId="0" borderId="30" xfId="1" applyNumberFormat="1" applyFont="1" applyBorder="1"/>
    <xf numFmtId="43" fontId="12" fillId="0" borderId="0" xfId="2" applyNumberFormat="1"/>
    <xf numFmtId="0" fontId="29" fillId="12" borderId="19" xfId="0" applyFont="1" applyFill="1" applyBorder="1" applyAlignment="1">
      <alignment vertical="center"/>
    </xf>
    <xf numFmtId="0" fontId="0" fillId="0" borderId="21" xfId="0" applyBorder="1"/>
    <xf numFmtId="0" fontId="22" fillId="13" borderId="19" xfId="0" applyFont="1" applyFill="1" applyBorder="1" applyAlignment="1">
      <alignment horizontal="left" vertical="center" wrapText="1"/>
    </xf>
    <xf numFmtId="0" fontId="26" fillId="14" borderId="19" xfId="0" applyFont="1" applyFill="1" applyBorder="1" applyAlignment="1">
      <alignment horizontal="left" vertical="center"/>
    </xf>
    <xf numFmtId="0" fontId="0" fillId="6" borderId="23" xfId="0" applyFill="1" applyBorder="1" applyAlignment="1">
      <alignment vertical="center"/>
    </xf>
    <xf numFmtId="0" fontId="0" fillId="7" borderId="23" xfId="0" applyFill="1" applyBorder="1" applyAlignment="1">
      <alignment vertical="center"/>
    </xf>
    <xf numFmtId="0" fontId="71" fillId="36" borderId="0" xfId="0" applyFont="1" applyFill="1" applyAlignment="1">
      <alignment horizontal="left" vertical="center"/>
    </xf>
    <xf numFmtId="0" fontId="0" fillId="0" borderId="0" xfId="0"/>
    <xf numFmtId="0" fontId="70" fillId="36" borderId="0" xfId="0" applyFont="1" applyFill="1" applyAlignment="1">
      <alignment horizontal="left" vertical="center"/>
    </xf>
    <xf numFmtId="0" fontId="72" fillId="36" borderId="23" xfId="0" applyFont="1" applyFill="1" applyBorder="1" applyAlignment="1">
      <alignment horizontal="left" vertical="center"/>
    </xf>
    <xf numFmtId="0" fontId="0" fillId="0" borderId="24" xfId="0" applyBorder="1"/>
    <xf numFmtId="0" fontId="0" fillId="0" borderId="25" xfId="0" applyBorder="1"/>
  </cellXfs>
  <cellStyles count="6">
    <cellStyle name="Millares" xfId="1" builtinId="3"/>
    <cellStyle name="Millares 2" xfId="4" xr:uid="{00000000-0005-0000-0000-000004000000}"/>
    <cellStyle name="Normal" xfId="0" builtinId="0"/>
    <cellStyle name="Normal 11 2" xfId="2" xr:uid="{00000000-0005-0000-0000-000002000000}"/>
    <cellStyle name="Normal 2" xfId="3" xr:uid="{00000000-0005-0000-0000-000003000000}"/>
    <cellStyle name="Porcentaje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855"/>
      <rgbColor rgb="FF808000"/>
      <rgbColor rgb="FF800080"/>
      <rgbColor rgb="FF1A7A4A"/>
      <rgbColor rgb="FFAAAAAA"/>
      <rgbColor rgb="FF888888"/>
      <rgbColor rgb="FF9999FF"/>
      <rgbColor rgb="FF555555"/>
      <rgbColor rgb="FFFFF3CD"/>
      <rgbColor rgb="FFD6E8FA"/>
      <rgbColor rgb="FF660066"/>
      <rgbColor rgb="FFFF8080"/>
      <rgbColor rgb="FF005B99"/>
      <rgbColor rgb="FFC8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9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C8A951"/>
      <rgbColor rgb="FFE67E22"/>
      <rgbColor rgb="FF666666"/>
      <rgbColor rgb="FF7A8EA8"/>
      <rgbColor rgb="FF003366"/>
      <rgbColor rgb="FF339966"/>
      <rgbColor rgb="FF001F3F"/>
      <rgbColor rgb="FF5D4000"/>
      <rgbColor rgb="FFC0392B"/>
      <rgbColor rgb="FF444444"/>
      <rgbColor rgb="FF1A4E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81</xdr:col>
      <xdr:colOff>1051560</xdr:colOff>
      <xdr:row>14</xdr:row>
      <xdr:rowOff>30480</xdr:rowOff>
    </xdr:from>
    <xdr:to>
      <xdr:col>99</xdr:col>
      <xdr:colOff>233431</xdr:colOff>
      <xdr:row>46</xdr:row>
      <xdr:rowOff>29202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0271C3-FB30-415F-903C-13FDD9046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87480" y="2446020"/>
          <a:ext cx="10535671" cy="4128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68580</xdr:colOff>
      <xdr:row>3</xdr:row>
      <xdr:rowOff>7620</xdr:rowOff>
    </xdr:from>
    <xdr:to>
      <xdr:col>14</xdr:col>
      <xdr:colOff>106680</xdr:colOff>
      <xdr:row>37</xdr:row>
      <xdr:rowOff>99356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6F6DBB-47AA-4811-BAB8-5C3B6F448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9320" y="579120"/>
          <a:ext cx="4427220" cy="48923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82</xdr:col>
      <xdr:colOff>1051560</xdr:colOff>
      <xdr:row>14</xdr:row>
      <xdr:rowOff>30480</xdr:rowOff>
    </xdr:from>
    <xdr:to>
      <xdr:col>100</xdr:col>
      <xdr:colOff>233431</xdr:colOff>
      <xdr:row>91</xdr:row>
      <xdr:rowOff>82542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469888-C22B-45ED-B59A-098126881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67660" y="716280"/>
          <a:ext cx="10535671" cy="4128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35</xdr:col>
      <xdr:colOff>7620</xdr:colOff>
      <xdr:row>107</xdr:row>
      <xdr:rowOff>30480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3D0D352-A1F7-37E5-9228-AAA6FD877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4762500"/>
          <a:ext cx="10911840" cy="295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E MES 1 (2)"/>
      <sheetName val="ARAYA"/>
      <sheetName val="budget (6)"/>
      <sheetName val="PRESENTACIÓN MARZO 24"/>
      <sheetName val="budget (8)"/>
      <sheetName val="PRESENTACIÓN ABRIL 24 v0"/>
      <sheetName val="budget (9)"/>
      <sheetName val="PRESENTACIÓN ABRIL 24 v1"/>
      <sheetName val="BITACORA Y AJUSTES AL ARCHIVO"/>
      <sheetName val="PRESENTACIÓN 2 meses"/>
      <sheetName val="budget (11)"/>
      <sheetName val="PRESENTACIÓN Al 29 de mayo"/>
      <sheetName val="BG 2024"/>
      <sheetName val="FLUJO Y DISPONIBLE"/>
      <sheetName val="PRESENTACIÓN290524 ajuste"/>
      <sheetName val="FLUJO Y DISPONIBLE (2)"/>
      <sheetName val="PRESENTACIÓN Al 30062024"/>
      <sheetName val="Finanzas 06.24"/>
      <sheetName val="FLUJO Y DISPONIBLE (3)"/>
      <sheetName val="Resumen de Costos Comprometidos"/>
      <sheetName val="budget"/>
      <sheetName val="BCE 06.24"/>
      <sheetName val="PRESENTACIÓN Al 31072024"/>
      <sheetName val="BCE 07.24"/>
      <sheetName val="Resumen de Costos 07.24 "/>
      <sheetName val="Finanzas 08.24"/>
      <sheetName val="CXP 07.24"/>
      <sheetName val="ANTICIPO 07.24"/>
      <sheetName val="BCE 08.24"/>
      <sheetName val="Resumen de Costos 08.24 "/>
      <sheetName val="CXP 08.24"/>
      <sheetName val="ANTICIPO 08.24"/>
      <sheetName val="PRESENTACIÓN Al 31082024"/>
      <sheetName val="FLUJO Y DISPONIBLE 08.24"/>
      <sheetName val="CXP 09.24"/>
      <sheetName val="Finanzas 09.24"/>
      <sheetName val="ANTICIPO 09.24"/>
      <sheetName val="BCE 09.24"/>
      <sheetName val="PRESENTACIÓN Al 30092024"/>
      <sheetName val="FLUJO Y DISPONIBLE 09.24"/>
      <sheetName val="CXP 11.24"/>
      <sheetName val="Finanzas 11.24"/>
      <sheetName val="ANTICIPO 11.24"/>
      <sheetName val="BCE 11.24"/>
      <sheetName val="PRESENTACIÓN 11-24"/>
      <sheetName val="FLUJO Y DISPONIBLE 11.24"/>
      <sheetName val="BCE 12.24"/>
      <sheetName val="Finanzas 12.24"/>
      <sheetName val="ANTICIPOS 12.24"/>
      <sheetName val="CXP 12.24"/>
      <sheetName val="PRESENTACIÓN 12-24"/>
      <sheetName val="FLUJO Y DISPONIBLE 12.24"/>
      <sheetName val="BCE 01.25"/>
      <sheetName val="Finanza 01.25"/>
      <sheetName val="ANTICIPOS 01.25"/>
      <sheetName val="CXP 01.25"/>
      <sheetName val="PRESENTACIÓN 01-25"/>
      <sheetName val="FLUJO Y DISPONIBLE 01-25"/>
      <sheetName val="BCE 02.25"/>
      <sheetName val="Finanza 02.25"/>
      <sheetName val="Anticipos 02.25"/>
      <sheetName val="CXP 02.25"/>
      <sheetName val="PRESENTACIÓN 02-25"/>
      <sheetName val="FLUJO Y DISPONIBLE 02-25"/>
      <sheetName val="BCE 25-03-25"/>
      <sheetName val="Finanza 25-03-25"/>
      <sheetName val="Anticipos 25-03-25"/>
      <sheetName val="CXP 25-03-25"/>
      <sheetName val="PRESENTACIÓN 25-03-25"/>
      <sheetName val="FLUJO Y DISPONIBLE 25-03-25"/>
      <sheetName val="BCE 03-25"/>
      <sheetName val="Finanza 03-25"/>
      <sheetName val="Anticipos 03-25"/>
      <sheetName val="CXP 03-25"/>
      <sheetName val="Compromiso 15-04-25"/>
      <sheetName val="PRESENTACIÓN 03-25"/>
      <sheetName val="Publicidad"/>
      <sheetName val="FLUJO Y DISPONIBLE 03-25"/>
      <sheetName val="BCE 04-25"/>
      <sheetName val="Ventas 04-25"/>
      <sheetName val="Finanza 04-25"/>
      <sheetName val="Anticipos 04-25"/>
      <sheetName val="CXP 04-25"/>
      <sheetName val="Compromisos 04-25"/>
      <sheetName val="PRESENTACIÓN 04-25"/>
      <sheetName val="FLUJO Y DISPONIBLE 04-25 "/>
      <sheetName val="Ventas 05-25"/>
      <sheetName val="Finanza 05-25"/>
      <sheetName val="Anticipos 05-25"/>
      <sheetName val="CXP 05-25"/>
      <sheetName val="Compromisos 05-25"/>
      <sheetName val="BCE 05-25"/>
      <sheetName val="PRESENTACIÓN 05-25"/>
      <sheetName val="FLUJO MAYO 2025"/>
      <sheetName val="Finanza 06-25"/>
      <sheetName val="Anticipos 06-25"/>
      <sheetName val="CXP 06-25"/>
      <sheetName val="Compromisos 06-25"/>
      <sheetName val="BCE 06-25"/>
      <sheetName val="ADI 462 julio 25 "/>
      <sheetName val="PRESENTACIÓN 06-25"/>
      <sheetName val="FLUJO JUNIO 2025"/>
      <sheetName val="Anticipos 07-25"/>
      <sheetName val="Finanza 07-25"/>
      <sheetName val="CXP 07-25"/>
      <sheetName val="Reembolsos MMHB 07-25"/>
      <sheetName val="Ing y Costos Bancarios"/>
      <sheetName val="Compromisos 07-25"/>
      <sheetName val="ADI 462 AGO25"/>
      <sheetName val="BCE 07-25"/>
      <sheetName val="PRESENTACIÓN 07-25"/>
      <sheetName val="FLUJO JULIO 2025"/>
      <sheetName val="FLUJO a JULIO 25 AFI-NO USAR"/>
      <sheetName val="ADI 462 AGO25 final"/>
      <sheetName val="CXP 08-25"/>
      <sheetName val="Anticipos 08-25"/>
      <sheetName val="Finanza 08-25"/>
      <sheetName val="Reembolsos MMHB 08-25"/>
      <sheetName val="Compromisos 08-25"/>
      <sheetName val="BCE 08-25"/>
      <sheetName val="PRESENTACIÓN 08-25"/>
      <sheetName val="FLUJO AGOSTO 2025"/>
      <sheetName val="PROYECCION EJECUCION"/>
      <sheetName val="Préstamos 09-25"/>
      <sheetName val="Costos a Sept-25"/>
      <sheetName val="Anticipos 09-25"/>
      <sheetName val="BCE 09-25"/>
      <sheetName val="CXP 09-25"/>
      <sheetName val="CXP MMHB"/>
      <sheetName val="Flujo y Ejecución"/>
      <sheetName val="Compromisos 09-25"/>
      <sheetName val="Proc. 09-25"/>
      <sheetName val="ADI 09-25"/>
      <sheetName val="FLUJO SEPTIEMBRE 2025"/>
      <sheetName val="Aged Payables Detail"/>
      <sheetName val="PRESENTACIÓN 09-25"/>
      <sheetName val="Proc. 10-25"/>
      <sheetName val="Préstamos 10-25"/>
      <sheetName val="Anticipos 10-25"/>
      <sheetName val="CXP 10-25"/>
      <sheetName val="CXP "/>
      <sheetName val="CXP MMHB 10-25"/>
      <sheetName val="Compromisos 10-25"/>
      <sheetName val="Costos a Oct-25"/>
      <sheetName val="Flujo y Ejecución 10-25"/>
      <sheetName val="PRESENTACIÓN 10-25"/>
      <sheetName val="BCE 10-25"/>
      <sheetName val="BCE Resumido"/>
      <sheetName val="FLUJO 10-25"/>
      <sheetName val="Proyección de Ventas y Comision"/>
      <sheetName val="Intereses Prestamos"/>
      <sheetName val="Proc. 11-25"/>
      <sheetName val="Préstamos 11-25"/>
      <sheetName val="Intereses 11-25 (2)"/>
      <sheetName val="Intereses 11-25"/>
      <sheetName val="Anticipos 11-25"/>
      <sheetName val="CXP 11-25"/>
      <sheetName val="CXP 11-25 RES"/>
      <sheetName val="CXP MMHB 11-25"/>
      <sheetName val="Compromisos 11-25"/>
      <sheetName val="Costos a Nov-25"/>
      <sheetName val="Flujo y Ejecución 11-25"/>
      <sheetName val="BCE 11-25"/>
      <sheetName val="BCE Resumido 11-25"/>
      <sheetName val="PRESENTACIÓN 11-25"/>
      <sheetName val="FLUJO 11-25"/>
      <sheetName val="Proc. 12-25"/>
      <sheetName val="Préstamos 12-25"/>
      <sheetName val="Intereses 12-25"/>
      <sheetName val="Anticipos 12-25"/>
      <sheetName val="CXP 12-25"/>
      <sheetName val="CXP 12-25 RES"/>
      <sheetName val="CXP MMHB 12-25"/>
      <sheetName val="Compromisos 12-25"/>
      <sheetName val="Costos a Dic-25"/>
      <sheetName val="Flujo y Ejecución 12-25"/>
      <sheetName val="BCE 12-25"/>
      <sheetName val="BCE Resumido 12-25"/>
      <sheetName val="PRESENTACIÓN 12-25"/>
      <sheetName val="FLUJO 12-25"/>
      <sheetName val="Préstamos 01-26"/>
      <sheetName val="Anticipos 01-26"/>
      <sheetName val="CXP 01-26"/>
      <sheetName val="CXP 01-26 RES"/>
      <sheetName val="CXP MMHB 01-26"/>
      <sheetName val="Proc. 01-26"/>
      <sheetName val="Costos a Ene-26"/>
      <sheetName val="Flujo y Ejecución 01-26"/>
      <sheetName val="BCE 01-26"/>
      <sheetName val="Intereses 01-26"/>
      <sheetName val="BCE Resumido 01-26"/>
      <sheetName val="Proyección VTA 01-26"/>
      <sheetName val="Compromisos 01-26"/>
      <sheetName val="PRESENTACIÓN 01-26"/>
      <sheetName val="FLUJO 01-26"/>
      <sheetName val="Préstamos 02-26"/>
      <sheetName val="Anticipos 02-26"/>
      <sheetName val="CXP 02-26"/>
      <sheetName val="CXP 02-26 RES"/>
      <sheetName val="CXP MMHB 02-26"/>
      <sheetName val="Proc. 02-26"/>
      <sheetName val="Costos a Feb-26"/>
      <sheetName val="Flujo y Ejecución 02-26"/>
      <sheetName val="Intereses 02-26"/>
      <sheetName val="BCE 02-26"/>
      <sheetName val="BCE Resumido 02-26"/>
      <sheetName val="Proyección VTA 02-26"/>
      <sheetName val="Compromisos 02-26"/>
      <sheetName val="PRESENTACIÓN 02-26"/>
      <sheetName val="FLUJO 02-26"/>
      <sheetName val="Préstamos 03-26"/>
      <sheetName val="Anticipos 03-26"/>
      <sheetName val="CXP 03-26"/>
      <sheetName val="CXP 03-26 RES"/>
      <sheetName val="CXP MMHB 03-26"/>
      <sheetName val="Proc. 03-26"/>
      <sheetName val="Costos a Mar-26"/>
      <sheetName val="Flujo y Ejecución 03-26"/>
      <sheetName val="Intereses 03-26"/>
      <sheetName val="BCE 03-26"/>
      <sheetName val="BCE Resumido 03-26"/>
      <sheetName val="Proyección VTA 03-26"/>
      <sheetName val="Compromisos 03-26"/>
      <sheetName val="PRESENTACIÓN 03-26"/>
      <sheetName val="FLUJO 03-26"/>
      <sheetName val="Préstamos 04-26"/>
      <sheetName val="Anticipos 04-26"/>
      <sheetName val="CXP 04-26"/>
      <sheetName val="CXP MMHB 04-26"/>
      <sheetName val="Proc. 04-26"/>
      <sheetName val="Flujo y Ejecución 04-26"/>
      <sheetName val="BCE 04-26"/>
      <sheetName val="BCE Resumido 04-26"/>
      <sheetName val="Intereses 04-26"/>
      <sheetName val="CXP 04-26 RES"/>
      <sheetName val="Compromisos 04-26"/>
      <sheetName val="Proyección VTA 04-26"/>
      <sheetName val="Costos a Abr-26"/>
      <sheetName val="PRESENTACIÓN 04-26"/>
      <sheetName val="FLUJO 04-26"/>
      <sheetName val="Calculo de Compromisos Fij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>
        <row r="26">
          <cell r="D26">
            <v>40000000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D87"/>
  <sheetViews>
    <sheetView showGridLines="0" tabSelected="1" zoomScaleNormal="100" workbookViewId="0">
      <pane xSplit="8" ySplit="6" topLeftCell="AC7" activePane="bottomRight" state="frozen"/>
      <selection pane="topRight" activeCell="I1" sqref="I1"/>
      <selection pane="bottomLeft" activeCell="A7" sqref="A7"/>
      <selection pane="bottomRight" activeCell="AC19" sqref="AC19"/>
    </sheetView>
  </sheetViews>
  <sheetFormatPr baseColWidth="10" defaultColWidth="8.6640625" defaultRowHeight="14.4" outlineLevelRow="1" outlineLevelCol="2" x14ac:dyDescent="0.3"/>
  <cols>
    <col min="1" max="1" width="3" style="1" customWidth="1"/>
    <col min="2" max="2" width="44.33203125" style="1" customWidth="1"/>
    <col min="3" max="3" width="15.21875" style="1" customWidth="1"/>
    <col min="4" max="4" width="13" style="1" customWidth="1"/>
    <col min="5" max="5" width="12.88671875" style="1" customWidth="1"/>
    <col min="6" max="6" width="10.21875" style="1" customWidth="1"/>
    <col min="7" max="7" width="9.77734375" style="1" customWidth="1"/>
    <col min="8" max="8" width="18.33203125" style="1" customWidth="1"/>
    <col min="9" max="9" width="9" style="174" customWidth="1"/>
    <col min="10" max="26" width="13" style="1" customWidth="1" outlineLevel="1"/>
    <col min="27" max="27" width="11.109375" style="1" customWidth="1" outlineLevel="2"/>
    <col min="28" max="28" width="11.44140625" style="1" customWidth="1" outlineLevel="2"/>
    <col min="29" max="29" width="12.109375" style="1" customWidth="1" outlineLevel="2"/>
    <col min="30" max="30" width="11.44140625" style="1" customWidth="1" outlineLevel="2"/>
    <col min="31" max="31" width="12.33203125" style="1" customWidth="1" outlineLevel="2"/>
    <col min="32" max="32" width="13.109375" style="1" customWidth="1" outlineLevel="2"/>
    <col min="33" max="33" width="12.33203125" style="1" customWidth="1" outlineLevel="2"/>
    <col min="34" max="69" width="13" style="1" customWidth="1" outlineLevel="2"/>
    <col min="70" max="71" width="14.6640625" style="1" customWidth="1" outlineLevel="2"/>
    <col min="72" max="72" width="14.6640625" style="1" bestFit="1" customWidth="1"/>
    <col min="73" max="73" width="16.44140625" style="1" customWidth="1"/>
    <col min="74" max="74" width="23.5546875" style="1" bestFit="1" customWidth="1"/>
    <col min="75" max="75" width="12.44140625" style="1" customWidth="1"/>
    <col min="76" max="76" width="12.33203125" style="1" customWidth="1"/>
    <col min="77" max="77" width="10.77734375" style="1" customWidth="1"/>
    <col min="78" max="78" width="14.6640625" style="1" customWidth="1" outlineLevel="2"/>
    <col min="79" max="79" width="14.5546875" style="1" bestFit="1" customWidth="1"/>
    <col min="80" max="80" width="13.5546875" style="1" bestFit="1" customWidth="1"/>
    <col min="81" max="81" width="9.88671875" style="1" bestFit="1" customWidth="1"/>
    <col min="82" max="82" width="18.21875" style="1" bestFit="1" customWidth="1"/>
    <col min="83" max="16384" width="8.6640625" style="1"/>
  </cols>
  <sheetData>
    <row r="1" spans="1:78" ht="6" customHeight="1" x14ac:dyDescent="0.3">
      <c r="A1" s="93"/>
      <c r="B1" s="93"/>
      <c r="C1" s="93"/>
      <c r="D1" s="94"/>
      <c r="E1" s="94"/>
      <c r="F1" s="94"/>
      <c r="G1" s="94"/>
      <c r="H1" s="94"/>
      <c r="I1" s="95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Z1" s="96"/>
    </row>
    <row r="2" spans="1:78" ht="21.6" customHeight="1" x14ac:dyDescent="0.3">
      <c r="A2" s="93"/>
      <c r="B2" s="58" t="s">
        <v>573</v>
      </c>
      <c r="C2" s="97"/>
      <c r="D2" s="97"/>
      <c r="E2" s="97"/>
      <c r="F2" s="97"/>
      <c r="G2" s="97"/>
      <c r="H2" s="97"/>
      <c r="I2" s="95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</row>
    <row r="3" spans="1:78" ht="18" customHeight="1" x14ac:dyDescent="0.3">
      <c r="A3" s="93"/>
      <c r="B3" s="59" t="s">
        <v>574</v>
      </c>
      <c r="C3" s="97"/>
      <c r="D3" s="97"/>
      <c r="E3" s="97"/>
      <c r="F3" s="97"/>
      <c r="G3" s="97"/>
      <c r="H3" s="97"/>
      <c r="I3" s="95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</row>
    <row r="4" spans="1:78" ht="6.6" customHeight="1" x14ac:dyDescent="0.3">
      <c r="A4" s="98"/>
      <c r="B4" s="98"/>
      <c r="C4" s="98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277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Z4" s="100"/>
    </row>
    <row r="5" spans="1:78" ht="16.05" customHeight="1" collapsed="1" x14ac:dyDescent="0.3">
      <c r="B5" s="60" t="s">
        <v>0</v>
      </c>
      <c r="C5" s="101"/>
      <c r="D5" s="101"/>
      <c r="E5" s="101"/>
      <c r="F5" s="101"/>
      <c r="G5" s="101"/>
      <c r="H5" s="101" t="s">
        <v>1</v>
      </c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3"/>
      <c r="BV5" s="104"/>
      <c r="BW5" s="104"/>
      <c r="BX5" s="104"/>
      <c r="BY5" s="104"/>
      <c r="BZ5" s="102"/>
    </row>
    <row r="6" spans="1:78" ht="10.8" customHeight="1" x14ac:dyDescent="0.3">
      <c r="B6" s="352" t="s">
        <v>0</v>
      </c>
      <c r="C6" s="61" t="s">
        <v>2</v>
      </c>
      <c r="D6" s="61" t="s">
        <v>3</v>
      </c>
      <c r="E6" s="61" t="s">
        <v>4</v>
      </c>
      <c r="F6" s="61"/>
      <c r="G6" s="61"/>
      <c r="H6" s="61" t="s">
        <v>5</v>
      </c>
      <c r="I6" s="90" t="s">
        <v>6</v>
      </c>
      <c r="J6" s="61" t="s">
        <v>7</v>
      </c>
      <c r="K6" s="61" t="s">
        <v>8</v>
      </c>
      <c r="L6" s="61" t="s">
        <v>9</v>
      </c>
      <c r="M6" s="61" t="s">
        <v>10</v>
      </c>
      <c r="N6" s="61" t="s">
        <v>11</v>
      </c>
      <c r="O6" s="61" t="s">
        <v>12</v>
      </c>
      <c r="P6" s="61" t="s">
        <v>13</v>
      </c>
      <c r="Q6" s="61" t="s">
        <v>14</v>
      </c>
      <c r="R6" s="61" t="s">
        <v>15</v>
      </c>
      <c r="S6" s="61" t="s">
        <v>16</v>
      </c>
      <c r="T6" s="61" t="s">
        <v>17</v>
      </c>
      <c r="U6" s="61" t="s">
        <v>18</v>
      </c>
      <c r="V6" s="61" t="s">
        <v>19</v>
      </c>
      <c r="W6" s="61" t="s">
        <v>20</v>
      </c>
      <c r="X6" s="61" t="s">
        <v>21</v>
      </c>
      <c r="Y6" s="61" t="s">
        <v>22</v>
      </c>
      <c r="Z6" s="62" t="s">
        <v>23</v>
      </c>
      <c r="AA6" s="62" t="s">
        <v>24</v>
      </c>
      <c r="AB6" s="62" t="s">
        <v>25</v>
      </c>
      <c r="AC6" s="82" t="s">
        <v>26</v>
      </c>
      <c r="AD6" s="82" t="s">
        <v>27</v>
      </c>
      <c r="AE6" s="82" t="s">
        <v>28</v>
      </c>
      <c r="AF6" s="82" t="s">
        <v>29</v>
      </c>
      <c r="AG6" s="82" t="s">
        <v>30</v>
      </c>
      <c r="AH6" s="83" t="s">
        <v>31</v>
      </c>
      <c r="AI6" s="83" t="s">
        <v>32</v>
      </c>
      <c r="AJ6" s="83" t="s">
        <v>33</v>
      </c>
      <c r="AK6" s="83" t="s">
        <v>34</v>
      </c>
      <c r="AL6" s="83" t="s">
        <v>35</v>
      </c>
      <c r="AM6" s="83" t="s">
        <v>36</v>
      </c>
      <c r="AN6" s="83" t="s">
        <v>37</v>
      </c>
      <c r="AO6" s="83" t="s">
        <v>38</v>
      </c>
      <c r="AP6" s="83" t="s">
        <v>39</v>
      </c>
      <c r="AQ6" s="83" t="s">
        <v>40</v>
      </c>
      <c r="AR6" s="83" t="s">
        <v>41</v>
      </c>
      <c r="AS6" s="83" t="s">
        <v>42</v>
      </c>
      <c r="AT6" s="83" t="s">
        <v>43</v>
      </c>
      <c r="AU6" s="83" t="s">
        <v>44</v>
      </c>
      <c r="AV6" s="83" t="s">
        <v>45</v>
      </c>
      <c r="AW6" s="83" t="s">
        <v>46</v>
      </c>
      <c r="AX6" s="83" t="s">
        <v>47</v>
      </c>
      <c r="AY6" s="83" t="s">
        <v>48</v>
      </c>
      <c r="AZ6" s="83" t="s">
        <v>49</v>
      </c>
      <c r="BA6" s="83" t="s">
        <v>50</v>
      </c>
      <c r="BB6" s="83" t="s">
        <v>51</v>
      </c>
      <c r="BC6" s="83" t="s">
        <v>52</v>
      </c>
      <c r="BD6" s="83" t="s">
        <v>53</v>
      </c>
      <c r="BE6" s="83" t="s">
        <v>54</v>
      </c>
      <c r="BF6" s="83" t="s">
        <v>55</v>
      </c>
      <c r="BG6" s="83" t="s">
        <v>56</v>
      </c>
      <c r="BH6" s="83" t="s">
        <v>57</v>
      </c>
      <c r="BI6" s="83" t="s">
        <v>58</v>
      </c>
      <c r="BJ6" s="83" t="s">
        <v>59</v>
      </c>
      <c r="BK6" s="83" t="s">
        <v>60</v>
      </c>
      <c r="BL6" s="83" t="s">
        <v>61</v>
      </c>
      <c r="BM6" s="83" t="s">
        <v>62</v>
      </c>
      <c r="BN6" s="83" t="s">
        <v>63</v>
      </c>
      <c r="BO6" s="83" t="s">
        <v>64</v>
      </c>
      <c r="BP6" s="83" t="s">
        <v>65</v>
      </c>
      <c r="BQ6" s="83" t="s">
        <v>66</v>
      </c>
      <c r="BR6" s="83" t="s">
        <v>67</v>
      </c>
      <c r="BS6" s="83" t="s">
        <v>68</v>
      </c>
      <c r="BT6" s="83" t="s">
        <v>69</v>
      </c>
      <c r="BU6" s="84" t="s">
        <v>70</v>
      </c>
      <c r="BV6" s="104"/>
      <c r="BW6" s="104"/>
      <c r="BX6" s="104"/>
      <c r="BY6" s="104"/>
      <c r="BZ6" s="82" t="s">
        <v>71</v>
      </c>
    </row>
    <row r="7" spans="1:78" s="179" customFormat="1" ht="16.05" customHeight="1" collapsed="1" x14ac:dyDescent="0.3">
      <c r="B7" s="180" t="s">
        <v>72</v>
      </c>
      <c r="C7" s="181">
        <f>+C13</f>
        <v>68213916</v>
      </c>
      <c r="D7" s="181">
        <f>+D13</f>
        <v>22621811</v>
      </c>
      <c r="E7" s="182">
        <f>+C7-D7</f>
        <v>45592105</v>
      </c>
      <c r="F7" s="183"/>
      <c r="G7" s="183"/>
      <c r="H7" s="184">
        <f>SUM(J7:AB7)</f>
        <v>220997695.74000001</v>
      </c>
      <c r="I7" s="106">
        <f>IF(D24=0,0,D7/D24)</f>
        <v>0</v>
      </c>
      <c r="J7" s="184">
        <f t="shared" ref="J7:AA7" si="0">SUM(J14)</f>
        <v>597566.75</v>
      </c>
      <c r="K7" s="184">
        <f t="shared" si="0"/>
        <v>303761.91999999998</v>
      </c>
      <c r="L7" s="184">
        <f t="shared" si="0"/>
        <v>0</v>
      </c>
      <c r="M7" s="184">
        <f t="shared" si="0"/>
        <v>61261.19</v>
      </c>
      <c r="N7" s="184">
        <f t="shared" si="0"/>
        <v>2943821.6</v>
      </c>
      <c r="O7" s="184">
        <f t="shared" si="0"/>
        <v>6287923.8600000003</v>
      </c>
      <c r="P7" s="184">
        <f t="shared" si="0"/>
        <v>12847852.380000001</v>
      </c>
      <c r="Q7" s="184">
        <f t="shared" si="0"/>
        <v>18376057.350000001</v>
      </c>
      <c r="R7" s="184">
        <f t="shared" si="0"/>
        <v>16465115.92</v>
      </c>
      <c r="S7" s="184">
        <f t="shared" si="0"/>
        <v>19518072.559999999</v>
      </c>
      <c r="T7" s="184">
        <f t="shared" si="0"/>
        <v>21677598.82</v>
      </c>
      <c r="U7" s="184">
        <f t="shared" si="0"/>
        <v>10776008.83</v>
      </c>
      <c r="V7" s="184">
        <f t="shared" si="0"/>
        <v>15186372.9</v>
      </c>
      <c r="W7" s="184">
        <f t="shared" si="0"/>
        <v>9131873.0800000001</v>
      </c>
      <c r="X7" s="184">
        <f t="shared" si="0"/>
        <v>16575280.09</v>
      </c>
      <c r="Y7" s="184">
        <f t="shared" si="0"/>
        <v>17317935.609999999</v>
      </c>
      <c r="Z7" s="184">
        <f t="shared" si="0"/>
        <v>17600190.359999999</v>
      </c>
      <c r="AA7" s="184">
        <f t="shared" si="0"/>
        <v>17029604.760000002</v>
      </c>
      <c r="AB7" s="184">
        <f t="shared" ref="AB7:BT7" si="1">+AB14</f>
        <v>18301397.759999998</v>
      </c>
      <c r="AC7" s="185">
        <f t="shared" si="1"/>
        <v>18000000</v>
      </c>
      <c r="AD7" s="185">
        <f t="shared" si="1"/>
        <v>18000000</v>
      </c>
      <c r="AE7" s="185">
        <f t="shared" si="1"/>
        <v>18000000</v>
      </c>
      <c r="AF7" s="185">
        <f t="shared" si="1"/>
        <v>18000000</v>
      </c>
      <c r="AG7" s="185">
        <f t="shared" si="1"/>
        <v>18000000</v>
      </c>
      <c r="AH7" s="186">
        <f t="shared" si="1"/>
        <v>18000000</v>
      </c>
      <c r="AI7" s="186">
        <f t="shared" si="1"/>
        <v>0</v>
      </c>
      <c r="AJ7" s="186">
        <f t="shared" si="1"/>
        <v>0</v>
      </c>
      <c r="AK7" s="186">
        <f t="shared" si="1"/>
        <v>0</v>
      </c>
      <c r="AL7" s="186">
        <f t="shared" si="1"/>
        <v>0</v>
      </c>
      <c r="AM7" s="186">
        <f t="shared" si="1"/>
        <v>0</v>
      </c>
      <c r="AN7" s="186">
        <f t="shared" si="1"/>
        <v>0</v>
      </c>
      <c r="AO7" s="186">
        <f t="shared" si="1"/>
        <v>0</v>
      </c>
      <c r="AP7" s="186">
        <f t="shared" si="1"/>
        <v>0</v>
      </c>
      <c r="AQ7" s="186">
        <f t="shared" si="1"/>
        <v>0</v>
      </c>
      <c r="AR7" s="186">
        <f t="shared" si="1"/>
        <v>0</v>
      </c>
      <c r="AS7" s="186">
        <f t="shared" si="1"/>
        <v>0</v>
      </c>
      <c r="AT7" s="186">
        <f t="shared" si="1"/>
        <v>0</v>
      </c>
      <c r="AU7" s="186">
        <f t="shared" si="1"/>
        <v>0</v>
      </c>
      <c r="AV7" s="186">
        <f t="shared" si="1"/>
        <v>0</v>
      </c>
      <c r="AW7" s="186">
        <f t="shared" si="1"/>
        <v>0</v>
      </c>
      <c r="AX7" s="186">
        <f t="shared" si="1"/>
        <v>0</v>
      </c>
      <c r="AY7" s="186">
        <f t="shared" si="1"/>
        <v>0</v>
      </c>
      <c r="AZ7" s="186">
        <f t="shared" si="1"/>
        <v>0</v>
      </c>
      <c r="BA7" s="186">
        <f t="shared" si="1"/>
        <v>0</v>
      </c>
      <c r="BB7" s="186">
        <f t="shared" si="1"/>
        <v>0</v>
      </c>
      <c r="BC7" s="186">
        <f t="shared" si="1"/>
        <v>0</v>
      </c>
      <c r="BD7" s="186">
        <f t="shared" si="1"/>
        <v>0</v>
      </c>
      <c r="BE7" s="186">
        <f t="shared" si="1"/>
        <v>0</v>
      </c>
      <c r="BF7" s="186">
        <f t="shared" si="1"/>
        <v>0</v>
      </c>
      <c r="BG7" s="186">
        <f t="shared" si="1"/>
        <v>0</v>
      </c>
      <c r="BH7" s="186">
        <f t="shared" si="1"/>
        <v>0</v>
      </c>
      <c r="BI7" s="186">
        <f t="shared" si="1"/>
        <v>0</v>
      </c>
      <c r="BJ7" s="186">
        <f t="shared" si="1"/>
        <v>0</v>
      </c>
      <c r="BK7" s="186">
        <f t="shared" si="1"/>
        <v>0</v>
      </c>
      <c r="BL7" s="186">
        <f t="shared" si="1"/>
        <v>0</v>
      </c>
      <c r="BM7" s="186">
        <f t="shared" si="1"/>
        <v>0</v>
      </c>
      <c r="BN7" s="186">
        <f t="shared" si="1"/>
        <v>0</v>
      </c>
      <c r="BO7" s="186">
        <f t="shared" si="1"/>
        <v>0</v>
      </c>
      <c r="BP7" s="186">
        <f t="shared" si="1"/>
        <v>0</v>
      </c>
      <c r="BQ7" s="186">
        <f t="shared" si="1"/>
        <v>0</v>
      </c>
      <c r="BR7" s="186">
        <f t="shared" si="1"/>
        <v>0</v>
      </c>
      <c r="BS7" s="186">
        <f t="shared" si="1"/>
        <v>0</v>
      </c>
      <c r="BT7" s="186">
        <f t="shared" si="1"/>
        <v>0</v>
      </c>
      <c r="BU7" s="187"/>
      <c r="BV7" s="188"/>
      <c r="BW7" s="188"/>
      <c r="BX7" s="188"/>
      <c r="BY7" s="188"/>
      <c r="BZ7" s="185">
        <f>+H7+AB7+AC7+AD7+AE7+AF7+AG7</f>
        <v>329299093.5</v>
      </c>
    </row>
    <row r="8" spans="1:78" s="179" customFormat="1" ht="12.75" hidden="1" customHeight="1" outlineLevel="1" x14ac:dyDescent="0.3">
      <c r="B8" s="189" t="s">
        <v>73</v>
      </c>
      <c r="C8" s="190">
        <v>462</v>
      </c>
      <c r="D8" s="190">
        <f>+H8</f>
        <v>164</v>
      </c>
      <c r="E8" s="190">
        <f>+C8-D8</f>
        <v>298</v>
      </c>
      <c r="F8" s="191"/>
      <c r="G8" s="191"/>
      <c r="H8" s="275">
        <f>SUM(J8:AB8)</f>
        <v>164</v>
      </c>
      <c r="I8" s="192">
        <f>IF(D24=0,0,D8/D24)</f>
        <v>0</v>
      </c>
      <c r="J8" s="193"/>
      <c r="K8" s="193"/>
      <c r="L8" s="193"/>
      <c r="M8" s="193"/>
      <c r="N8" s="193"/>
      <c r="O8" s="193"/>
      <c r="P8" s="193">
        <v>3</v>
      </c>
      <c r="Q8" s="193">
        <v>29</v>
      </c>
      <c r="R8" s="193">
        <v>20</v>
      </c>
      <c r="S8" s="193">
        <v>24</v>
      </c>
      <c r="T8" s="193">
        <v>12</v>
      </c>
      <c r="U8" s="193">
        <v>9</v>
      </c>
      <c r="V8" s="193">
        <v>12</v>
      </c>
      <c r="W8" s="193">
        <v>2</v>
      </c>
      <c r="X8" s="193">
        <v>7</v>
      </c>
      <c r="Y8" s="193">
        <v>14</v>
      </c>
      <c r="Z8" s="193">
        <v>10</v>
      </c>
      <c r="AA8" s="193">
        <v>11</v>
      </c>
      <c r="AB8" s="193">
        <v>11</v>
      </c>
      <c r="AC8" s="116">
        <v>15</v>
      </c>
      <c r="AD8" s="116">
        <v>15</v>
      </c>
      <c r="AE8" s="116">
        <v>15</v>
      </c>
      <c r="AF8" s="116">
        <v>15</v>
      </c>
      <c r="AG8" s="116">
        <v>15</v>
      </c>
      <c r="AH8" s="116">
        <v>15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94"/>
      <c r="BV8" s="195"/>
      <c r="BW8" s="195"/>
      <c r="BX8" s="195"/>
      <c r="BY8" s="195"/>
      <c r="BZ8" s="116"/>
    </row>
    <row r="9" spans="1:78" s="179" customFormat="1" ht="12.75" hidden="1" customHeight="1" outlineLevel="1" x14ac:dyDescent="0.3">
      <c r="B9" s="189" t="s">
        <v>74</v>
      </c>
      <c r="C9" s="190"/>
      <c r="D9" s="190">
        <f>+H9</f>
        <v>-3</v>
      </c>
      <c r="E9" s="190">
        <f>+C9-D9</f>
        <v>3</v>
      </c>
      <c r="F9" s="191"/>
      <c r="G9" s="191"/>
      <c r="H9" s="275">
        <f>SUM(J9:AB9)</f>
        <v>-3</v>
      </c>
      <c r="I9" s="192">
        <f>IF(D24=0,0,D9/D24)</f>
        <v>0</v>
      </c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>
        <v>-2</v>
      </c>
      <c r="Y9" s="193"/>
      <c r="Z9" s="193"/>
      <c r="AA9" s="193">
        <v>-1</v>
      </c>
      <c r="AB9" s="193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94"/>
      <c r="BV9" s="195"/>
      <c r="BW9" s="195"/>
      <c r="BX9" s="195"/>
      <c r="BY9" s="195"/>
      <c r="BZ9" s="116"/>
    </row>
    <row r="10" spans="1:78" s="179" customFormat="1" ht="12.75" hidden="1" customHeight="1" outlineLevel="1" x14ac:dyDescent="0.3">
      <c r="B10" s="189" t="s">
        <v>75</v>
      </c>
      <c r="C10" s="190">
        <v>462</v>
      </c>
      <c r="D10" s="190">
        <f>+H10</f>
        <v>161</v>
      </c>
      <c r="E10" s="190">
        <f>SUM(E8:E9)</f>
        <v>301</v>
      </c>
      <c r="F10" s="191"/>
      <c r="G10" s="191"/>
      <c r="H10" s="275">
        <f>SUM(J10:AB10)</f>
        <v>161</v>
      </c>
      <c r="I10" s="192">
        <f>IF(D24=0,0,D10/D24)</f>
        <v>0</v>
      </c>
      <c r="J10" s="193">
        <f t="shared" ref="J10:AH10" si="2">+J8+J9</f>
        <v>0</v>
      </c>
      <c r="K10" s="193">
        <f t="shared" si="2"/>
        <v>0</v>
      </c>
      <c r="L10" s="193">
        <f t="shared" si="2"/>
        <v>0</v>
      </c>
      <c r="M10" s="193">
        <f t="shared" si="2"/>
        <v>0</v>
      </c>
      <c r="N10" s="193">
        <f t="shared" si="2"/>
        <v>0</v>
      </c>
      <c r="O10" s="193">
        <f t="shared" si="2"/>
        <v>0</v>
      </c>
      <c r="P10" s="193">
        <f t="shared" si="2"/>
        <v>3</v>
      </c>
      <c r="Q10" s="193">
        <f t="shared" si="2"/>
        <v>29</v>
      </c>
      <c r="R10" s="193">
        <f t="shared" si="2"/>
        <v>20</v>
      </c>
      <c r="S10" s="193">
        <f t="shared" si="2"/>
        <v>24</v>
      </c>
      <c r="T10" s="193">
        <f t="shared" si="2"/>
        <v>12</v>
      </c>
      <c r="U10" s="193">
        <f t="shared" si="2"/>
        <v>9</v>
      </c>
      <c r="V10" s="193">
        <f t="shared" si="2"/>
        <v>12</v>
      </c>
      <c r="W10" s="193">
        <f t="shared" si="2"/>
        <v>2</v>
      </c>
      <c r="X10" s="193">
        <f t="shared" si="2"/>
        <v>5</v>
      </c>
      <c r="Y10" s="193">
        <f t="shared" si="2"/>
        <v>14</v>
      </c>
      <c r="Z10" s="193">
        <f t="shared" si="2"/>
        <v>10</v>
      </c>
      <c r="AA10" s="193">
        <f t="shared" si="2"/>
        <v>10</v>
      </c>
      <c r="AB10" s="193">
        <f t="shared" si="2"/>
        <v>11</v>
      </c>
      <c r="AC10" s="116">
        <f t="shared" si="2"/>
        <v>15</v>
      </c>
      <c r="AD10" s="116">
        <f t="shared" si="2"/>
        <v>15</v>
      </c>
      <c r="AE10" s="116">
        <f t="shared" si="2"/>
        <v>15</v>
      </c>
      <c r="AF10" s="116">
        <f t="shared" si="2"/>
        <v>15</v>
      </c>
      <c r="AG10" s="116">
        <f t="shared" si="2"/>
        <v>15</v>
      </c>
      <c r="AH10" s="116">
        <f t="shared" si="2"/>
        <v>15</v>
      </c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94"/>
      <c r="BV10" s="195"/>
      <c r="BW10" s="195"/>
      <c r="BX10" s="195"/>
      <c r="BY10" s="195"/>
      <c r="BZ10" s="116"/>
    </row>
    <row r="11" spans="1:78" s="179" customFormat="1" ht="12.75" hidden="1" customHeight="1" outlineLevel="1" x14ac:dyDescent="0.3">
      <c r="B11" s="189" t="s">
        <v>76</v>
      </c>
      <c r="C11" s="196"/>
      <c r="D11" s="197">
        <f>SUM(J11:AB11)</f>
        <v>23071011</v>
      </c>
      <c r="E11" s="198"/>
      <c r="F11" s="198"/>
      <c r="G11" s="198"/>
      <c r="H11" s="197"/>
      <c r="I11" s="192">
        <f>IF(D24=0,0,D11/D24)</f>
        <v>0</v>
      </c>
      <c r="J11" s="199"/>
      <c r="K11" s="199"/>
      <c r="L11" s="199"/>
      <c r="M11" s="199"/>
      <c r="N11" s="199"/>
      <c r="O11" s="199"/>
      <c r="P11" s="199">
        <v>390100</v>
      </c>
      <c r="Q11" s="199">
        <v>3803830</v>
      </c>
      <c r="R11" s="199">
        <v>2530870</v>
      </c>
      <c r="S11" s="199">
        <v>3264350</v>
      </c>
      <c r="T11" s="199">
        <v>1674700</v>
      </c>
      <c r="U11" s="199">
        <v>1263361</v>
      </c>
      <c r="V11" s="199">
        <v>1596100</v>
      </c>
      <c r="W11" s="199">
        <v>145350</v>
      </c>
      <c r="X11" s="199">
        <v>1375650</v>
      </c>
      <c r="Y11" s="199">
        <v>2067350</v>
      </c>
      <c r="Z11" s="199">
        <v>1504150</v>
      </c>
      <c r="AA11" s="199">
        <v>1797250</v>
      </c>
      <c r="AB11" s="199">
        <v>1657950</v>
      </c>
      <c r="AC11" s="200">
        <v>2250000</v>
      </c>
      <c r="AD11" s="200">
        <v>2250000</v>
      </c>
      <c r="AE11" s="200">
        <v>2250000</v>
      </c>
      <c r="AF11" s="200">
        <v>2250000</v>
      </c>
      <c r="AG11" s="200">
        <v>2250000</v>
      </c>
      <c r="AH11" s="200">
        <v>2250000</v>
      </c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94"/>
      <c r="BV11" s="195"/>
      <c r="BW11" s="195"/>
      <c r="BX11" s="195"/>
      <c r="BY11" s="195"/>
      <c r="BZ11" s="200"/>
    </row>
    <row r="12" spans="1:78" s="179" customFormat="1" ht="12.75" hidden="1" customHeight="1" outlineLevel="1" x14ac:dyDescent="0.3">
      <c r="B12" s="189" t="s">
        <v>77</v>
      </c>
      <c r="C12" s="196"/>
      <c r="D12" s="197">
        <f>SUM(J12:AB12)</f>
        <v>-449200</v>
      </c>
      <c r="E12" s="201"/>
      <c r="F12" s="198"/>
      <c r="G12" s="198"/>
      <c r="H12" s="197"/>
      <c r="I12" s="192">
        <f>IF(D24=0,0,D12/D24)</f>
        <v>0</v>
      </c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>
        <v>-309900</v>
      </c>
      <c r="Y12" s="193"/>
      <c r="Z12" s="193"/>
      <c r="AA12" s="193">
        <v>-139300</v>
      </c>
      <c r="AB12" s="193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94"/>
      <c r="BV12" s="195"/>
      <c r="BW12" s="195"/>
      <c r="BX12" s="195"/>
      <c r="BY12" s="195"/>
      <c r="BZ12" s="116"/>
    </row>
    <row r="13" spans="1:78" s="179" customFormat="1" ht="12.75" hidden="1" customHeight="1" outlineLevel="1" x14ac:dyDescent="0.3">
      <c r="B13" s="189" t="s">
        <v>78</v>
      </c>
      <c r="C13" s="197">
        <v>68213916</v>
      </c>
      <c r="D13" s="197">
        <f>SUM(J13:AB13)</f>
        <v>22621811</v>
      </c>
      <c r="E13" s="197">
        <f>+C13-D13</f>
        <v>45592105</v>
      </c>
      <c r="F13" s="198"/>
      <c r="G13" s="198"/>
      <c r="H13" s="197"/>
      <c r="I13" s="192">
        <f>IF(D24=0,0,D13/D24)</f>
        <v>0</v>
      </c>
      <c r="J13" s="199">
        <f t="shared" ref="J13:AH13" si="3">+J11+J12</f>
        <v>0</v>
      </c>
      <c r="K13" s="199">
        <f t="shared" si="3"/>
        <v>0</v>
      </c>
      <c r="L13" s="199">
        <f t="shared" si="3"/>
        <v>0</v>
      </c>
      <c r="M13" s="199">
        <f t="shared" si="3"/>
        <v>0</v>
      </c>
      <c r="N13" s="199">
        <f t="shared" si="3"/>
        <v>0</v>
      </c>
      <c r="O13" s="199">
        <f t="shared" si="3"/>
        <v>0</v>
      </c>
      <c r="P13" s="199">
        <f t="shared" si="3"/>
        <v>390100</v>
      </c>
      <c r="Q13" s="199">
        <f t="shared" si="3"/>
        <v>3803830</v>
      </c>
      <c r="R13" s="199">
        <f t="shared" si="3"/>
        <v>2530870</v>
      </c>
      <c r="S13" s="199">
        <f t="shared" si="3"/>
        <v>3264350</v>
      </c>
      <c r="T13" s="199">
        <f t="shared" si="3"/>
        <v>1674700</v>
      </c>
      <c r="U13" s="199">
        <f t="shared" si="3"/>
        <v>1263361</v>
      </c>
      <c r="V13" s="199">
        <f t="shared" si="3"/>
        <v>1596100</v>
      </c>
      <c r="W13" s="199">
        <f t="shared" si="3"/>
        <v>145350</v>
      </c>
      <c r="X13" s="199">
        <f t="shared" si="3"/>
        <v>1065750</v>
      </c>
      <c r="Y13" s="199">
        <f t="shared" si="3"/>
        <v>2067350</v>
      </c>
      <c r="Z13" s="199">
        <f t="shared" si="3"/>
        <v>1504150</v>
      </c>
      <c r="AA13" s="199">
        <f t="shared" si="3"/>
        <v>1657950</v>
      </c>
      <c r="AB13" s="199">
        <f t="shared" si="3"/>
        <v>1657950</v>
      </c>
      <c r="AC13" s="200">
        <f t="shared" si="3"/>
        <v>2250000</v>
      </c>
      <c r="AD13" s="200">
        <f t="shared" si="3"/>
        <v>2250000</v>
      </c>
      <c r="AE13" s="200">
        <f t="shared" si="3"/>
        <v>2250000</v>
      </c>
      <c r="AF13" s="200">
        <f t="shared" si="3"/>
        <v>2250000</v>
      </c>
      <c r="AG13" s="200">
        <f t="shared" si="3"/>
        <v>2250000</v>
      </c>
      <c r="AH13" s="200">
        <f t="shared" si="3"/>
        <v>2250000</v>
      </c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94"/>
      <c r="BV13" s="195"/>
      <c r="BW13" s="195"/>
      <c r="BX13" s="195"/>
      <c r="BY13" s="195"/>
      <c r="BZ13" s="200"/>
    </row>
    <row r="14" spans="1:78" s="179" customFormat="1" ht="12.75" hidden="1" customHeight="1" outlineLevel="1" x14ac:dyDescent="0.3">
      <c r="B14" s="189" t="s">
        <v>79</v>
      </c>
      <c r="C14" s="202"/>
      <c r="D14" s="203"/>
      <c r="E14" s="203"/>
      <c r="F14" s="191"/>
      <c r="G14" s="191"/>
      <c r="H14" s="204">
        <f>SUM(J14:AB14)</f>
        <v>220997695.74000001</v>
      </c>
      <c r="I14" s="192">
        <f>IF(D24=0,0,D14/D24)</f>
        <v>0</v>
      </c>
      <c r="J14" s="193">
        <v>597566.75</v>
      </c>
      <c r="K14" s="193">
        <v>303761.91999999998</v>
      </c>
      <c r="L14" s="193"/>
      <c r="M14" s="193">
        <v>61261.19</v>
      </c>
      <c r="N14" s="193">
        <v>2943821.6</v>
      </c>
      <c r="O14" s="193">
        <v>6287923.8600000003</v>
      </c>
      <c r="P14" s="193">
        <v>12847852.380000001</v>
      </c>
      <c r="Q14" s="193">
        <v>18376057.350000001</v>
      </c>
      <c r="R14" s="193">
        <v>16465115.92</v>
      </c>
      <c r="S14" s="193">
        <v>19518072.559999999</v>
      </c>
      <c r="T14" s="193">
        <v>21677598.82</v>
      </c>
      <c r="U14" s="193">
        <v>10776008.83</v>
      </c>
      <c r="V14" s="193">
        <v>15186372.9</v>
      </c>
      <c r="W14" s="193">
        <v>9131873.0800000001</v>
      </c>
      <c r="X14" s="193">
        <v>16575280.09</v>
      </c>
      <c r="Y14" s="193">
        <v>17317935.609999999</v>
      </c>
      <c r="Z14" s="193">
        <v>17600190.359999999</v>
      </c>
      <c r="AA14" s="193">
        <v>17029604.760000002</v>
      </c>
      <c r="AB14" s="193">
        <f>17095509.97+1205887.79</f>
        <v>18301397.759999998</v>
      </c>
      <c r="AC14" s="116">
        <v>18000000</v>
      </c>
      <c r="AD14" s="116">
        <v>18000000</v>
      </c>
      <c r="AE14" s="116">
        <v>18000000</v>
      </c>
      <c r="AF14" s="116">
        <v>18000000</v>
      </c>
      <c r="AG14" s="116">
        <v>18000000</v>
      </c>
      <c r="AH14" s="116">
        <v>18000000</v>
      </c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94"/>
      <c r="BV14" s="195"/>
      <c r="BW14" s="195"/>
      <c r="BX14" s="195"/>
      <c r="BY14" s="195"/>
      <c r="BZ14" s="116"/>
    </row>
    <row r="15" spans="1:78" s="179" customFormat="1" ht="16.05" customHeight="1" collapsed="1" x14ac:dyDescent="0.3">
      <c r="B15" s="180" t="s">
        <v>80</v>
      </c>
      <c r="C15" s="205"/>
      <c r="D15" s="205"/>
      <c r="E15" s="183"/>
      <c r="F15" s="183"/>
      <c r="G15" s="183"/>
      <c r="H15" s="184">
        <f>SUM(J15:AB15)</f>
        <v>322917733.81</v>
      </c>
      <c r="I15" s="106">
        <f>IF(D24=0,0,D15/D24)</f>
        <v>0</v>
      </c>
      <c r="J15" s="184">
        <f t="shared" ref="J15:AA15" si="4">SUM(J16)</f>
        <v>159695773.63999999</v>
      </c>
      <c r="K15" s="184">
        <f t="shared" si="4"/>
        <v>0</v>
      </c>
      <c r="L15" s="184">
        <f t="shared" si="4"/>
        <v>0</v>
      </c>
      <c r="M15" s="184">
        <f t="shared" si="4"/>
        <v>0</v>
      </c>
      <c r="N15" s="184">
        <f t="shared" si="4"/>
        <v>0</v>
      </c>
      <c r="O15" s="184">
        <f t="shared" si="4"/>
        <v>0</v>
      </c>
      <c r="P15" s="184">
        <f t="shared" si="4"/>
        <v>0</v>
      </c>
      <c r="Q15" s="184">
        <f t="shared" si="4"/>
        <v>0</v>
      </c>
      <c r="R15" s="184">
        <f t="shared" si="4"/>
        <v>170252678.33000001</v>
      </c>
      <c r="S15" s="184">
        <f t="shared" si="4"/>
        <v>0</v>
      </c>
      <c r="T15" s="184">
        <f t="shared" si="4"/>
        <v>0</v>
      </c>
      <c r="U15" s="184">
        <f t="shared" si="4"/>
        <v>0</v>
      </c>
      <c r="V15" s="184">
        <f t="shared" si="4"/>
        <v>0</v>
      </c>
      <c r="W15" s="184">
        <f t="shared" si="4"/>
        <v>0</v>
      </c>
      <c r="X15" s="184">
        <f t="shared" si="4"/>
        <v>0</v>
      </c>
      <c r="Y15" s="184">
        <f t="shared" si="4"/>
        <v>0</v>
      </c>
      <c r="Z15" s="184">
        <f t="shared" si="4"/>
        <v>-7030718.1600000001</v>
      </c>
      <c r="AA15" s="184">
        <f t="shared" si="4"/>
        <v>0</v>
      </c>
      <c r="AB15" s="184"/>
      <c r="AC15" s="185"/>
      <c r="AD15" s="185"/>
      <c r="AE15" s="185"/>
      <c r="AF15" s="185"/>
      <c r="AG15" s="185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7"/>
      <c r="BV15" s="188"/>
      <c r="BW15" s="188"/>
      <c r="BX15" s="188"/>
      <c r="BY15" s="188"/>
      <c r="BZ15" s="185">
        <f>+H15+AB15+AC15+AD15+AE15+AF15+AG15</f>
        <v>322917733.81</v>
      </c>
    </row>
    <row r="16" spans="1:78" s="179" customFormat="1" ht="15.75" hidden="1" customHeight="1" outlineLevel="1" x14ac:dyDescent="0.3">
      <c r="B16" s="189" t="s">
        <v>81</v>
      </c>
      <c r="C16" s="202"/>
      <c r="D16" s="203"/>
      <c r="E16" s="203"/>
      <c r="F16" s="191"/>
      <c r="G16" s="191"/>
      <c r="H16" s="204">
        <f t="shared" ref="H16:H18" si="5">SUM(J16:AA16)</f>
        <v>322917733.81</v>
      </c>
      <c r="I16" s="192">
        <f>IF(D24=0,0,D16/D24)</f>
        <v>0</v>
      </c>
      <c r="J16" s="193">
        <v>159695773.63999999</v>
      </c>
      <c r="K16" s="193"/>
      <c r="L16" s="193"/>
      <c r="M16" s="193"/>
      <c r="N16" s="193"/>
      <c r="O16" s="193"/>
      <c r="P16" s="193"/>
      <c r="Q16" s="193"/>
      <c r="R16" s="193">
        <v>170252678.33000001</v>
      </c>
      <c r="S16" s="193"/>
      <c r="T16" s="193"/>
      <c r="U16" s="193"/>
      <c r="V16" s="193"/>
      <c r="W16" s="193"/>
      <c r="X16" s="193"/>
      <c r="Y16" s="193"/>
      <c r="Z16" s="193">
        <v>-7030718.1600000001</v>
      </c>
      <c r="AA16" s="193"/>
      <c r="AB16" s="193"/>
      <c r="AC16" s="116"/>
      <c r="AD16" s="116"/>
      <c r="AE16" s="116"/>
      <c r="AF16" s="116"/>
      <c r="AG16" s="11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6"/>
      <c r="BD16" s="206"/>
      <c r="BE16" s="206"/>
      <c r="BF16" s="206"/>
      <c r="BG16" s="206"/>
      <c r="BH16" s="206"/>
      <c r="BI16" s="206"/>
      <c r="BJ16" s="206"/>
      <c r="BK16" s="206"/>
      <c r="BL16" s="206"/>
      <c r="BM16" s="206"/>
      <c r="BN16" s="206"/>
      <c r="BO16" s="206"/>
      <c r="BP16" s="206"/>
      <c r="BQ16" s="206"/>
      <c r="BR16" s="206"/>
      <c r="BS16" s="206"/>
      <c r="BT16" s="206"/>
      <c r="BU16" s="194"/>
      <c r="BV16" s="195"/>
      <c r="BW16" s="195"/>
      <c r="BX16" s="195"/>
      <c r="BY16" s="195"/>
      <c r="BZ16" s="116"/>
    </row>
    <row r="17" spans="2:82" s="179" customFormat="1" ht="16.05" customHeight="1" x14ac:dyDescent="0.3">
      <c r="B17" s="180" t="s">
        <v>82</v>
      </c>
      <c r="C17" s="205"/>
      <c r="D17" s="205"/>
      <c r="E17" s="183"/>
      <c r="F17" s="183"/>
      <c r="G17" s="183"/>
      <c r="H17" s="184">
        <f>SUM(J17:AB17)</f>
        <v>200000000</v>
      </c>
      <c r="I17" s="106">
        <f>IF(D24=0,0,D17/D24)</f>
        <v>0</v>
      </c>
      <c r="J17" s="184">
        <f t="shared" ref="J17:AA17" si="6">SUM(J18:J20)</f>
        <v>0</v>
      </c>
      <c r="K17" s="184">
        <f t="shared" si="6"/>
        <v>0</v>
      </c>
      <c r="L17" s="184">
        <f t="shared" si="6"/>
        <v>0</v>
      </c>
      <c r="M17" s="184">
        <f t="shared" si="6"/>
        <v>0</v>
      </c>
      <c r="N17" s="184">
        <f t="shared" si="6"/>
        <v>15000000</v>
      </c>
      <c r="O17" s="184">
        <f t="shared" si="6"/>
        <v>7200000</v>
      </c>
      <c r="P17" s="184">
        <f t="shared" si="6"/>
        <v>12000000</v>
      </c>
      <c r="Q17" s="184">
        <f t="shared" si="6"/>
        <v>15000000</v>
      </c>
      <c r="R17" s="184">
        <f t="shared" si="6"/>
        <v>0</v>
      </c>
      <c r="S17" s="184">
        <f t="shared" si="6"/>
        <v>55184227.399999999</v>
      </c>
      <c r="T17" s="184">
        <f t="shared" si="6"/>
        <v>-5000000</v>
      </c>
      <c r="U17" s="184">
        <f t="shared" si="6"/>
        <v>44815772.600000001</v>
      </c>
      <c r="V17" s="184">
        <f t="shared" si="6"/>
        <v>-44200000</v>
      </c>
      <c r="W17" s="184">
        <f t="shared" si="6"/>
        <v>0</v>
      </c>
      <c r="X17" s="184">
        <f t="shared" si="6"/>
        <v>0</v>
      </c>
      <c r="Y17" s="184">
        <f t="shared" si="6"/>
        <v>0</v>
      </c>
      <c r="Z17" s="184">
        <f t="shared" si="6"/>
        <v>40000000</v>
      </c>
      <c r="AA17" s="184">
        <f t="shared" si="6"/>
        <v>20000000</v>
      </c>
      <c r="AB17" s="184">
        <f t="shared" ref="AB17:BT17" si="7">SUM(AB18:AB21)</f>
        <v>40000000</v>
      </c>
      <c r="AC17" s="185">
        <f t="shared" si="7"/>
        <v>100000000</v>
      </c>
      <c r="AD17" s="185">
        <f t="shared" si="7"/>
        <v>100000000</v>
      </c>
      <c r="AE17" s="185">
        <f t="shared" si="7"/>
        <v>-10000000</v>
      </c>
      <c r="AF17" s="185">
        <f t="shared" si="7"/>
        <v>0</v>
      </c>
      <c r="AG17" s="185">
        <f t="shared" si="7"/>
        <v>160000000</v>
      </c>
      <c r="AH17" s="186">
        <f t="shared" si="7"/>
        <v>0</v>
      </c>
      <c r="AI17" s="186">
        <f t="shared" si="7"/>
        <v>0</v>
      </c>
      <c r="AJ17" s="186">
        <f t="shared" si="7"/>
        <v>0</v>
      </c>
      <c r="AK17" s="186">
        <f t="shared" si="7"/>
        <v>0</v>
      </c>
      <c r="AL17" s="186">
        <f t="shared" si="7"/>
        <v>0</v>
      </c>
      <c r="AM17" s="186">
        <f t="shared" si="7"/>
        <v>0</v>
      </c>
      <c r="AN17" s="186">
        <f t="shared" si="7"/>
        <v>0</v>
      </c>
      <c r="AO17" s="186">
        <f t="shared" si="7"/>
        <v>0</v>
      </c>
      <c r="AP17" s="186">
        <f t="shared" si="7"/>
        <v>0</v>
      </c>
      <c r="AQ17" s="186">
        <f t="shared" si="7"/>
        <v>0</v>
      </c>
      <c r="AR17" s="186">
        <f t="shared" si="7"/>
        <v>0</v>
      </c>
      <c r="AS17" s="186">
        <f t="shared" si="7"/>
        <v>0</v>
      </c>
      <c r="AT17" s="186">
        <f t="shared" si="7"/>
        <v>0</v>
      </c>
      <c r="AU17" s="186">
        <f t="shared" si="7"/>
        <v>0</v>
      </c>
      <c r="AV17" s="186">
        <f t="shared" si="7"/>
        <v>0</v>
      </c>
      <c r="AW17" s="186">
        <f t="shared" si="7"/>
        <v>0</v>
      </c>
      <c r="AX17" s="186">
        <f t="shared" si="7"/>
        <v>0</v>
      </c>
      <c r="AY17" s="186">
        <f t="shared" si="7"/>
        <v>0</v>
      </c>
      <c r="AZ17" s="186">
        <f t="shared" si="7"/>
        <v>0</v>
      </c>
      <c r="BA17" s="186">
        <f t="shared" si="7"/>
        <v>0</v>
      </c>
      <c r="BB17" s="186">
        <f t="shared" si="7"/>
        <v>0</v>
      </c>
      <c r="BC17" s="186">
        <f t="shared" si="7"/>
        <v>0</v>
      </c>
      <c r="BD17" s="186">
        <f t="shared" si="7"/>
        <v>0</v>
      </c>
      <c r="BE17" s="186">
        <f t="shared" si="7"/>
        <v>0</v>
      </c>
      <c r="BF17" s="186">
        <f t="shared" si="7"/>
        <v>0</v>
      </c>
      <c r="BG17" s="186">
        <f t="shared" si="7"/>
        <v>0</v>
      </c>
      <c r="BH17" s="186">
        <f t="shared" si="7"/>
        <v>0</v>
      </c>
      <c r="BI17" s="186">
        <f t="shared" si="7"/>
        <v>0</v>
      </c>
      <c r="BJ17" s="186">
        <f t="shared" si="7"/>
        <v>0</v>
      </c>
      <c r="BK17" s="186">
        <f t="shared" si="7"/>
        <v>0</v>
      </c>
      <c r="BL17" s="186">
        <f t="shared" si="7"/>
        <v>0</v>
      </c>
      <c r="BM17" s="186">
        <f t="shared" si="7"/>
        <v>0</v>
      </c>
      <c r="BN17" s="186">
        <f t="shared" si="7"/>
        <v>0</v>
      </c>
      <c r="BO17" s="186">
        <f t="shared" si="7"/>
        <v>0</v>
      </c>
      <c r="BP17" s="186">
        <f t="shared" si="7"/>
        <v>0</v>
      </c>
      <c r="BQ17" s="186">
        <f t="shared" si="7"/>
        <v>0</v>
      </c>
      <c r="BR17" s="186">
        <f t="shared" si="7"/>
        <v>0</v>
      </c>
      <c r="BS17" s="186">
        <f t="shared" si="7"/>
        <v>0</v>
      </c>
      <c r="BT17" s="186">
        <f t="shared" si="7"/>
        <v>0</v>
      </c>
      <c r="BU17" s="187"/>
      <c r="BV17" s="188"/>
      <c r="BW17" s="188"/>
      <c r="BX17" s="188"/>
      <c r="BY17" s="188"/>
      <c r="BZ17" s="185">
        <f>+H17+AB17+AC17+AD17+AE17+AF17+AG17</f>
        <v>590000000</v>
      </c>
    </row>
    <row r="18" spans="2:82" ht="15.75" customHeight="1" outlineLevel="1" x14ac:dyDescent="0.3">
      <c r="B18" s="65" t="s">
        <v>83</v>
      </c>
      <c r="C18" s="113"/>
      <c r="D18" s="114"/>
      <c r="E18" s="114"/>
      <c r="F18" s="108"/>
      <c r="G18" s="108"/>
      <c r="H18" s="108">
        <f t="shared" si="5"/>
        <v>0</v>
      </c>
      <c r="I18" s="109">
        <f>IF(D24=0,0,D18/D24)</f>
        <v>0</v>
      </c>
      <c r="J18" s="110"/>
      <c r="K18" s="110"/>
      <c r="L18" s="110"/>
      <c r="M18" s="110"/>
      <c r="N18" s="110">
        <v>15000000</v>
      </c>
      <c r="O18" s="110">
        <v>7200000</v>
      </c>
      <c r="P18" s="110">
        <v>12000000</v>
      </c>
      <c r="Q18" s="110">
        <v>15000000</v>
      </c>
      <c r="R18" s="110"/>
      <c r="S18" s="110"/>
      <c r="T18" s="110">
        <v>-5000000</v>
      </c>
      <c r="U18" s="110"/>
      <c r="V18" s="110">
        <v>-44200000</v>
      </c>
      <c r="W18" s="110"/>
      <c r="X18" s="110"/>
      <c r="Y18" s="110"/>
      <c r="Z18" s="110"/>
      <c r="AA18" s="110"/>
      <c r="AB18" s="110"/>
      <c r="AC18" s="116"/>
      <c r="AD18" s="116"/>
      <c r="AE18" s="116"/>
      <c r="AF18" s="116"/>
      <c r="AG18" s="116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117"/>
      <c r="BT18" s="117"/>
      <c r="BU18" s="111"/>
      <c r="BV18" s="112"/>
      <c r="BW18" s="112"/>
      <c r="BX18" s="112"/>
      <c r="BY18" s="112"/>
      <c r="BZ18" s="116"/>
    </row>
    <row r="19" spans="2:82" ht="12.75" customHeight="1" outlineLevel="1" x14ac:dyDescent="0.3">
      <c r="B19" s="353" t="s">
        <v>84</v>
      </c>
      <c r="C19" s="113">
        <v>100000000</v>
      </c>
      <c r="D19" s="114">
        <f>+H190</f>
        <v>0</v>
      </c>
      <c r="E19" s="114">
        <f>+C19-D19</f>
        <v>100000000</v>
      </c>
      <c r="F19" s="108"/>
      <c r="G19" s="108"/>
      <c r="H19" s="276">
        <f>SUM(J19:AB19)</f>
        <v>0</v>
      </c>
      <c r="I19" s="109">
        <f>IF(D24=0,0,D19/D24)</f>
        <v>0</v>
      </c>
      <c r="J19" s="110"/>
      <c r="K19" s="110"/>
      <c r="L19" s="110"/>
      <c r="M19" s="110"/>
      <c r="N19" s="110"/>
      <c r="O19" s="110"/>
      <c r="P19" s="110"/>
      <c r="Q19" s="110"/>
      <c r="R19" s="110"/>
      <c r="S19" s="110">
        <v>55184227.399999999</v>
      </c>
      <c r="T19" s="110"/>
      <c r="U19" s="110">
        <v>44815772.600000001</v>
      </c>
      <c r="V19" s="110"/>
      <c r="W19" s="110"/>
      <c r="X19" s="110"/>
      <c r="Y19" s="110">
        <v>-100000000</v>
      </c>
      <c r="Z19" s="110"/>
      <c r="AA19" s="110"/>
      <c r="AB19" s="110"/>
      <c r="AC19" s="116">
        <v>100000000</v>
      </c>
      <c r="AD19" s="116"/>
      <c r="AE19" s="116">
        <v>-100000000</v>
      </c>
      <c r="AF19" s="116"/>
      <c r="AG19" s="116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117"/>
      <c r="BT19" s="117"/>
      <c r="BU19" s="111"/>
      <c r="BV19" s="112"/>
      <c r="BW19" s="112"/>
      <c r="BX19" s="112"/>
      <c r="BY19" s="112"/>
      <c r="BZ19" s="116"/>
    </row>
    <row r="20" spans="2:82" outlineLevel="1" x14ac:dyDescent="0.3">
      <c r="B20" s="353" t="s">
        <v>85</v>
      </c>
      <c r="C20" s="113">
        <v>300000000</v>
      </c>
      <c r="D20" s="114">
        <f>+H20</f>
        <v>200000000</v>
      </c>
      <c r="E20" s="114">
        <f>+C20-D20</f>
        <v>100000000</v>
      </c>
      <c r="F20" s="108"/>
      <c r="G20" s="108"/>
      <c r="H20" s="115">
        <f>SUM(J20:AB20)</f>
        <v>200000000</v>
      </c>
      <c r="I20" s="109">
        <f>IF(D24=0,0,D20/D24)</f>
        <v>0</v>
      </c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>
        <v>100000000</v>
      </c>
      <c r="Z20" s="110">
        <v>40000000</v>
      </c>
      <c r="AA20" s="110">
        <v>20000000</v>
      </c>
      <c r="AB20" s="110">
        <v>40000000</v>
      </c>
      <c r="AC20" s="116"/>
      <c r="AD20" s="116">
        <v>100000000</v>
      </c>
      <c r="AE20" s="116">
        <v>-150000000</v>
      </c>
      <c r="AF20" s="116"/>
      <c r="AG20" s="116">
        <v>-20000000</v>
      </c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17"/>
      <c r="BS20" s="117"/>
      <c r="BT20" s="117"/>
      <c r="BU20" s="111"/>
      <c r="BV20" s="112"/>
      <c r="BW20" s="112"/>
      <c r="BX20" s="112"/>
      <c r="BY20" s="112"/>
      <c r="BZ20" s="116">
        <f>+H20+AB20+AC20+AD20+AE20+AF20+AG20</f>
        <v>170000000</v>
      </c>
    </row>
    <row r="21" spans="2:82" ht="12.75" customHeight="1" outlineLevel="1" x14ac:dyDescent="0.3">
      <c r="B21" s="353" t="s">
        <v>86</v>
      </c>
      <c r="C21" s="113">
        <v>420000000</v>
      </c>
      <c r="D21" s="114">
        <f>+H21</f>
        <v>0</v>
      </c>
      <c r="E21" s="114">
        <f>+C21-D21</f>
        <v>420000000</v>
      </c>
      <c r="F21" s="108"/>
      <c r="G21" s="108"/>
      <c r="H21" s="115"/>
      <c r="I21" s="109">
        <f>IF(D24=0,0,D21/D24)</f>
        <v>0</v>
      </c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6"/>
      <c r="AD21" s="116"/>
      <c r="AE21" s="116">
        <v>240000000</v>
      </c>
      <c r="AF21" s="116"/>
      <c r="AG21" s="116">
        <v>180000000</v>
      </c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117"/>
      <c r="BS21" s="117"/>
      <c r="BT21" s="117"/>
      <c r="BU21" s="111"/>
      <c r="BV21" s="112"/>
      <c r="BW21" s="112"/>
      <c r="BX21" s="112"/>
      <c r="BY21" s="112"/>
      <c r="BZ21" s="116">
        <f>+H21+AB21+AC21+AD21+AE21+AF21+AG21</f>
        <v>420000000</v>
      </c>
    </row>
    <row r="22" spans="2:82" s="179" customFormat="1" ht="16.05" customHeight="1" collapsed="1" x14ac:dyDescent="0.3">
      <c r="B22" s="180" t="s">
        <v>87</v>
      </c>
      <c r="C22" s="205"/>
      <c r="D22" s="205"/>
      <c r="E22" s="183"/>
      <c r="F22" s="183"/>
      <c r="G22" s="183"/>
      <c r="H22" s="184">
        <f>SUM(J22:AB22)</f>
        <v>2442157.5599999996</v>
      </c>
      <c r="I22" s="106">
        <f>IF(D24=0,0,D22/D24)</f>
        <v>0</v>
      </c>
      <c r="J22" s="184">
        <f t="shared" ref="J22:AA22" si="8">SUM(J23)</f>
        <v>157571.37</v>
      </c>
      <c r="K22" s="184">
        <f t="shared" si="8"/>
        <v>12060.79</v>
      </c>
      <c r="L22" s="184">
        <f t="shared" si="8"/>
        <v>5956.62</v>
      </c>
      <c r="M22" s="184">
        <f t="shared" si="8"/>
        <v>1903.68</v>
      </c>
      <c r="N22" s="184">
        <f t="shared" si="8"/>
        <v>13709.55</v>
      </c>
      <c r="O22" s="184">
        <f t="shared" si="8"/>
        <v>14582.39</v>
      </c>
      <c r="P22" s="184">
        <f t="shared" si="8"/>
        <v>23991.279999999999</v>
      </c>
      <c r="Q22" s="184">
        <f t="shared" si="8"/>
        <v>92565.03</v>
      </c>
      <c r="R22" s="184">
        <f t="shared" si="8"/>
        <v>173774.27</v>
      </c>
      <c r="S22" s="184">
        <f t="shared" si="8"/>
        <v>260138.61</v>
      </c>
      <c r="T22" s="184">
        <f t="shared" si="8"/>
        <v>332815.92</v>
      </c>
      <c r="U22" s="184">
        <f t="shared" si="8"/>
        <v>328847.65000000002</v>
      </c>
      <c r="V22" s="184">
        <f t="shared" si="8"/>
        <v>529575.76</v>
      </c>
      <c r="W22" s="184">
        <f t="shared" si="8"/>
        <v>144258.21</v>
      </c>
      <c r="X22" s="184">
        <f t="shared" si="8"/>
        <v>134169.93</v>
      </c>
      <c r="Y22" s="184">
        <f t="shared" si="8"/>
        <v>129606.28</v>
      </c>
      <c r="Z22" s="184">
        <f t="shared" si="8"/>
        <v>21993.88</v>
      </c>
      <c r="AA22" s="184">
        <f t="shared" si="8"/>
        <v>39828.589999999997</v>
      </c>
      <c r="AB22" s="184">
        <v>24807.75</v>
      </c>
      <c r="AC22" s="185"/>
      <c r="AD22" s="185"/>
      <c r="AE22" s="185"/>
      <c r="AF22" s="185"/>
      <c r="AG22" s="185"/>
      <c r="AH22" s="186"/>
      <c r="AI22" s="186"/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7"/>
      <c r="BV22" s="188"/>
      <c r="BW22" s="188"/>
      <c r="BX22" s="188"/>
      <c r="BY22" s="188"/>
      <c r="BZ22" s="185">
        <f>+H22+AB22+AC22+AD22+AE22+AF22+AG22</f>
        <v>2466965.3099999996</v>
      </c>
    </row>
    <row r="23" spans="2:82" ht="15.75" hidden="1" customHeight="1" outlineLevel="1" x14ac:dyDescent="0.3">
      <c r="B23" s="65" t="s">
        <v>88</v>
      </c>
      <c r="C23" s="113"/>
      <c r="D23" s="114"/>
      <c r="E23" s="114"/>
      <c r="F23" s="108"/>
      <c r="G23" s="108"/>
      <c r="H23" s="115">
        <f>SUM(J23:AA23)</f>
        <v>2417349.8099999996</v>
      </c>
      <c r="I23" s="109">
        <f>IF(D24=0,0,D23/D24)</f>
        <v>0</v>
      </c>
      <c r="J23" s="110">
        <v>157571.37</v>
      </c>
      <c r="K23" s="110">
        <v>12060.79</v>
      </c>
      <c r="L23" s="110">
        <v>5956.62</v>
      </c>
      <c r="M23" s="110">
        <v>1903.68</v>
      </c>
      <c r="N23" s="110">
        <v>13709.55</v>
      </c>
      <c r="O23" s="110">
        <v>14582.39</v>
      </c>
      <c r="P23" s="110">
        <v>23991.279999999999</v>
      </c>
      <c r="Q23" s="110">
        <v>92565.03</v>
      </c>
      <c r="R23" s="110">
        <v>173774.27</v>
      </c>
      <c r="S23" s="110">
        <v>260138.61</v>
      </c>
      <c r="T23" s="110">
        <v>332815.92</v>
      </c>
      <c r="U23" s="110">
        <v>328847.65000000002</v>
      </c>
      <c r="V23" s="110">
        <v>529575.76</v>
      </c>
      <c r="W23" s="110">
        <v>144258.21</v>
      </c>
      <c r="X23" s="110">
        <v>134169.93</v>
      </c>
      <c r="Y23" s="110">
        <v>129606.28</v>
      </c>
      <c r="Z23" s="110">
        <v>21993.88</v>
      </c>
      <c r="AA23" s="110">
        <v>39828.589999999997</v>
      </c>
      <c r="AB23" s="110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1"/>
      <c r="BV23" s="112"/>
      <c r="BW23" s="112"/>
      <c r="BX23" s="112"/>
      <c r="BY23" s="112"/>
      <c r="BZ23" s="118"/>
    </row>
    <row r="24" spans="2:82" ht="16.05" customHeight="1" collapsed="1" x14ac:dyDescent="0.3">
      <c r="B24" s="60" t="s">
        <v>89</v>
      </c>
      <c r="C24" s="105"/>
      <c r="D24" s="105"/>
      <c r="E24" s="63"/>
      <c r="F24" s="63"/>
      <c r="G24" s="63"/>
      <c r="H24" s="64">
        <f>SUM(J24:AB24)</f>
        <v>746357587.11000001</v>
      </c>
      <c r="I24" s="119">
        <v>1</v>
      </c>
      <c r="J24" s="64">
        <f t="shared" ref="J24:AO24" si="9">+J7+J15+J17+J22</f>
        <v>160450911.75999999</v>
      </c>
      <c r="K24" s="64">
        <f t="shared" si="9"/>
        <v>315822.70999999996</v>
      </c>
      <c r="L24" s="64">
        <f t="shared" si="9"/>
        <v>5956.62</v>
      </c>
      <c r="M24" s="64">
        <f t="shared" si="9"/>
        <v>63164.87</v>
      </c>
      <c r="N24" s="64">
        <f t="shared" si="9"/>
        <v>17957531.150000002</v>
      </c>
      <c r="O24" s="64">
        <f t="shared" si="9"/>
        <v>13502506.25</v>
      </c>
      <c r="P24" s="64">
        <f t="shared" si="9"/>
        <v>24871843.660000004</v>
      </c>
      <c r="Q24" s="64">
        <f t="shared" si="9"/>
        <v>33468622.380000003</v>
      </c>
      <c r="R24" s="64">
        <f t="shared" si="9"/>
        <v>186891568.52000001</v>
      </c>
      <c r="S24" s="64">
        <f t="shared" si="9"/>
        <v>74962438.569999993</v>
      </c>
      <c r="T24" s="64">
        <f t="shared" si="9"/>
        <v>17010414.740000002</v>
      </c>
      <c r="U24" s="64">
        <f t="shared" si="9"/>
        <v>55920629.079999998</v>
      </c>
      <c r="V24" s="64">
        <f t="shared" si="9"/>
        <v>-28484051.34</v>
      </c>
      <c r="W24" s="64">
        <f t="shared" si="9"/>
        <v>9276131.290000001</v>
      </c>
      <c r="X24" s="64">
        <f t="shared" si="9"/>
        <v>16709450.02</v>
      </c>
      <c r="Y24" s="64">
        <f t="shared" si="9"/>
        <v>17447541.890000001</v>
      </c>
      <c r="Z24" s="64">
        <f t="shared" si="9"/>
        <v>50591466.080000006</v>
      </c>
      <c r="AA24" s="64">
        <f t="shared" si="9"/>
        <v>37069433.350000009</v>
      </c>
      <c r="AB24" s="64">
        <f t="shared" si="9"/>
        <v>58326205.509999998</v>
      </c>
      <c r="AC24" s="85">
        <f t="shared" si="9"/>
        <v>118000000</v>
      </c>
      <c r="AD24" s="85">
        <f t="shared" si="9"/>
        <v>118000000</v>
      </c>
      <c r="AE24" s="85">
        <f t="shared" si="9"/>
        <v>8000000</v>
      </c>
      <c r="AF24" s="85">
        <f t="shared" si="9"/>
        <v>18000000</v>
      </c>
      <c r="AG24" s="85">
        <f t="shared" si="9"/>
        <v>178000000</v>
      </c>
      <c r="AH24" s="107">
        <f t="shared" si="9"/>
        <v>18000000</v>
      </c>
      <c r="AI24" s="107">
        <f t="shared" si="9"/>
        <v>0</v>
      </c>
      <c r="AJ24" s="107">
        <f t="shared" si="9"/>
        <v>0</v>
      </c>
      <c r="AK24" s="107">
        <f t="shared" si="9"/>
        <v>0</v>
      </c>
      <c r="AL24" s="107">
        <f t="shared" si="9"/>
        <v>0</v>
      </c>
      <c r="AM24" s="107">
        <f t="shared" si="9"/>
        <v>0</v>
      </c>
      <c r="AN24" s="107">
        <f t="shared" si="9"/>
        <v>0</v>
      </c>
      <c r="AO24" s="107">
        <f t="shared" si="9"/>
        <v>0</v>
      </c>
      <c r="AP24" s="107">
        <f t="shared" ref="AP24:BT24" si="10">+AP7+AP15+AP17+AP22</f>
        <v>0</v>
      </c>
      <c r="AQ24" s="107">
        <f t="shared" si="10"/>
        <v>0</v>
      </c>
      <c r="AR24" s="107">
        <f t="shared" si="10"/>
        <v>0</v>
      </c>
      <c r="AS24" s="107">
        <f t="shared" si="10"/>
        <v>0</v>
      </c>
      <c r="AT24" s="107">
        <f t="shared" si="10"/>
        <v>0</v>
      </c>
      <c r="AU24" s="107">
        <f t="shared" si="10"/>
        <v>0</v>
      </c>
      <c r="AV24" s="107">
        <f t="shared" si="10"/>
        <v>0</v>
      </c>
      <c r="AW24" s="107">
        <f t="shared" si="10"/>
        <v>0</v>
      </c>
      <c r="AX24" s="107">
        <f t="shared" si="10"/>
        <v>0</v>
      </c>
      <c r="AY24" s="107">
        <f t="shared" si="10"/>
        <v>0</v>
      </c>
      <c r="AZ24" s="107">
        <f t="shared" si="10"/>
        <v>0</v>
      </c>
      <c r="BA24" s="107">
        <f t="shared" si="10"/>
        <v>0</v>
      </c>
      <c r="BB24" s="107">
        <f t="shared" si="10"/>
        <v>0</v>
      </c>
      <c r="BC24" s="107">
        <f t="shared" si="10"/>
        <v>0</v>
      </c>
      <c r="BD24" s="107">
        <f t="shared" si="10"/>
        <v>0</v>
      </c>
      <c r="BE24" s="107">
        <f t="shared" si="10"/>
        <v>0</v>
      </c>
      <c r="BF24" s="107">
        <f t="shared" si="10"/>
        <v>0</v>
      </c>
      <c r="BG24" s="107">
        <f t="shared" si="10"/>
        <v>0</v>
      </c>
      <c r="BH24" s="107">
        <f t="shared" si="10"/>
        <v>0</v>
      </c>
      <c r="BI24" s="107">
        <f t="shared" si="10"/>
        <v>0</v>
      </c>
      <c r="BJ24" s="107">
        <f t="shared" si="10"/>
        <v>0</v>
      </c>
      <c r="BK24" s="107">
        <f t="shared" si="10"/>
        <v>0</v>
      </c>
      <c r="BL24" s="107">
        <f t="shared" si="10"/>
        <v>0</v>
      </c>
      <c r="BM24" s="107">
        <f t="shared" si="10"/>
        <v>0</v>
      </c>
      <c r="BN24" s="107">
        <f t="shared" si="10"/>
        <v>0</v>
      </c>
      <c r="BO24" s="107">
        <f t="shared" si="10"/>
        <v>0</v>
      </c>
      <c r="BP24" s="107">
        <f t="shared" si="10"/>
        <v>0</v>
      </c>
      <c r="BQ24" s="107">
        <f t="shared" si="10"/>
        <v>0</v>
      </c>
      <c r="BR24" s="107">
        <f t="shared" si="10"/>
        <v>0</v>
      </c>
      <c r="BS24" s="107">
        <f t="shared" si="10"/>
        <v>0</v>
      </c>
      <c r="BT24" s="107">
        <f t="shared" si="10"/>
        <v>0</v>
      </c>
      <c r="BU24" s="103"/>
      <c r="BV24" s="104"/>
      <c r="BW24" s="104"/>
      <c r="BX24" s="104"/>
      <c r="BY24" s="104"/>
      <c r="BZ24" s="185">
        <f>+H24+AB24+AC24+AD24+AE24+AF24+AG24</f>
        <v>1244683792.6199999</v>
      </c>
    </row>
    <row r="25" spans="2:82" ht="16.05" customHeight="1" collapsed="1" x14ac:dyDescent="0.3">
      <c r="B25" s="60" t="s">
        <v>90</v>
      </c>
      <c r="C25" s="105"/>
      <c r="D25" s="105"/>
      <c r="E25" s="63"/>
      <c r="F25" s="63"/>
      <c r="G25" s="63"/>
      <c r="H25" s="64">
        <f>+H7+H15+H17+H22</f>
        <v>746357587.1099999</v>
      </c>
      <c r="I25" s="119"/>
      <c r="J25" s="64">
        <f>+J24</f>
        <v>160450911.75999999</v>
      </c>
      <c r="K25" s="64">
        <f t="shared" ref="K25:AA25" si="11">+J25+K24</f>
        <v>160766734.47</v>
      </c>
      <c r="L25" s="64">
        <f t="shared" si="11"/>
        <v>160772691.09</v>
      </c>
      <c r="M25" s="64">
        <f t="shared" si="11"/>
        <v>160835855.96000001</v>
      </c>
      <c r="N25" s="64">
        <f t="shared" si="11"/>
        <v>178793387.11000001</v>
      </c>
      <c r="O25" s="64">
        <f t="shared" si="11"/>
        <v>192295893.36000001</v>
      </c>
      <c r="P25" s="64">
        <f t="shared" si="11"/>
        <v>217167737.02000001</v>
      </c>
      <c r="Q25" s="64">
        <f t="shared" si="11"/>
        <v>250636359.40000001</v>
      </c>
      <c r="R25" s="64">
        <f t="shared" si="11"/>
        <v>437527927.92000002</v>
      </c>
      <c r="S25" s="64">
        <f t="shared" si="11"/>
        <v>512490366.49000001</v>
      </c>
      <c r="T25" s="64">
        <f t="shared" si="11"/>
        <v>529500781.23000002</v>
      </c>
      <c r="U25" s="64">
        <f t="shared" si="11"/>
        <v>585421410.31000006</v>
      </c>
      <c r="V25" s="64">
        <f t="shared" si="11"/>
        <v>556937358.97000003</v>
      </c>
      <c r="W25" s="64">
        <f t="shared" si="11"/>
        <v>566213490.25999999</v>
      </c>
      <c r="X25" s="64">
        <f t="shared" si="11"/>
        <v>582922940.27999997</v>
      </c>
      <c r="Y25" s="64">
        <f t="shared" si="11"/>
        <v>600370482.16999996</v>
      </c>
      <c r="Z25" s="64">
        <f t="shared" si="11"/>
        <v>650961948.25</v>
      </c>
      <c r="AA25" s="64">
        <f t="shared" si="11"/>
        <v>688031381.60000002</v>
      </c>
      <c r="AB25" s="64">
        <f>+AA25+AB24</f>
        <v>746357587.11000001</v>
      </c>
      <c r="AC25" s="85">
        <f t="shared" ref="AC25:BU25" si="12">+AB25+AC24</f>
        <v>864357587.11000001</v>
      </c>
      <c r="AD25" s="85">
        <f t="shared" si="12"/>
        <v>982357587.11000001</v>
      </c>
      <c r="AE25" s="85">
        <f t="shared" si="12"/>
        <v>990357587.11000001</v>
      </c>
      <c r="AF25" s="85">
        <f t="shared" si="12"/>
        <v>1008357587.11</v>
      </c>
      <c r="AG25" s="85">
        <f t="shared" si="12"/>
        <v>1186357587.1100001</v>
      </c>
      <c r="AH25" s="107">
        <f t="shared" si="12"/>
        <v>1204357587.1100001</v>
      </c>
      <c r="AI25" s="107">
        <f t="shared" si="12"/>
        <v>1204357587.1100001</v>
      </c>
      <c r="AJ25" s="107">
        <f t="shared" si="12"/>
        <v>1204357587.1100001</v>
      </c>
      <c r="AK25" s="107">
        <f t="shared" si="12"/>
        <v>1204357587.1100001</v>
      </c>
      <c r="AL25" s="107">
        <f t="shared" si="12"/>
        <v>1204357587.1100001</v>
      </c>
      <c r="AM25" s="107">
        <f t="shared" si="12"/>
        <v>1204357587.1100001</v>
      </c>
      <c r="AN25" s="107">
        <f t="shared" si="12"/>
        <v>1204357587.1100001</v>
      </c>
      <c r="AO25" s="107">
        <f t="shared" si="12"/>
        <v>1204357587.1100001</v>
      </c>
      <c r="AP25" s="107">
        <f t="shared" si="12"/>
        <v>1204357587.1100001</v>
      </c>
      <c r="AQ25" s="107">
        <f t="shared" si="12"/>
        <v>1204357587.1100001</v>
      </c>
      <c r="AR25" s="107">
        <f t="shared" si="12"/>
        <v>1204357587.1100001</v>
      </c>
      <c r="AS25" s="107">
        <f t="shared" si="12"/>
        <v>1204357587.1100001</v>
      </c>
      <c r="AT25" s="107">
        <f t="shared" si="12"/>
        <v>1204357587.1100001</v>
      </c>
      <c r="AU25" s="107">
        <f t="shared" si="12"/>
        <v>1204357587.1100001</v>
      </c>
      <c r="AV25" s="107">
        <f t="shared" si="12"/>
        <v>1204357587.1100001</v>
      </c>
      <c r="AW25" s="107">
        <f t="shared" si="12"/>
        <v>1204357587.1100001</v>
      </c>
      <c r="AX25" s="107">
        <f t="shared" si="12"/>
        <v>1204357587.1100001</v>
      </c>
      <c r="AY25" s="107">
        <f t="shared" si="12"/>
        <v>1204357587.1100001</v>
      </c>
      <c r="AZ25" s="107">
        <f t="shared" si="12"/>
        <v>1204357587.1100001</v>
      </c>
      <c r="BA25" s="107">
        <f t="shared" si="12"/>
        <v>1204357587.1100001</v>
      </c>
      <c r="BB25" s="107">
        <f t="shared" si="12"/>
        <v>1204357587.1100001</v>
      </c>
      <c r="BC25" s="107">
        <f t="shared" si="12"/>
        <v>1204357587.1100001</v>
      </c>
      <c r="BD25" s="107">
        <f t="shared" si="12"/>
        <v>1204357587.1100001</v>
      </c>
      <c r="BE25" s="107">
        <f t="shared" si="12"/>
        <v>1204357587.1100001</v>
      </c>
      <c r="BF25" s="107">
        <f t="shared" si="12"/>
        <v>1204357587.1100001</v>
      </c>
      <c r="BG25" s="107">
        <f t="shared" si="12"/>
        <v>1204357587.1100001</v>
      </c>
      <c r="BH25" s="107">
        <f t="shared" si="12"/>
        <v>1204357587.1100001</v>
      </c>
      <c r="BI25" s="107">
        <f t="shared" si="12"/>
        <v>1204357587.1100001</v>
      </c>
      <c r="BJ25" s="107">
        <f t="shared" si="12"/>
        <v>1204357587.1100001</v>
      </c>
      <c r="BK25" s="107">
        <f t="shared" si="12"/>
        <v>1204357587.1100001</v>
      </c>
      <c r="BL25" s="107">
        <f t="shared" si="12"/>
        <v>1204357587.1100001</v>
      </c>
      <c r="BM25" s="107">
        <f t="shared" si="12"/>
        <v>1204357587.1100001</v>
      </c>
      <c r="BN25" s="107">
        <f t="shared" si="12"/>
        <v>1204357587.1100001</v>
      </c>
      <c r="BO25" s="107">
        <f t="shared" si="12"/>
        <v>1204357587.1100001</v>
      </c>
      <c r="BP25" s="107">
        <f t="shared" si="12"/>
        <v>1204357587.1100001</v>
      </c>
      <c r="BQ25" s="107">
        <f t="shared" si="12"/>
        <v>1204357587.1100001</v>
      </c>
      <c r="BR25" s="107">
        <f t="shared" si="12"/>
        <v>1204357587.1100001</v>
      </c>
      <c r="BS25" s="107">
        <f t="shared" si="12"/>
        <v>1204357587.1100001</v>
      </c>
      <c r="BT25" s="107">
        <f t="shared" si="12"/>
        <v>1204357587.1100001</v>
      </c>
      <c r="BU25" s="103">
        <f t="shared" si="12"/>
        <v>1204357587.1100001</v>
      </c>
      <c r="BV25" s="104"/>
      <c r="BW25" s="104"/>
      <c r="BX25" s="104"/>
      <c r="BY25" s="104"/>
      <c r="BZ25" s="185">
        <f>+BZ24</f>
        <v>1244683792.6199999</v>
      </c>
    </row>
    <row r="26" spans="2:82" ht="7.2" customHeight="1" x14ac:dyDescent="0.3">
      <c r="B26" s="120"/>
      <c r="C26" s="120"/>
      <c r="D26" s="120"/>
      <c r="E26" s="120"/>
      <c r="F26" s="120"/>
      <c r="G26" s="120"/>
      <c r="H26" s="120"/>
      <c r="I26" s="121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Z26" s="100"/>
    </row>
    <row r="27" spans="2:82" ht="15.75" customHeight="1" x14ac:dyDescent="0.3">
      <c r="B27" s="350" t="s">
        <v>578</v>
      </c>
      <c r="C27" s="350" t="s">
        <v>577</v>
      </c>
      <c r="D27" s="350"/>
      <c r="E27" s="350"/>
      <c r="F27" s="350"/>
      <c r="G27" s="350"/>
      <c r="H27" s="350"/>
      <c r="I27" s="122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  <c r="BL27" s="124"/>
      <c r="BM27" s="124"/>
      <c r="BN27" s="124"/>
      <c r="BO27" s="124"/>
      <c r="BP27" s="124"/>
      <c r="BQ27" s="124"/>
      <c r="BR27" s="124"/>
      <c r="BS27" s="124"/>
      <c r="BT27" s="124"/>
      <c r="BU27" s="97"/>
      <c r="BV27" s="97"/>
      <c r="BW27" s="97"/>
      <c r="BX27" s="97"/>
      <c r="BY27" s="97"/>
      <c r="BZ27" s="124"/>
    </row>
    <row r="28" spans="2:82" ht="21.6" customHeight="1" x14ac:dyDescent="0.3">
      <c r="B28" s="66" t="s">
        <v>91</v>
      </c>
      <c r="C28" s="66" t="s">
        <v>92</v>
      </c>
      <c r="D28" s="66" t="s">
        <v>3</v>
      </c>
      <c r="E28" s="66" t="s">
        <v>4</v>
      </c>
      <c r="F28" s="66" t="s">
        <v>93</v>
      </c>
      <c r="G28" s="66" t="s">
        <v>94</v>
      </c>
      <c r="H28" s="66" t="s">
        <v>95</v>
      </c>
      <c r="I28" s="91" t="s">
        <v>96</v>
      </c>
      <c r="J28" s="86" t="s">
        <v>7</v>
      </c>
      <c r="K28" s="86" t="s">
        <v>8</v>
      </c>
      <c r="L28" s="86" t="s">
        <v>9</v>
      </c>
      <c r="M28" s="86" t="s">
        <v>10</v>
      </c>
      <c r="N28" s="86" t="s">
        <v>11</v>
      </c>
      <c r="O28" s="86" t="s">
        <v>12</v>
      </c>
      <c r="P28" s="86" t="s">
        <v>13</v>
      </c>
      <c r="Q28" s="86" t="s">
        <v>14</v>
      </c>
      <c r="R28" s="86" t="s">
        <v>15</v>
      </c>
      <c r="S28" s="86" t="s">
        <v>16</v>
      </c>
      <c r="T28" s="86" t="s">
        <v>17</v>
      </c>
      <c r="U28" s="86" t="s">
        <v>18</v>
      </c>
      <c r="V28" s="86" t="s">
        <v>19</v>
      </c>
      <c r="W28" s="86" t="s">
        <v>20</v>
      </c>
      <c r="X28" s="86" t="s">
        <v>21</v>
      </c>
      <c r="Y28" s="86" t="s">
        <v>22</v>
      </c>
      <c r="Z28" s="86" t="s">
        <v>23</v>
      </c>
      <c r="AA28" s="86" t="s">
        <v>24</v>
      </c>
      <c r="AB28" s="86" t="s">
        <v>25</v>
      </c>
      <c r="AC28" s="87" t="s">
        <v>26</v>
      </c>
      <c r="AD28" s="87" t="s">
        <v>27</v>
      </c>
      <c r="AE28" s="87" t="s">
        <v>28</v>
      </c>
      <c r="AF28" s="87" t="s">
        <v>29</v>
      </c>
      <c r="AG28" s="87" t="s">
        <v>30</v>
      </c>
      <c r="AH28" s="87" t="s">
        <v>31</v>
      </c>
      <c r="AI28" s="87" t="s">
        <v>32</v>
      </c>
      <c r="AJ28" s="87" t="s">
        <v>33</v>
      </c>
      <c r="AK28" s="87" t="s">
        <v>34</v>
      </c>
      <c r="AL28" s="87" t="s">
        <v>35</v>
      </c>
      <c r="AM28" s="87" t="s">
        <v>36</v>
      </c>
      <c r="AN28" s="87" t="s">
        <v>37</v>
      </c>
      <c r="AO28" s="87" t="s">
        <v>38</v>
      </c>
      <c r="AP28" s="87" t="s">
        <v>39</v>
      </c>
      <c r="AQ28" s="87" t="s">
        <v>40</v>
      </c>
      <c r="AR28" s="87" t="s">
        <v>41</v>
      </c>
      <c r="AS28" s="87" t="s">
        <v>42</v>
      </c>
      <c r="AT28" s="87" t="s">
        <v>43</v>
      </c>
      <c r="AU28" s="87" t="s">
        <v>44</v>
      </c>
      <c r="AV28" s="87" t="s">
        <v>45</v>
      </c>
      <c r="AW28" s="87" t="s">
        <v>46</v>
      </c>
      <c r="AX28" s="87" t="s">
        <v>47</v>
      </c>
      <c r="AY28" s="87" t="s">
        <v>48</v>
      </c>
      <c r="AZ28" s="87" t="s">
        <v>49</v>
      </c>
      <c r="BA28" s="87" t="s">
        <v>50</v>
      </c>
      <c r="BB28" s="87" t="s">
        <v>51</v>
      </c>
      <c r="BC28" s="87" t="s">
        <v>52</v>
      </c>
      <c r="BD28" s="87" t="s">
        <v>53</v>
      </c>
      <c r="BE28" s="87" t="s">
        <v>54</v>
      </c>
      <c r="BF28" s="87" t="s">
        <v>55</v>
      </c>
      <c r="BG28" s="87" t="s">
        <v>56</v>
      </c>
      <c r="BH28" s="87" t="s">
        <v>57</v>
      </c>
      <c r="BI28" s="87" t="s">
        <v>58</v>
      </c>
      <c r="BJ28" s="87" t="s">
        <v>59</v>
      </c>
      <c r="BK28" s="87" t="s">
        <v>60</v>
      </c>
      <c r="BL28" s="87" t="s">
        <v>61</v>
      </c>
      <c r="BM28" s="87" t="s">
        <v>62</v>
      </c>
      <c r="BN28" s="87" t="s">
        <v>63</v>
      </c>
      <c r="BO28" s="87" t="s">
        <v>64</v>
      </c>
      <c r="BP28" s="87" t="s">
        <v>65</v>
      </c>
      <c r="BQ28" s="87" t="s">
        <v>66</v>
      </c>
      <c r="BR28" s="87" t="s">
        <v>67</v>
      </c>
      <c r="BS28" s="87" t="s">
        <v>68</v>
      </c>
      <c r="BT28" s="87" t="s">
        <v>69</v>
      </c>
      <c r="BU28" s="88" t="s">
        <v>70</v>
      </c>
      <c r="BV28" s="125"/>
      <c r="BW28" s="125"/>
      <c r="BX28" s="125"/>
      <c r="BY28" s="125"/>
      <c r="BZ28" s="87" t="s">
        <v>71</v>
      </c>
    </row>
    <row r="29" spans="2:82" ht="15" customHeight="1" x14ac:dyDescent="0.3">
      <c r="B29" s="67" t="s">
        <v>97</v>
      </c>
      <c r="C29" s="126"/>
      <c r="D29" s="126"/>
      <c r="E29" s="126"/>
      <c r="F29" s="126"/>
      <c r="G29" s="126"/>
      <c r="H29" s="126"/>
      <c r="I29" s="95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7"/>
      <c r="AD29" s="127"/>
      <c r="AE29" s="127"/>
      <c r="AF29" s="127"/>
      <c r="AG29" s="127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97"/>
      <c r="BV29" s="97"/>
      <c r="BW29" s="97"/>
      <c r="BX29" s="97"/>
      <c r="BY29" s="97"/>
      <c r="BZ29" s="127"/>
    </row>
    <row r="30" spans="2:82" x14ac:dyDescent="0.3">
      <c r="B30" s="68" t="s">
        <v>98</v>
      </c>
      <c r="C30" s="69">
        <f>266773709.05+AC30+AD30</f>
        <v>269685156.45000005</v>
      </c>
      <c r="D30" s="129">
        <f t="shared" ref="D30:D44" si="13">SUM(J30:AB30)</f>
        <v>266773709.05000004</v>
      </c>
      <c r="E30" s="129">
        <f t="shared" ref="E30:E35" si="14">+C30-D30</f>
        <v>2911447.400000006</v>
      </c>
      <c r="F30" s="129"/>
      <c r="G30" s="129"/>
      <c r="H30" s="129">
        <f t="shared" ref="H30:H35" si="15">+D30+F30-G30</f>
        <v>266773709.05000004</v>
      </c>
      <c r="I30" s="130">
        <f t="shared" ref="I30:I44" si="16">IF(H$45=0,0,H30/H$45)</f>
        <v>0.55466588971053399</v>
      </c>
      <c r="J30" s="131">
        <v>94172341.829999998</v>
      </c>
      <c r="K30" s="131"/>
      <c r="L30" s="131"/>
      <c r="M30" s="131"/>
      <c r="N30" s="131"/>
      <c r="O30" s="131">
        <v>18880</v>
      </c>
      <c r="P30" s="131"/>
      <c r="Q30" s="131"/>
      <c r="R30" s="131">
        <v>170252679.33000001</v>
      </c>
      <c r="S30" s="131">
        <v>1178.9999999701979</v>
      </c>
      <c r="T30" s="131"/>
      <c r="U30" s="131"/>
      <c r="V30" s="131">
        <v>1.0000000298023219</v>
      </c>
      <c r="W30" s="131"/>
      <c r="X30" s="131"/>
      <c r="Y30" s="131"/>
      <c r="Z30" s="131">
        <v>-7030718.1600000001</v>
      </c>
      <c r="AA30" s="131">
        <v>9359346.0500000007</v>
      </c>
      <c r="AB30" s="131"/>
      <c r="AC30" s="132">
        <v>1625472.4</v>
      </c>
      <c r="AD30" s="132">
        <v>1285975</v>
      </c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32"/>
      <c r="BN30" s="132"/>
      <c r="BO30" s="132"/>
      <c r="BP30" s="132"/>
      <c r="BQ30" s="132"/>
      <c r="BR30" s="132"/>
      <c r="BS30" s="132"/>
      <c r="BT30" s="132"/>
      <c r="BU30" s="133">
        <f t="shared" ref="BU30:BU44" si="17">SUM(AB30:BT30)</f>
        <v>2911447.4</v>
      </c>
      <c r="BV30" s="134"/>
      <c r="BW30" s="135"/>
      <c r="BX30" s="134"/>
      <c r="BY30" s="134"/>
      <c r="BZ30" s="132">
        <f t="shared" ref="BZ30:BZ44" si="18">+H30+AB30+AC30+AD30+AE30+AF30+AG30</f>
        <v>269685156.45000005</v>
      </c>
      <c r="CA30" s="279"/>
      <c r="CB30" s="304"/>
    </row>
    <row r="31" spans="2:82" x14ac:dyDescent="0.3">
      <c r="B31" s="68" t="s">
        <v>99</v>
      </c>
      <c r="C31" s="69">
        <v>25000000</v>
      </c>
      <c r="D31" s="129">
        <f t="shared" si="13"/>
        <v>24159807.359999999</v>
      </c>
      <c r="E31" s="129">
        <f t="shared" si="14"/>
        <v>840192.6400000006</v>
      </c>
      <c r="F31" s="129">
        <v>273000</v>
      </c>
      <c r="G31" s="129"/>
      <c r="H31" s="129">
        <f t="shared" si="15"/>
        <v>24432807.359999999</v>
      </c>
      <c r="I31" s="130">
        <f t="shared" si="16"/>
        <v>5.0799776637361564E-2</v>
      </c>
      <c r="J31" s="131">
        <v>20979515.640000001</v>
      </c>
      <c r="K31" s="131">
        <v>428149.75</v>
      </c>
      <c r="L31" s="131"/>
      <c r="M31" s="131">
        <v>146320</v>
      </c>
      <c r="N31" s="131">
        <v>108350.2599999979</v>
      </c>
      <c r="O31" s="131">
        <v>53100</v>
      </c>
      <c r="P31" s="131"/>
      <c r="Q31" s="131">
        <v>278099.52000000328</v>
      </c>
      <c r="R31" s="131">
        <v>1595686.819999997</v>
      </c>
      <c r="S31" s="131">
        <v>-190307.5199999958</v>
      </c>
      <c r="T31" s="131">
        <v>310669.14999999851</v>
      </c>
      <c r="U31" s="131"/>
      <c r="V31" s="131">
        <v>273687.18999999762</v>
      </c>
      <c r="W31" s="131"/>
      <c r="X31" s="131">
        <v>416685.22000000247</v>
      </c>
      <c r="Y31" s="131">
        <v>31433.410000000149</v>
      </c>
      <c r="Z31" s="131">
        <v>-271582.08000000188</v>
      </c>
      <c r="AA31" s="131"/>
      <c r="AB31" s="131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2"/>
      <c r="BM31" s="132"/>
      <c r="BN31" s="132"/>
      <c r="BO31" s="132"/>
      <c r="BP31" s="132"/>
      <c r="BQ31" s="132"/>
      <c r="BR31" s="132"/>
      <c r="BS31" s="132"/>
      <c r="BT31" s="132"/>
      <c r="BU31" s="133">
        <f t="shared" si="17"/>
        <v>0</v>
      </c>
      <c r="BV31" s="136"/>
      <c r="BW31" s="137" t="s">
        <v>100</v>
      </c>
      <c r="BX31" s="70" t="s">
        <v>101</v>
      </c>
      <c r="BY31" s="136"/>
      <c r="BZ31" s="132">
        <f t="shared" si="18"/>
        <v>24432807.359999999</v>
      </c>
      <c r="CA31" s="279"/>
      <c r="CB31" s="304"/>
    </row>
    <row r="32" spans="2:82" ht="15.75" customHeight="1" x14ac:dyDescent="0.3">
      <c r="B32" s="68" t="s">
        <v>102</v>
      </c>
      <c r="C32" s="69">
        <v>469173666.60000002</v>
      </c>
      <c r="D32" s="129">
        <f t="shared" si="13"/>
        <v>50777442.739999995</v>
      </c>
      <c r="E32" s="129">
        <f t="shared" si="14"/>
        <v>418396223.86000001</v>
      </c>
      <c r="F32" s="129">
        <v>3201292.23</v>
      </c>
      <c r="G32" s="129">
        <f>2409540.07+31179.21</f>
        <v>2440719.2799999998</v>
      </c>
      <c r="H32" s="129">
        <f t="shared" si="15"/>
        <v>51538015.68999999</v>
      </c>
      <c r="I32" s="130">
        <f t="shared" si="16"/>
        <v>0.10715590913515209</v>
      </c>
      <c r="J32" s="131">
        <v>9219083.5899999999</v>
      </c>
      <c r="K32" s="131"/>
      <c r="L32" s="131"/>
      <c r="M32" s="131"/>
      <c r="N32" s="131">
        <v>353433.19999999931</v>
      </c>
      <c r="O32" s="131">
        <v>93563.38000000082</v>
      </c>
      <c r="P32" s="131">
        <v>401816.3599999994</v>
      </c>
      <c r="Q32" s="131">
        <v>17765976.739999998</v>
      </c>
      <c r="R32" s="131">
        <v>2900560.479999993</v>
      </c>
      <c r="S32" s="131">
        <v>-13949178.149999989</v>
      </c>
      <c r="T32" s="131">
        <v>201871.48000000039</v>
      </c>
      <c r="U32" s="131">
        <v>1617336.1099999989</v>
      </c>
      <c r="V32" s="131">
        <v>15407306.51</v>
      </c>
      <c r="W32" s="131">
        <v>222844.90999999639</v>
      </c>
      <c r="X32" s="131">
        <v>2449569.8299999982</v>
      </c>
      <c r="Y32" s="131">
        <v>1844423.43</v>
      </c>
      <c r="Z32" s="131">
        <v>2432002.3100000019</v>
      </c>
      <c r="AA32" s="131">
        <v>4340947.83</v>
      </c>
      <c r="AB32" s="131">
        <v>5475884.7300000004</v>
      </c>
      <c r="AC32" s="132">
        <f>2233363.79-BW38</f>
        <v>9945082.070000004</v>
      </c>
      <c r="AD32" s="132">
        <v>25883233.07</v>
      </c>
      <c r="AE32" s="132">
        <v>19023862.73</v>
      </c>
      <c r="AF32" s="132">
        <v>30184986.260000002</v>
      </c>
      <c r="AG32" s="132">
        <v>22131186.5</v>
      </c>
      <c r="AH32" s="132">
        <v>27733359</v>
      </c>
      <c r="AI32" s="132">
        <v>9994863</v>
      </c>
      <c r="AJ32" s="132">
        <v>12921923</v>
      </c>
      <c r="AK32" s="132">
        <v>13067198</v>
      </c>
      <c r="AL32" s="132">
        <v>7358492</v>
      </c>
      <c r="AM32" s="132">
        <v>14828592</v>
      </c>
      <c r="AN32" s="132">
        <v>12874976</v>
      </c>
      <c r="AO32" s="132">
        <v>14527005</v>
      </c>
      <c r="AP32" s="132">
        <v>20554545</v>
      </c>
      <c r="AQ32" s="132">
        <v>12799482</v>
      </c>
      <c r="AR32" s="132">
        <v>12013658</v>
      </c>
      <c r="AS32" s="132">
        <v>13823208</v>
      </c>
      <c r="AT32" s="132">
        <v>13482346</v>
      </c>
      <c r="AU32" s="132">
        <v>12131034</v>
      </c>
      <c r="AV32" s="132">
        <v>13811771</v>
      </c>
      <c r="AW32" s="132">
        <v>18464279</v>
      </c>
      <c r="AX32" s="132">
        <v>14290217</v>
      </c>
      <c r="AY32" s="132">
        <v>11114566</v>
      </c>
      <c r="AZ32" s="132">
        <v>5972630</v>
      </c>
      <c r="BA32" s="132">
        <v>2180738</v>
      </c>
      <c r="BB32" s="132">
        <v>2907651</v>
      </c>
      <c r="BC32" s="132">
        <v>2180738</v>
      </c>
      <c r="BD32" s="132">
        <v>2696366</v>
      </c>
      <c r="BE32" s="132"/>
      <c r="BF32" s="132"/>
      <c r="BG32" s="132"/>
      <c r="BH32" s="132"/>
      <c r="BI32" s="132"/>
      <c r="BJ32" s="132"/>
      <c r="BK32" s="132"/>
      <c r="BL32" s="132"/>
      <c r="BM32" s="132"/>
      <c r="BN32" s="132"/>
      <c r="BO32" s="132"/>
      <c r="BP32" s="132"/>
      <c r="BQ32" s="132"/>
      <c r="BR32" s="132"/>
      <c r="BS32" s="132"/>
      <c r="BT32" s="132"/>
      <c r="BU32" s="133">
        <f t="shared" si="17"/>
        <v>384373872.36000001</v>
      </c>
      <c r="BV32" s="71" t="s">
        <v>575</v>
      </c>
      <c r="BW32" s="72">
        <f>+D32-33504463</f>
        <v>17272979.739999995</v>
      </c>
      <c r="BX32" s="72">
        <f>+D33</f>
        <v>91014534.539999992</v>
      </c>
      <c r="BY32" s="138">
        <f t="shared" ref="BY32:BY38" si="19">+BW32+BX32</f>
        <v>108287514.27999999</v>
      </c>
      <c r="BZ32" s="132">
        <f t="shared" si="18"/>
        <v>164182251.05000001</v>
      </c>
      <c r="CA32" s="279"/>
      <c r="CB32" s="304"/>
      <c r="CC32" s="305"/>
      <c r="CD32" s="279"/>
    </row>
    <row r="33" spans="2:82" ht="12.75" customHeight="1" x14ac:dyDescent="0.3">
      <c r="B33" s="68" t="s">
        <v>103</v>
      </c>
      <c r="C33" s="69">
        <v>1517166651</v>
      </c>
      <c r="D33" s="129">
        <f t="shared" si="13"/>
        <v>91014534.539999992</v>
      </c>
      <c r="E33" s="129">
        <f t="shared" si="14"/>
        <v>1426152116.46</v>
      </c>
      <c r="F33" s="129">
        <v>4044252</v>
      </c>
      <c r="G33" s="129">
        <v>9079360.6500000004</v>
      </c>
      <c r="H33" s="129">
        <f t="shared" si="15"/>
        <v>85979425.889999986</v>
      </c>
      <c r="I33" s="130">
        <f t="shared" si="16"/>
        <v>0.17876519739484334</v>
      </c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>
        <v>991237.18</v>
      </c>
      <c r="W33" s="131">
        <v>2132656.4500000002</v>
      </c>
      <c r="X33" s="131">
        <v>6421897.4300000006</v>
      </c>
      <c r="Y33" s="131">
        <v>23710126.210000001</v>
      </c>
      <c r="Z33" s="131">
        <v>17366039.260000002</v>
      </c>
      <c r="AA33" s="131">
        <v>17043612.300000001</v>
      </c>
      <c r="AB33" s="131">
        <v>23348965.710000001</v>
      </c>
      <c r="AC33" s="132">
        <f>41619451.81-BX38</f>
        <v>109677448.06</v>
      </c>
      <c r="AD33" s="132">
        <v>50615127.549999997</v>
      </c>
      <c r="AE33" s="132">
        <v>58724023.07</v>
      </c>
      <c r="AF33" s="132">
        <v>41829222.009999998</v>
      </c>
      <c r="AG33" s="132">
        <v>47927697</v>
      </c>
      <c r="AH33" s="132">
        <v>31472733</v>
      </c>
      <c r="AI33" s="132">
        <v>68830255</v>
      </c>
      <c r="AJ33" s="132">
        <v>106468694</v>
      </c>
      <c r="AK33" s="132">
        <v>56788924</v>
      </c>
      <c r="AL33" s="132">
        <v>54650319</v>
      </c>
      <c r="AM33" s="132">
        <v>61097688</v>
      </c>
      <c r="AN33" s="132">
        <v>49492842</v>
      </c>
      <c r="AO33" s="132">
        <v>21864246</v>
      </c>
      <c r="AP33" s="132">
        <v>52347351</v>
      </c>
      <c r="AQ33" s="132">
        <v>49990554</v>
      </c>
      <c r="AR33" s="132">
        <v>42428902</v>
      </c>
      <c r="AS33" s="132">
        <v>74826189</v>
      </c>
      <c r="AT33" s="132">
        <v>38421250</v>
      </c>
      <c r="AU33" s="132">
        <v>34420885</v>
      </c>
      <c r="AV33" s="132">
        <v>101104251</v>
      </c>
      <c r="AW33" s="132">
        <v>53636125</v>
      </c>
      <c r="AX33" s="132">
        <v>38678782</v>
      </c>
      <c r="AY33" s="132">
        <v>45511341</v>
      </c>
      <c r="AZ33" s="132">
        <v>33619379</v>
      </c>
      <c r="BA33" s="132">
        <v>37777967</v>
      </c>
      <c r="BB33" s="132">
        <v>48464991</v>
      </c>
      <c r="BC33" s="132">
        <v>24826641</v>
      </c>
      <c r="BD33" s="132">
        <v>24008933</v>
      </c>
      <c r="BE33" s="132">
        <v>21480215</v>
      </c>
      <c r="BF33" s="132">
        <v>6678810</v>
      </c>
      <c r="BG33" s="132">
        <v>1109066</v>
      </c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3">
        <f t="shared" si="17"/>
        <v>1512119816.4000001</v>
      </c>
      <c r="BV33" s="71" t="s">
        <v>104</v>
      </c>
      <c r="BW33" s="72">
        <f>+G32</f>
        <v>2440719.2799999998</v>
      </c>
      <c r="BX33" s="72">
        <f>+G33</f>
        <v>9079360.6500000004</v>
      </c>
      <c r="BY33" s="138">
        <f t="shared" si="19"/>
        <v>11520079.93</v>
      </c>
      <c r="BZ33" s="132">
        <f t="shared" si="18"/>
        <v>418101909.28999996</v>
      </c>
      <c r="CA33" s="279"/>
      <c r="CB33" s="304"/>
      <c r="CC33" s="305"/>
      <c r="CD33" s="279"/>
    </row>
    <row r="34" spans="2:82" ht="12.75" customHeight="1" x14ac:dyDescent="0.3">
      <c r="B34" s="68" t="s">
        <v>105</v>
      </c>
      <c r="C34" s="69">
        <v>234388157.47679999</v>
      </c>
      <c r="D34" s="129">
        <f t="shared" si="13"/>
        <v>40247270.369999997</v>
      </c>
      <c r="E34" s="129">
        <f t="shared" si="14"/>
        <v>194140887.10679999</v>
      </c>
      <c r="F34" s="129"/>
      <c r="G34" s="129">
        <v>86313.8</v>
      </c>
      <c r="H34" s="129">
        <f t="shared" si="15"/>
        <v>40160956.57</v>
      </c>
      <c r="I34" s="130">
        <f t="shared" si="16"/>
        <v>8.3501154543494036E-2</v>
      </c>
      <c r="J34" s="131">
        <v>1644662.03</v>
      </c>
      <c r="K34" s="131">
        <v>1770000</v>
      </c>
      <c r="L34" s="131"/>
      <c r="M34" s="131">
        <v>885000</v>
      </c>
      <c r="N34" s="131">
        <v>2455806.54</v>
      </c>
      <c r="O34" s="131">
        <v>2360000</v>
      </c>
      <c r="P34" s="131">
        <v>2417857.34</v>
      </c>
      <c r="Q34" s="131">
        <v>2664755.189999999</v>
      </c>
      <c r="R34" s="131">
        <v>4720000.0000000019</v>
      </c>
      <c r="S34" s="131"/>
      <c r="T34" s="131">
        <v>2360000</v>
      </c>
      <c r="U34" s="131">
        <v>2783225.2599999979</v>
      </c>
      <c r="V34" s="131">
        <v>1770000</v>
      </c>
      <c r="W34" s="131">
        <v>2360000</v>
      </c>
      <c r="X34" s="131">
        <v>2862845.2100000009</v>
      </c>
      <c r="Y34" s="131">
        <v>2175899.8199999998</v>
      </c>
      <c r="Z34" s="131">
        <v>2400227.4799999972</v>
      </c>
      <c r="AA34" s="131">
        <v>2341111.15</v>
      </c>
      <c r="AB34" s="131">
        <v>2275880.35</v>
      </c>
      <c r="AC34" s="132">
        <v>2360000</v>
      </c>
      <c r="AD34" s="132">
        <v>2360000</v>
      </c>
      <c r="AE34" s="132">
        <v>2360000</v>
      </c>
      <c r="AF34" s="132">
        <v>2360000</v>
      </c>
      <c r="AG34" s="132">
        <v>2360000</v>
      </c>
      <c r="AH34" s="132">
        <v>5283637</v>
      </c>
      <c r="AI34" s="132">
        <v>7882512</v>
      </c>
      <c r="AJ34" s="132">
        <v>11939062</v>
      </c>
      <c r="AK34" s="132">
        <v>6985612</v>
      </c>
      <c r="AL34" s="132">
        <v>6200881</v>
      </c>
      <c r="AM34" s="132">
        <v>7592628</v>
      </c>
      <c r="AN34" s="132">
        <v>6236782</v>
      </c>
      <c r="AO34" s="132">
        <v>3639125</v>
      </c>
      <c r="AP34" s="132">
        <v>7290190</v>
      </c>
      <c r="AQ34" s="132">
        <v>6279004</v>
      </c>
      <c r="AR34" s="132">
        <v>5444256</v>
      </c>
      <c r="AS34" s="132">
        <v>8864940</v>
      </c>
      <c r="AT34" s="132">
        <v>5190360</v>
      </c>
      <c r="AU34" s="132">
        <v>4655192</v>
      </c>
      <c r="AV34" s="132">
        <v>11491602</v>
      </c>
      <c r="AW34" s="132">
        <v>7210040</v>
      </c>
      <c r="AX34" s="132">
        <v>5296900</v>
      </c>
      <c r="AY34" s="132">
        <v>5662591</v>
      </c>
      <c r="AZ34" s="132">
        <v>3959201</v>
      </c>
      <c r="BA34" s="132">
        <v>3995870</v>
      </c>
      <c r="BB34" s="132">
        <v>5137264</v>
      </c>
      <c r="BC34" s="132">
        <v>2700738</v>
      </c>
      <c r="BD34" s="132">
        <v>2670530</v>
      </c>
      <c r="BE34" s="132">
        <v>2148021</v>
      </c>
      <c r="BF34" s="132">
        <v>667881</v>
      </c>
      <c r="BG34" s="132">
        <v>110907</v>
      </c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2"/>
      <c r="BT34" s="132"/>
      <c r="BU34" s="133">
        <f t="shared" si="17"/>
        <v>158611606.34999999</v>
      </c>
      <c r="BV34" s="71" t="s">
        <v>106</v>
      </c>
      <c r="BW34" s="72">
        <f>+BW32-BW33</f>
        <v>14832260.459999995</v>
      </c>
      <c r="BX34" s="72">
        <f>+BX32-BX33</f>
        <v>81935173.889999986</v>
      </c>
      <c r="BY34" s="138">
        <f t="shared" si="19"/>
        <v>96767434.349999979</v>
      </c>
      <c r="BZ34" s="132">
        <f t="shared" si="18"/>
        <v>54236836.920000002</v>
      </c>
      <c r="CA34" s="279"/>
      <c r="CB34" s="304"/>
      <c r="CC34" s="305"/>
      <c r="CD34" s="279"/>
    </row>
    <row r="35" spans="2:82" ht="12.75" customHeight="1" collapsed="1" x14ac:dyDescent="0.3">
      <c r="B35" s="68" t="s">
        <v>107</v>
      </c>
      <c r="C35" s="69">
        <v>47672168</v>
      </c>
      <c r="D35" s="129">
        <f t="shared" si="13"/>
        <v>8294845.7400000002</v>
      </c>
      <c r="E35" s="129">
        <f t="shared" si="14"/>
        <v>39377322.259999998</v>
      </c>
      <c r="F35" s="129"/>
      <c r="G35" s="129">
        <f>SUM(G36:G41)</f>
        <v>779549.45000000007</v>
      </c>
      <c r="H35" s="129">
        <f t="shared" si="15"/>
        <v>7515296.29</v>
      </c>
      <c r="I35" s="130">
        <f t="shared" si="16"/>
        <v>1.5625522162492588E-2</v>
      </c>
      <c r="J35" s="131"/>
      <c r="K35" s="131"/>
      <c r="L35" s="131"/>
      <c r="M35" s="131"/>
      <c r="N35" s="131"/>
      <c r="O35" s="131"/>
      <c r="P35" s="131">
        <v>147108.54</v>
      </c>
      <c r="Q35" s="131">
        <v>92700.799999999988</v>
      </c>
      <c r="R35" s="131">
        <v>96854.399999999994</v>
      </c>
      <c r="S35" s="131">
        <v>90246.400000000023</v>
      </c>
      <c r="T35" s="131">
        <v>92700.799999999988</v>
      </c>
      <c r="U35" s="131">
        <v>332688.71000000002</v>
      </c>
      <c r="V35" s="131">
        <v>92700.79999999993</v>
      </c>
      <c r="W35" s="131">
        <v>102858.24000000001</v>
      </c>
      <c r="X35" s="131">
        <v>3036943.49</v>
      </c>
      <c r="Y35" s="131">
        <v>2022959.08</v>
      </c>
      <c r="Z35" s="131">
        <v>729930.47000000067</v>
      </c>
      <c r="AA35" s="131">
        <v>731956.76</v>
      </c>
      <c r="AB35" s="131">
        <f>SUM(AB36:AB42)</f>
        <v>725197.25</v>
      </c>
      <c r="AC35" s="132">
        <f>1600000</f>
        <v>1600000</v>
      </c>
      <c r="AD35" s="132">
        <v>1600000</v>
      </c>
      <c r="AE35" s="132">
        <v>1600000</v>
      </c>
      <c r="AF35" s="132">
        <v>1600000</v>
      </c>
      <c r="AG35" s="132">
        <v>1600000</v>
      </c>
      <c r="AH35" s="132">
        <v>755081</v>
      </c>
      <c r="AI35" s="132">
        <v>755081</v>
      </c>
      <c r="AJ35" s="132">
        <v>755081</v>
      </c>
      <c r="AK35" s="132">
        <v>755081</v>
      </c>
      <c r="AL35" s="132">
        <v>755081</v>
      </c>
      <c r="AM35" s="132">
        <v>755081</v>
      </c>
      <c r="AN35" s="132">
        <v>755081</v>
      </c>
      <c r="AO35" s="132">
        <v>755081</v>
      </c>
      <c r="AP35" s="132">
        <v>755081</v>
      </c>
      <c r="AQ35" s="132">
        <v>755081</v>
      </c>
      <c r="AR35" s="132">
        <v>755081</v>
      </c>
      <c r="AS35" s="132">
        <v>755081</v>
      </c>
      <c r="AT35" s="132">
        <v>755081</v>
      </c>
      <c r="AU35" s="132">
        <v>755081</v>
      </c>
      <c r="AV35" s="132">
        <v>755081</v>
      </c>
      <c r="AW35" s="132">
        <v>755081</v>
      </c>
      <c r="AX35" s="132">
        <v>755081</v>
      </c>
      <c r="AY35" s="132">
        <v>755081</v>
      </c>
      <c r="AZ35" s="132">
        <v>755081</v>
      </c>
      <c r="BA35" s="132">
        <v>755081</v>
      </c>
      <c r="BB35" s="132">
        <v>755081</v>
      </c>
      <c r="BC35" s="132">
        <v>755081</v>
      </c>
      <c r="BD35" s="132">
        <v>755081</v>
      </c>
      <c r="BE35" s="132">
        <v>755081</v>
      </c>
      <c r="BF35" s="132">
        <v>755081</v>
      </c>
      <c r="BG35" s="132">
        <v>755081</v>
      </c>
      <c r="BH35" s="132">
        <v>755081</v>
      </c>
      <c r="BI35" s="132">
        <v>755081</v>
      </c>
      <c r="BJ35" s="132">
        <v>755081</v>
      </c>
      <c r="BK35" s="132">
        <v>755081</v>
      </c>
      <c r="BL35" s="132">
        <v>755081</v>
      </c>
      <c r="BM35" s="132">
        <v>50045</v>
      </c>
      <c r="BN35" s="132"/>
      <c r="BO35" s="132"/>
      <c r="BP35" s="132"/>
      <c r="BQ35" s="132"/>
      <c r="BR35" s="132"/>
      <c r="BS35" s="132"/>
      <c r="BT35" s="132"/>
      <c r="BU35" s="133">
        <f t="shared" si="17"/>
        <v>32182753.25</v>
      </c>
      <c r="BV35" s="71" t="s">
        <v>108</v>
      </c>
      <c r="BW35" s="72">
        <f>+F32</f>
        <v>3201292.23</v>
      </c>
      <c r="BX35" s="72">
        <f>+F33</f>
        <v>4044252</v>
      </c>
      <c r="BY35" s="138">
        <f t="shared" si="19"/>
        <v>7245544.2300000004</v>
      </c>
      <c r="BZ35" s="132">
        <f t="shared" si="18"/>
        <v>16240493.539999999</v>
      </c>
      <c r="CA35" s="279"/>
      <c r="CB35" s="304"/>
      <c r="CC35" s="305"/>
      <c r="CD35" s="279"/>
    </row>
    <row r="36" spans="2:82" ht="12.75" hidden="1" customHeight="1" outlineLevel="1" x14ac:dyDescent="0.3">
      <c r="B36" s="73" t="s">
        <v>109</v>
      </c>
      <c r="C36" s="139"/>
      <c r="D36" s="140">
        <f t="shared" si="13"/>
        <v>312900</v>
      </c>
      <c r="E36" s="139"/>
      <c r="F36" s="139"/>
      <c r="G36" s="140">
        <v>52150</v>
      </c>
      <c r="H36" s="140">
        <v>260750</v>
      </c>
      <c r="I36" s="130">
        <f t="shared" si="16"/>
        <v>5.421416197910066E-4</v>
      </c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>
        <v>104300</v>
      </c>
      <c r="Y36" s="141">
        <v>52150</v>
      </c>
      <c r="Z36" s="141">
        <v>52150</v>
      </c>
      <c r="AA36" s="141">
        <v>52150</v>
      </c>
      <c r="AB36" s="141">
        <v>52150</v>
      </c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3">
        <f t="shared" si="17"/>
        <v>52150</v>
      </c>
      <c r="BV36" s="74" t="s">
        <v>106</v>
      </c>
      <c r="BW36" s="75">
        <f>+BW34+BW35</f>
        <v>18033552.689999994</v>
      </c>
      <c r="BX36" s="75">
        <f>+BX34+BX35</f>
        <v>85979425.889999986</v>
      </c>
      <c r="BY36" s="144">
        <f t="shared" si="19"/>
        <v>104012978.57999998</v>
      </c>
      <c r="BZ36" s="142">
        <f t="shared" si="18"/>
        <v>312900</v>
      </c>
      <c r="CD36" s="279">
        <f t="shared" ref="CD36:CD42" si="20">+CB36-CC36</f>
        <v>0</v>
      </c>
    </row>
    <row r="37" spans="2:82" ht="15.75" hidden="1" customHeight="1" outlineLevel="1" x14ac:dyDescent="0.3">
      <c r="B37" s="76" t="s">
        <v>110</v>
      </c>
      <c r="C37" s="145"/>
      <c r="D37" s="146">
        <f t="shared" si="13"/>
        <v>624071.78</v>
      </c>
      <c r="E37" s="145"/>
      <c r="F37" s="145"/>
      <c r="G37" s="146">
        <v>46500</v>
      </c>
      <c r="H37" s="146">
        <v>569970.93000000005</v>
      </c>
      <c r="I37" s="130">
        <f t="shared" si="16"/>
        <v>1.1850621791907438E-3</v>
      </c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>
        <v>191502.06</v>
      </c>
      <c r="V37" s="145"/>
      <c r="W37" s="145">
        <v>8080.64</v>
      </c>
      <c r="X37" s="145">
        <v>207605.89</v>
      </c>
      <c r="Y37" s="145">
        <v>54227.11</v>
      </c>
      <c r="Z37" s="145">
        <v>54302.87</v>
      </c>
      <c r="AA37" s="145">
        <v>54252.36</v>
      </c>
      <c r="AB37" s="145">
        <v>54100.85</v>
      </c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3">
        <f t="shared" si="17"/>
        <v>54100.85</v>
      </c>
      <c r="BV37" s="77" t="s">
        <v>111</v>
      </c>
      <c r="BW37" s="78">
        <v>25745270.969999999</v>
      </c>
      <c r="BX37" s="78">
        <v>154037422.13999999</v>
      </c>
      <c r="BY37" s="148">
        <f t="shared" si="19"/>
        <v>179782693.10999998</v>
      </c>
      <c r="BZ37" s="147">
        <f t="shared" si="18"/>
        <v>624071.78</v>
      </c>
      <c r="CD37" s="279">
        <f t="shared" si="20"/>
        <v>0</v>
      </c>
    </row>
    <row r="38" spans="2:82" ht="12.75" hidden="1" customHeight="1" outlineLevel="1" x14ac:dyDescent="0.3">
      <c r="B38" s="73" t="s">
        <v>112</v>
      </c>
      <c r="C38" s="139"/>
      <c r="D38" s="140">
        <f t="shared" si="13"/>
        <v>3790569</v>
      </c>
      <c r="E38" s="139"/>
      <c r="F38" s="139"/>
      <c r="G38" s="140">
        <v>427200</v>
      </c>
      <c r="H38" s="140">
        <v>3363369</v>
      </c>
      <c r="I38" s="130">
        <f t="shared" si="16"/>
        <v>6.9929906715814304E-3</v>
      </c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>
        <v>52569</v>
      </c>
      <c r="V38" s="141"/>
      <c r="W38" s="141"/>
      <c r="X38" s="141">
        <v>2029200</v>
      </c>
      <c r="Y38" s="141">
        <v>427200</v>
      </c>
      <c r="Z38" s="141">
        <v>427200</v>
      </c>
      <c r="AA38" s="141">
        <v>427200</v>
      </c>
      <c r="AB38" s="141">
        <v>427200</v>
      </c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3">
        <f t="shared" si="17"/>
        <v>427200</v>
      </c>
      <c r="BV38" s="74" t="s">
        <v>576</v>
      </c>
      <c r="BW38" s="75">
        <f>+BW36-BW37</f>
        <v>-7711718.2800000049</v>
      </c>
      <c r="BX38" s="75">
        <f>+BX36-BX37</f>
        <v>-68057996.25</v>
      </c>
      <c r="BY38" s="144">
        <f t="shared" si="19"/>
        <v>-75769714.530000001</v>
      </c>
      <c r="BZ38" s="142">
        <f t="shared" si="18"/>
        <v>3790569</v>
      </c>
      <c r="CD38" s="279">
        <f t="shared" si="20"/>
        <v>0</v>
      </c>
    </row>
    <row r="39" spans="2:82" ht="12.75" hidden="1" customHeight="1" outlineLevel="1" x14ac:dyDescent="0.3">
      <c r="B39" s="76" t="s">
        <v>113</v>
      </c>
      <c r="C39" s="145"/>
      <c r="D39" s="146">
        <f t="shared" si="13"/>
        <v>1113920</v>
      </c>
      <c r="E39" s="145"/>
      <c r="F39" s="145"/>
      <c r="G39" s="146">
        <v>90246.399999999994</v>
      </c>
      <c r="H39" s="146">
        <v>1023673.6</v>
      </c>
      <c r="I39" s="130">
        <f t="shared" si="16"/>
        <v>2.1283837531784889E-3</v>
      </c>
      <c r="J39" s="145"/>
      <c r="K39" s="145"/>
      <c r="L39" s="145"/>
      <c r="M39" s="145"/>
      <c r="N39" s="145"/>
      <c r="O39" s="145"/>
      <c r="P39" s="145">
        <v>92323.199999999997</v>
      </c>
      <c r="Q39" s="145">
        <v>92700.800000000003</v>
      </c>
      <c r="R39" s="145">
        <v>96854.399999999994</v>
      </c>
      <c r="S39" s="145">
        <v>90246.399999999994</v>
      </c>
      <c r="T39" s="145">
        <v>92700.800000000003</v>
      </c>
      <c r="U39" s="145">
        <v>94400</v>
      </c>
      <c r="V39" s="145">
        <v>92700.800000000003</v>
      </c>
      <c r="W39" s="145">
        <v>94777.600000000006</v>
      </c>
      <c r="X39" s="145">
        <v>85337.600000000006</v>
      </c>
      <c r="Y39" s="145"/>
      <c r="Z39" s="145">
        <v>94777.600000000006</v>
      </c>
      <c r="AA39" s="145">
        <v>96854.399999999994</v>
      </c>
      <c r="AB39" s="145">
        <v>90246.399999999994</v>
      </c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3">
        <f t="shared" si="17"/>
        <v>90246.399999999994</v>
      </c>
      <c r="BV39" s="149"/>
      <c r="BW39" s="148"/>
      <c r="BX39" s="148"/>
      <c r="BY39" s="148"/>
      <c r="BZ39" s="147">
        <f t="shared" si="18"/>
        <v>1113920</v>
      </c>
      <c r="CD39" s="279">
        <f t="shared" si="20"/>
        <v>0</v>
      </c>
    </row>
    <row r="40" spans="2:82" ht="15.75" hidden="1" customHeight="1" outlineLevel="1" x14ac:dyDescent="0.3">
      <c r="B40" s="73" t="s">
        <v>114</v>
      </c>
      <c r="C40" s="139"/>
      <c r="D40" s="140">
        <f t="shared" si="13"/>
        <v>1387881.97</v>
      </c>
      <c r="E40" s="139"/>
      <c r="F40" s="139"/>
      <c r="G40" s="140">
        <v>61953.05</v>
      </c>
      <c r="H40" s="140">
        <v>1387881.97</v>
      </c>
      <c r="I40" s="130">
        <f t="shared" si="16"/>
        <v>2.8856321353577497E-3</v>
      </c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>
        <v>1387881.97</v>
      </c>
      <c r="Z40" s="141"/>
      <c r="AA40" s="141"/>
      <c r="AB40" s="141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3">
        <f t="shared" si="17"/>
        <v>0</v>
      </c>
      <c r="BV40" s="150"/>
      <c r="BW40" s="151"/>
      <c r="BX40" s="151"/>
      <c r="BY40" s="151"/>
      <c r="BZ40" s="142">
        <f t="shared" si="18"/>
        <v>1387881.97</v>
      </c>
      <c r="CD40" s="279">
        <f t="shared" si="20"/>
        <v>0</v>
      </c>
    </row>
    <row r="41" spans="2:82" ht="12.75" hidden="1" customHeight="1" outlineLevel="1" x14ac:dyDescent="0.3">
      <c r="B41" s="76" t="s">
        <v>115</v>
      </c>
      <c r="C41" s="145"/>
      <c r="D41" s="146">
        <f t="shared" si="13"/>
        <v>1065502.99</v>
      </c>
      <c r="E41" s="145"/>
      <c r="F41" s="145"/>
      <c r="G41" s="146">
        <v>101500</v>
      </c>
      <c r="H41" s="146">
        <v>964002.99</v>
      </c>
      <c r="I41" s="130">
        <f t="shared" si="16"/>
        <v>2.0043188589912693E-3</v>
      </c>
      <c r="J41" s="145"/>
      <c r="K41" s="145"/>
      <c r="L41" s="145"/>
      <c r="M41" s="145"/>
      <c r="N41" s="145"/>
      <c r="O41" s="145"/>
      <c r="P41" s="145">
        <v>54785.34</v>
      </c>
      <c r="Q41" s="145"/>
      <c r="R41" s="145"/>
      <c r="S41" s="145"/>
      <c r="T41" s="145"/>
      <c r="U41" s="145">
        <v>-5782.35</v>
      </c>
      <c r="V41" s="145"/>
      <c r="W41" s="145"/>
      <c r="X41" s="145">
        <v>610500</v>
      </c>
      <c r="Y41" s="145">
        <v>101500</v>
      </c>
      <c r="Z41" s="145">
        <v>101500</v>
      </c>
      <c r="AA41" s="145">
        <v>101500</v>
      </c>
      <c r="AB41" s="145">
        <v>101500</v>
      </c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3">
        <f t="shared" si="17"/>
        <v>101500</v>
      </c>
      <c r="BV41" s="152"/>
      <c r="BW41" s="152"/>
      <c r="BX41" s="153"/>
      <c r="BY41" s="153"/>
      <c r="BZ41" s="147">
        <f t="shared" si="18"/>
        <v>1065502.99</v>
      </c>
      <c r="CD41" s="279">
        <f t="shared" si="20"/>
        <v>0</v>
      </c>
    </row>
    <row r="42" spans="2:82" ht="12.75" hidden="1" customHeight="1" outlineLevel="1" x14ac:dyDescent="0.3">
      <c r="B42" s="73" t="s">
        <v>116</v>
      </c>
      <c r="C42" s="154"/>
      <c r="D42" s="140">
        <f t="shared" si="13"/>
        <v>0</v>
      </c>
      <c r="E42" s="154"/>
      <c r="F42" s="139"/>
      <c r="G42" s="140"/>
      <c r="H42" s="140"/>
      <c r="I42" s="130">
        <f t="shared" si="16"/>
        <v>0</v>
      </c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3">
        <f t="shared" si="17"/>
        <v>0</v>
      </c>
      <c r="BV42" s="150"/>
      <c r="BW42" s="151"/>
      <c r="BX42" s="151"/>
      <c r="BY42" s="151"/>
      <c r="BZ42" s="142">
        <f t="shared" si="18"/>
        <v>0</v>
      </c>
      <c r="CD42" s="279">
        <f t="shared" si="20"/>
        <v>0</v>
      </c>
    </row>
    <row r="43" spans="2:82" ht="12.75" customHeight="1" x14ac:dyDescent="0.3">
      <c r="B43" s="68" t="s">
        <v>117</v>
      </c>
      <c r="C43" s="69">
        <v>39726806.350000001</v>
      </c>
      <c r="D43" s="129">
        <f t="shared" si="13"/>
        <v>0</v>
      </c>
      <c r="E43" s="129">
        <f>+C43-D43</f>
        <v>39726806.350000001</v>
      </c>
      <c r="F43" s="129"/>
      <c r="G43" s="129"/>
      <c r="H43" s="129">
        <f>+D43+F43-G43</f>
        <v>0</v>
      </c>
      <c r="I43" s="130">
        <f t="shared" si="16"/>
        <v>0</v>
      </c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32"/>
      <c r="BG43" s="132"/>
      <c r="BH43" s="132"/>
      <c r="BI43" s="132"/>
      <c r="BJ43" s="132"/>
      <c r="BK43" s="132"/>
      <c r="BL43" s="132"/>
      <c r="BM43" s="132"/>
      <c r="BN43" s="132"/>
      <c r="BO43" s="132"/>
      <c r="BP43" s="132"/>
      <c r="BQ43" s="132"/>
      <c r="BR43" s="132"/>
      <c r="BS43" s="132"/>
      <c r="BT43" s="132"/>
      <c r="BU43" s="133">
        <f t="shared" si="17"/>
        <v>0</v>
      </c>
      <c r="BV43" s="157"/>
      <c r="BW43" s="134"/>
      <c r="BX43" s="134"/>
      <c r="BY43" s="134"/>
      <c r="BZ43" s="132">
        <f t="shared" si="18"/>
        <v>0</v>
      </c>
    </row>
    <row r="44" spans="2:82" ht="12.75" customHeight="1" thickBot="1" x14ac:dyDescent="0.35">
      <c r="B44" s="68" t="s">
        <v>118</v>
      </c>
      <c r="C44" s="69">
        <v>19264643</v>
      </c>
      <c r="D44" s="129">
        <f t="shared" si="13"/>
        <v>5069643</v>
      </c>
      <c r="E44" s="129">
        <f>+C44-D44</f>
        <v>14195000</v>
      </c>
      <c r="F44" s="129"/>
      <c r="G44" s="129">
        <v>506964.3</v>
      </c>
      <c r="H44" s="129">
        <f>+D44+F44-G44</f>
        <v>4562678.7</v>
      </c>
      <c r="I44" s="130">
        <f t="shared" si="16"/>
        <v>9.4865504161224332E-3</v>
      </c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>
        <v>1013928.6</v>
      </c>
      <c r="U44" s="156">
        <v>506964.29999999987</v>
      </c>
      <c r="V44" s="156">
        <v>506964.3</v>
      </c>
      <c r="W44" s="156">
        <v>506964.3</v>
      </c>
      <c r="X44" s="156">
        <v>506964.29999999981</v>
      </c>
      <c r="Y44" s="156">
        <v>506964.30000000028</v>
      </c>
      <c r="Z44" s="156">
        <v>506964.29999999981</v>
      </c>
      <c r="AA44" s="156">
        <v>506964.3</v>
      </c>
      <c r="AB44" s="156">
        <v>506964.3</v>
      </c>
      <c r="AC44" s="132">
        <v>506964.3</v>
      </c>
      <c r="AD44" s="132">
        <v>506964.3</v>
      </c>
      <c r="AE44" s="132">
        <v>506964.3</v>
      </c>
      <c r="AF44" s="132">
        <v>506964.3</v>
      </c>
      <c r="AG44" s="132">
        <v>506964.3</v>
      </c>
      <c r="AH44" s="132">
        <v>506964.3</v>
      </c>
      <c r="AI44" s="132">
        <v>506964.3</v>
      </c>
      <c r="AJ44" s="132">
        <v>506964.3</v>
      </c>
      <c r="AK44" s="132">
        <v>506964.3</v>
      </c>
      <c r="AL44" s="132">
        <v>506964.3</v>
      </c>
      <c r="AM44" s="132">
        <v>506964.3</v>
      </c>
      <c r="AN44" s="132">
        <v>506964.3</v>
      </c>
      <c r="AO44" s="132">
        <v>506964.3</v>
      </c>
      <c r="AP44" s="132">
        <v>506964.3</v>
      </c>
      <c r="AQ44" s="132">
        <v>506964.3</v>
      </c>
      <c r="AR44" s="132">
        <v>506964.3</v>
      </c>
      <c r="AS44" s="132">
        <v>506964.3</v>
      </c>
      <c r="AT44" s="132">
        <v>506964.3</v>
      </c>
      <c r="AU44" s="132">
        <v>506964.3</v>
      </c>
      <c r="AV44" s="132">
        <v>506964.3</v>
      </c>
      <c r="AW44" s="132">
        <v>506964.3</v>
      </c>
      <c r="AX44" s="132">
        <v>506964.3</v>
      </c>
      <c r="AY44" s="132">
        <v>506964.3</v>
      </c>
      <c r="AZ44" s="132">
        <v>506964.3</v>
      </c>
      <c r="BA44" s="132">
        <v>506964.3</v>
      </c>
      <c r="BB44" s="132">
        <v>506964.3</v>
      </c>
      <c r="BC44" s="132">
        <v>506964.3</v>
      </c>
      <c r="BD44" s="132">
        <v>506964.3</v>
      </c>
      <c r="BE44" s="132"/>
      <c r="BF44" s="132"/>
      <c r="BG44" s="132"/>
      <c r="BH44" s="132"/>
      <c r="BI44" s="132"/>
      <c r="BJ44" s="132"/>
      <c r="BK44" s="132"/>
      <c r="BL44" s="132"/>
      <c r="BM44" s="132"/>
      <c r="BN44" s="132"/>
      <c r="BO44" s="132"/>
      <c r="BP44" s="132"/>
      <c r="BQ44" s="132"/>
      <c r="BR44" s="132"/>
      <c r="BS44" s="132"/>
      <c r="BT44" s="132"/>
      <c r="BU44" s="133">
        <f t="shared" si="17"/>
        <v>14701964.700000007</v>
      </c>
      <c r="BV44" s="157"/>
      <c r="BW44" s="134"/>
      <c r="BX44" s="134"/>
      <c r="BY44" s="134"/>
      <c r="BZ44" s="132">
        <f t="shared" si="18"/>
        <v>7604464.4999999991</v>
      </c>
    </row>
    <row r="45" spans="2:82" s="163" customFormat="1" ht="12.75" customHeight="1" thickBot="1" x14ac:dyDescent="0.35">
      <c r="B45" s="158" t="s">
        <v>119</v>
      </c>
      <c r="C45" s="159">
        <f>+C30+C31+C32+C33+C34+C35+C43+C44</f>
        <v>2622077248.8768001</v>
      </c>
      <c r="D45" s="159">
        <f>+D30+D31+D32+D33+D34+D35+D43+D44</f>
        <v>486337252.80000007</v>
      </c>
      <c r="E45" s="159">
        <f>+E30+E31+E32+E33+E34+E35+E43+E44</f>
        <v>2135739996.0768001</v>
      </c>
      <c r="F45" s="209">
        <v>7518544.2300000004</v>
      </c>
      <c r="G45" s="209">
        <v>12086111.42</v>
      </c>
      <c r="H45" s="159">
        <f>+H30+H31+H32+H33+H34+H35+H43+H44</f>
        <v>480962889.55000001</v>
      </c>
      <c r="I45" s="160">
        <f>IF(H$75=0,0,H45/H$75)</f>
        <v>0.68418825549610252</v>
      </c>
      <c r="J45" s="161">
        <f t="shared" ref="J45:AO45" si="21">+J30+J31+J32+J33+J34+J35+J43+J44</f>
        <v>126015603.09</v>
      </c>
      <c r="K45" s="161">
        <f t="shared" si="21"/>
        <v>2198149.75</v>
      </c>
      <c r="L45" s="161">
        <f t="shared" si="21"/>
        <v>0</v>
      </c>
      <c r="M45" s="161">
        <f t="shared" si="21"/>
        <v>1031320</v>
      </c>
      <c r="N45" s="161">
        <f t="shared" si="21"/>
        <v>2917589.9999999972</v>
      </c>
      <c r="O45" s="161">
        <f t="shared" si="21"/>
        <v>2525543.3800000008</v>
      </c>
      <c r="P45" s="161">
        <f t="shared" si="21"/>
        <v>2966782.2399999993</v>
      </c>
      <c r="Q45" s="161">
        <f t="shared" si="21"/>
        <v>20801532.25</v>
      </c>
      <c r="R45" s="161">
        <f t="shared" si="21"/>
        <v>179565781.03</v>
      </c>
      <c r="S45" s="161">
        <f t="shared" si="21"/>
        <v>-14048060.270000014</v>
      </c>
      <c r="T45" s="161">
        <f t="shared" si="21"/>
        <v>3979170.0299999989</v>
      </c>
      <c r="U45" s="161">
        <f t="shared" si="21"/>
        <v>5240214.3799999971</v>
      </c>
      <c r="V45" s="161">
        <f t="shared" si="21"/>
        <v>19041896.980000027</v>
      </c>
      <c r="W45" s="161">
        <f t="shared" si="21"/>
        <v>5325323.8999999966</v>
      </c>
      <c r="X45" s="161">
        <f t="shared" si="21"/>
        <v>15694905.48</v>
      </c>
      <c r="Y45" s="161">
        <f t="shared" si="21"/>
        <v>30291806.250000004</v>
      </c>
      <c r="Z45" s="161">
        <f t="shared" si="21"/>
        <v>16132863.579999998</v>
      </c>
      <c r="AA45" s="161">
        <f t="shared" si="21"/>
        <v>34323938.389999993</v>
      </c>
      <c r="AB45" s="161">
        <f t="shared" si="21"/>
        <v>32332892.340000004</v>
      </c>
      <c r="AC45" s="162">
        <f t="shared" si="21"/>
        <v>125714966.83</v>
      </c>
      <c r="AD45" s="162">
        <f t="shared" si="21"/>
        <v>82251299.920000002</v>
      </c>
      <c r="AE45" s="162">
        <f t="shared" si="21"/>
        <v>82214850.099999994</v>
      </c>
      <c r="AF45" s="162">
        <f t="shared" si="21"/>
        <v>76481172.569999993</v>
      </c>
      <c r="AG45" s="162">
        <f t="shared" si="21"/>
        <v>74525847.799999997</v>
      </c>
      <c r="AH45" s="162">
        <f t="shared" si="21"/>
        <v>65751774.299999997</v>
      </c>
      <c r="AI45" s="162">
        <f t="shared" si="21"/>
        <v>87969675.299999997</v>
      </c>
      <c r="AJ45" s="162">
        <f t="shared" si="21"/>
        <v>132591724.3</v>
      </c>
      <c r="AK45" s="162">
        <f t="shared" si="21"/>
        <v>78103779.299999997</v>
      </c>
      <c r="AL45" s="162">
        <f t="shared" si="21"/>
        <v>69471737.299999997</v>
      </c>
      <c r="AM45" s="162">
        <f t="shared" si="21"/>
        <v>84780953.299999997</v>
      </c>
      <c r="AN45" s="162">
        <f t="shared" si="21"/>
        <v>69866645.299999997</v>
      </c>
      <c r="AO45" s="162">
        <f t="shared" si="21"/>
        <v>41292421.299999997</v>
      </c>
      <c r="AP45" s="162">
        <f t="shared" ref="AP45:BU45" si="22">+AP30+AP31+AP32+AP33+AP34+AP35+AP43+AP44</f>
        <v>81454131.299999997</v>
      </c>
      <c r="AQ45" s="162">
        <f t="shared" si="22"/>
        <v>70331085.299999997</v>
      </c>
      <c r="AR45" s="162">
        <f t="shared" si="22"/>
        <v>61148861.299999997</v>
      </c>
      <c r="AS45" s="162">
        <f t="shared" si="22"/>
        <v>98776382.299999997</v>
      </c>
      <c r="AT45" s="162">
        <f t="shared" si="22"/>
        <v>58356001.299999997</v>
      </c>
      <c r="AU45" s="162">
        <f t="shared" si="22"/>
        <v>52469156.299999997</v>
      </c>
      <c r="AV45" s="162">
        <f t="shared" si="22"/>
        <v>127669669.3</v>
      </c>
      <c r="AW45" s="162">
        <f t="shared" si="22"/>
        <v>80572489.299999997</v>
      </c>
      <c r="AX45" s="162">
        <f t="shared" si="22"/>
        <v>59527944.299999997</v>
      </c>
      <c r="AY45" s="162">
        <f t="shared" si="22"/>
        <v>63550543.299999997</v>
      </c>
      <c r="AZ45" s="162">
        <f t="shared" si="22"/>
        <v>44813255.299999997</v>
      </c>
      <c r="BA45" s="162">
        <f t="shared" si="22"/>
        <v>45216620.299999997</v>
      </c>
      <c r="BB45" s="162">
        <f t="shared" si="22"/>
        <v>57771951.299999997</v>
      </c>
      <c r="BC45" s="162">
        <f t="shared" si="22"/>
        <v>30970162.300000001</v>
      </c>
      <c r="BD45" s="162">
        <f t="shared" si="22"/>
        <v>30637874.300000001</v>
      </c>
      <c r="BE45" s="162">
        <f t="shared" si="22"/>
        <v>24383317</v>
      </c>
      <c r="BF45" s="162">
        <f t="shared" si="22"/>
        <v>8101772</v>
      </c>
      <c r="BG45" s="162">
        <f t="shared" si="22"/>
        <v>1975054</v>
      </c>
      <c r="BH45" s="162">
        <f t="shared" si="22"/>
        <v>755081</v>
      </c>
      <c r="BI45" s="162">
        <f t="shared" si="22"/>
        <v>755081</v>
      </c>
      <c r="BJ45" s="162">
        <f t="shared" si="22"/>
        <v>755081</v>
      </c>
      <c r="BK45" s="162">
        <f t="shared" si="22"/>
        <v>755081</v>
      </c>
      <c r="BL45" s="162">
        <f t="shared" si="22"/>
        <v>755081</v>
      </c>
      <c r="BM45" s="162">
        <f t="shared" si="22"/>
        <v>50045</v>
      </c>
      <c r="BN45" s="162">
        <f t="shared" si="22"/>
        <v>0</v>
      </c>
      <c r="BO45" s="162">
        <f t="shared" si="22"/>
        <v>0</v>
      </c>
      <c r="BP45" s="162">
        <f t="shared" si="22"/>
        <v>0</v>
      </c>
      <c r="BQ45" s="162">
        <f t="shared" si="22"/>
        <v>0</v>
      </c>
      <c r="BR45" s="162">
        <f t="shared" si="22"/>
        <v>0</v>
      </c>
      <c r="BS45" s="162">
        <f t="shared" si="22"/>
        <v>0</v>
      </c>
      <c r="BT45" s="162">
        <f t="shared" si="22"/>
        <v>0</v>
      </c>
      <c r="BU45" s="162">
        <f t="shared" si="22"/>
        <v>2104901460.46</v>
      </c>
      <c r="BV45" s="162"/>
      <c r="BW45" s="162"/>
      <c r="BX45" s="162"/>
      <c r="BY45" s="162"/>
      <c r="BZ45" s="162">
        <f t="shared" ref="BZ45" si="23">+BZ30+BZ31+BZ32+BZ33+BZ34+BZ35+BZ43+BZ44</f>
        <v>954483919.11000001</v>
      </c>
    </row>
    <row r="46" spans="2:82" ht="12.75" customHeight="1" x14ac:dyDescent="0.3">
      <c r="B46" s="67" t="s">
        <v>120</v>
      </c>
      <c r="C46" s="97"/>
      <c r="D46" s="97"/>
      <c r="E46" s="97"/>
      <c r="F46" s="97"/>
      <c r="G46" s="97"/>
      <c r="H46" s="97"/>
      <c r="I46" s="95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  <c r="BS46" s="128"/>
      <c r="BT46" s="128"/>
      <c r="BU46" s="97"/>
      <c r="BV46" s="97"/>
      <c r="BW46" s="97"/>
      <c r="BX46" s="97"/>
      <c r="BY46" s="97"/>
      <c r="BZ46" s="128"/>
    </row>
    <row r="47" spans="2:82" ht="12.75" customHeight="1" collapsed="1" x14ac:dyDescent="0.3">
      <c r="B47" s="68" t="s">
        <v>121</v>
      </c>
      <c r="C47" s="69">
        <v>187510525.97999999</v>
      </c>
      <c r="D47" s="129">
        <f t="shared" ref="D47:D67" si="24">SUM(J47:AB47)</f>
        <v>26835782.789999999</v>
      </c>
      <c r="E47" s="129">
        <f>+C47-D47</f>
        <v>160674743.19</v>
      </c>
      <c r="F47" s="129"/>
      <c r="G47" s="129"/>
      <c r="H47" s="129">
        <f>+D47+F47-G47</f>
        <v>26835782.789999999</v>
      </c>
      <c r="I47" s="130">
        <f t="shared" ref="I47:I65" si="25">IF(H$68=0,0,H47/H$68)</f>
        <v>0.14905682876118645</v>
      </c>
      <c r="J47" s="156">
        <v>161175.97</v>
      </c>
      <c r="K47" s="156"/>
      <c r="L47" s="156"/>
      <c r="M47" s="156"/>
      <c r="N47" s="156">
        <v>1770000</v>
      </c>
      <c r="O47" s="156">
        <v>1770000</v>
      </c>
      <c r="P47" s="156">
        <v>1770000</v>
      </c>
      <c r="Q47" s="156">
        <v>1770000</v>
      </c>
      <c r="R47" s="156">
        <v>1770000.0000000009</v>
      </c>
      <c r="S47" s="156">
        <v>1769999.9999999979</v>
      </c>
      <c r="T47" s="156">
        <v>1770000</v>
      </c>
      <c r="U47" s="156">
        <v>1770000</v>
      </c>
      <c r="V47" s="156">
        <v>1770000.0000000021</v>
      </c>
      <c r="W47" s="156">
        <v>1769999.9999999979</v>
      </c>
      <c r="X47" s="156">
        <v>1770000</v>
      </c>
      <c r="Y47" s="156">
        <v>1770000</v>
      </c>
      <c r="Z47" s="156">
        <v>1833058.02</v>
      </c>
      <c r="AA47" s="156">
        <v>1818545.2</v>
      </c>
      <c r="AB47" s="156">
        <v>1783003.6</v>
      </c>
      <c r="AC47" s="132">
        <v>1764604</v>
      </c>
      <c r="AD47" s="132">
        <v>1764604</v>
      </c>
      <c r="AE47" s="132">
        <v>3529209</v>
      </c>
      <c r="AF47" s="132">
        <v>3529209</v>
      </c>
      <c r="AG47" s="132">
        <v>3529209</v>
      </c>
      <c r="AH47" s="132">
        <v>4736487</v>
      </c>
      <c r="AI47" s="132">
        <v>6306009</v>
      </c>
      <c r="AJ47" s="132">
        <v>9551249</v>
      </c>
      <c r="AK47" s="132">
        <v>5588490</v>
      </c>
      <c r="AL47" s="132">
        <v>4960705</v>
      </c>
      <c r="AM47" s="132">
        <v>6074102</v>
      </c>
      <c r="AN47" s="132">
        <v>4989425</v>
      </c>
      <c r="AO47" s="132">
        <v>2911300</v>
      </c>
      <c r="AP47" s="132">
        <v>5832152</v>
      </c>
      <c r="AQ47" s="132">
        <v>5023203</v>
      </c>
      <c r="AR47" s="132">
        <v>4355405</v>
      </c>
      <c r="AS47" s="132">
        <v>7091952</v>
      </c>
      <c r="AT47" s="132">
        <v>4152288</v>
      </c>
      <c r="AU47" s="132">
        <v>3724154</v>
      </c>
      <c r="AV47" s="132">
        <v>9193282</v>
      </c>
      <c r="AW47" s="132">
        <v>5768032</v>
      </c>
      <c r="AX47" s="132">
        <v>4237520</v>
      </c>
      <c r="AY47" s="132">
        <v>4530073</v>
      </c>
      <c r="AZ47" s="132">
        <v>3167361</v>
      </c>
      <c r="BA47" s="132">
        <v>3196696</v>
      </c>
      <c r="BB47" s="132">
        <v>4109811</v>
      </c>
      <c r="BC47" s="132">
        <v>2160590</v>
      </c>
      <c r="BD47" s="132">
        <v>2136424</v>
      </c>
      <c r="BE47" s="132">
        <v>1718417</v>
      </c>
      <c r="BF47" s="132">
        <v>577471</v>
      </c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3">
        <f t="shared" ref="BU47:BU65" si="26">SUM(AB47:BT47)</f>
        <v>131992436.59999999</v>
      </c>
      <c r="BV47" s="134"/>
      <c r="BW47" s="134"/>
      <c r="BX47" s="134"/>
      <c r="BY47" s="134"/>
      <c r="BZ47" s="132">
        <f t="shared" ref="BZ47:BZ67" si="27">+H47+AB47+AC47+AD47+AE47+AF47+AG47</f>
        <v>42735621.390000001</v>
      </c>
    </row>
    <row r="48" spans="2:82" ht="12.75" customHeight="1" collapsed="1" x14ac:dyDescent="0.3">
      <c r="B48" s="68" t="s">
        <v>122</v>
      </c>
      <c r="C48" s="69">
        <v>327746152.39999998</v>
      </c>
      <c r="D48" s="129">
        <f t="shared" si="24"/>
        <v>117248320.22999999</v>
      </c>
      <c r="E48" s="129">
        <f>+C48-D48</f>
        <v>210497832.16999999</v>
      </c>
      <c r="F48" s="129"/>
      <c r="G48" s="129">
        <v>4213466.9000000004</v>
      </c>
      <c r="H48" s="129">
        <f>+D48+F48-G48</f>
        <v>113034853.32999998</v>
      </c>
      <c r="I48" s="130">
        <f t="shared" si="25"/>
        <v>0.62784144992908686</v>
      </c>
      <c r="J48" s="156">
        <v>559355.54</v>
      </c>
      <c r="K48" s="156"/>
      <c r="L48" s="156">
        <v>645765.21</v>
      </c>
      <c r="M48" s="156">
        <v>595001.35</v>
      </c>
      <c r="N48" s="156">
        <v>1549872.47</v>
      </c>
      <c r="O48" s="156">
        <v>1423527.61</v>
      </c>
      <c r="P48" s="156">
        <v>1733909.84</v>
      </c>
      <c r="Q48" s="156">
        <v>7890097.2199999988</v>
      </c>
      <c r="R48" s="156">
        <v>16166710.02</v>
      </c>
      <c r="S48" s="156">
        <v>11886550.289999999</v>
      </c>
      <c r="T48" s="156">
        <v>12659941.220000001</v>
      </c>
      <c r="U48" s="156">
        <v>15204797.51</v>
      </c>
      <c r="V48" s="156">
        <v>5614678.3399999999</v>
      </c>
      <c r="W48" s="156">
        <v>5336475.74</v>
      </c>
      <c r="X48" s="156">
        <v>3557189.47</v>
      </c>
      <c r="Y48" s="156">
        <v>9528645.1699999999</v>
      </c>
      <c r="Z48" s="156">
        <v>5807715.1600000001</v>
      </c>
      <c r="AA48" s="156">
        <v>7569317.1100000003</v>
      </c>
      <c r="AB48" s="156">
        <f>SUM(AB49:AB52)</f>
        <v>9518770.959999999</v>
      </c>
      <c r="AC48" s="132">
        <v>10573141</v>
      </c>
      <c r="AD48" s="132">
        <v>10573141</v>
      </c>
      <c r="AE48" s="132">
        <v>10573141</v>
      </c>
      <c r="AF48" s="132">
        <v>10573141</v>
      </c>
      <c r="AG48" s="132">
        <v>10573141</v>
      </c>
      <c r="AH48" s="132">
        <v>10573141</v>
      </c>
      <c r="AI48" s="132">
        <v>10573141</v>
      </c>
      <c r="AJ48" s="132">
        <v>10573141</v>
      </c>
      <c r="AK48" s="132">
        <v>10573141</v>
      </c>
      <c r="AL48" s="132">
        <v>10573141</v>
      </c>
      <c r="AM48" s="132">
        <v>10573141</v>
      </c>
      <c r="AN48" s="132">
        <v>10573141</v>
      </c>
      <c r="AO48" s="132">
        <v>10573141</v>
      </c>
      <c r="AP48" s="132">
        <v>10573141</v>
      </c>
      <c r="AQ48" s="132">
        <v>10573141</v>
      </c>
      <c r="AR48" s="132">
        <v>10573141</v>
      </c>
      <c r="AS48" s="132">
        <v>10573141</v>
      </c>
      <c r="AT48" s="132">
        <v>10573141</v>
      </c>
      <c r="AU48" s="132">
        <v>10573141</v>
      </c>
      <c r="AV48" s="132">
        <v>8809848</v>
      </c>
      <c r="AW48" s="132">
        <v>7634319</v>
      </c>
      <c r="AX48" s="132">
        <v>1756676</v>
      </c>
      <c r="AY48" s="132">
        <v>1756676</v>
      </c>
      <c r="AZ48" s="132">
        <v>1756676</v>
      </c>
      <c r="BA48" s="132">
        <v>1756676</v>
      </c>
      <c r="BB48" s="132">
        <v>1756676</v>
      </c>
      <c r="BC48" s="132">
        <v>1756676</v>
      </c>
      <c r="BD48" s="132">
        <v>1756676</v>
      </c>
      <c r="BE48" s="132">
        <v>1756676</v>
      </c>
      <c r="BF48" s="132">
        <v>1756676</v>
      </c>
      <c r="BG48" s="132">
        <v>1756676</v>
      </c>
      <c r="BH48" s="132">
        <v>1756676</v>
      </c>
      <c r="BI48" s="132">
        <v>1756676</v>
      </c>
      <c r="BJ48" s="132">
        <v>1756676</v>
      </c>
      <c r="BK48" s="132">
        <v>1756676</v>
      </c>
      <c r="BL48" s="132">
        <v>1756676</v>
      </c>
      <c r="BM48" s="132">
        <v>1756676</v>
      </c>
      <c r="BN48" s="132">
        <v>1713916</v>
      </c>
      <c r="BO48" s="132">
        <v>1390836</v>
      </c>
      <c r="BP48" s="132">
        <v>1390836</v>
      </c>
      <c r="BQ48" s="132">
        <v>1390836</v>
      </c>
      <c r="BR48" s="132">
        <v>1145486</v>
      </c>
      <c r="BS48" s="132">
        <v>1123688</v>
      </c>
      <c r="BT48" s="132">
        <v>1123688</v>
      </c>
      <c r="BU48" s="133">
        <f t="shared" si="26"/>
        <v>264238718.96000001</v>
      </c>
      <c r="BV48" s="134"/>
      <c r="BW48" s="134"/>
      <c r="BX48" s="134"/>
      <c r="BY48" s="134"/>
      <c r="BZ48" s="132">
        <f t="shared" si="27"/>
        <v>175419329.28999996</v>
      </c>
    </row>
    <row r="49" spans="2:78" ht="15.75" hidden="1" customHeight="1" outlineLevel="1" x14ac:dyDescent="0.3">
      <c r="B49" s="76" t="s">
        <v>123</v>
      </c>
      <c r="C49" s="164"/>
      <c r="D49" s="146">
        <f t="shared" si="24"/>
        <v>86405574.980000004</v>
      </c>
      <c r="E49" s="165"/>
      <c r="F49" s="210"/>
      <c r="G49" s="146">
        <v>4011222.37</v>
      </c>
      <c r="H49" s="146">
        <v>79374170.459999993</v>
      </c>
      <c r="I49" s="130">
        <f t="shared" si="25"/>
        <v>0.4408763562777907</v>
      </c>
      <c r="J49" s="145"/>
      <c r="K49" s="145"/>
      <c r="L49" s="145"/>
      <c r="M49" s="145"/>
      <c r="N49" s="145"/>
      <c r="O49" s="145"/>
      <c r="P49" s="145"/>
      <c r="Q49" s="145">
        <v>6290641.6899999985</v>
      </c>
      <c r="R49" s="145">
        <v>14391880.130000001</v>
      </c>
      <c r="S49" s="145">
        <v>9799035.4900000002</v>
      </c>
      <c r="T49" s="145">
        <v>10674167.390000001</v>
      </c>
      <c r="U49" s="145">
        <v>12853059.84</v>
      </c>
      <c r="V49" s="145">
        <v>3427746.4</v>
      </c>
      <c r="W49" s="145">
        <v>3349220.38</v>
      </c>
      <c r="X49" s="145">
        <v>1786576.18</v>
      </c>
      <c r="Y49" s="145">
        <v>7825189.7300000004</v>
      </c>
      <c r="Z49" s="145">
        <v>3904479.06</v>
      </c>
      <c r="AA49" s="145">
        <v>5072174.17</v>
      </c>
      <c r="AB49" s="145">
        <v>7031404.5199999996</v>
      </c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  <c r="BI49" s="147"/>
      <c r="BJ49" s="147"/>
      <c r="BK49" s="147"/>
      <c r="BL49" s="147"/>
      <c r="BM49" s="147"/>
      <c r="BN49" s="147"/>
      <c r="BO49" s="147"/>
      <c r="BP49" s="147"/>
      <c r="BQ49" s="147"/>
      <c r="BR49" s="147"/>
      <c r="BS49" s="147"/>
      <c r="BT49" s="147"/>
      <c r="BU49" s="143">
        <f t="shared" si="26"/>
        <v>7031404.5199999996</v>
      </c>
      <c r="BV49" s="153"/>
      <c r="BW49" s="153"/>
      <c r="BX49" s="153"/>
      <c r="BY49" s="153"/>
      <c r="BZ49" s="147">
        <f t="shared" si="27"/>
        <v>86405574.979999989</v>
      </c>
    </row>
    <row r="50" spans="2:78" ht="12.75" hidden="1" customHeight="1" outlineLevel="1" x14ac:dyDescent="0.3">
      <c r="B50" s="73" t="s">
        <v>124</v>
      </c>
      <c r="C50" s="154"/>
      <c r="D50" s="140">
        <f t="shared" si="24"/>
        <v>11539314.4</v>
      </c>
      <c r="E50" s="166"/>
      <c r="F50" s="211"/>
      <c r="G50" s="140"/>
      <c r="H50" s="140">
        <v>10782128.460000001</v>
      </c>
      <c r="I50" s="130">
        <f t="shared" si="25"/>
        <v>5.9888317330628361E-2</v>
      </c>
      <c r="J50" s="141"/>
      <c r="K50" s="141"/>
      <c r="L50" s="141"/>
      <c r="M50" s="141"/>
      <c r="N50" s="141">
        <v>767000</v>
      </c>
      <c r="O50" s="141">
        <v>767000</v>
      </c>
      <c r="P50" s="141">
        <v>767000</v>
      </c>
      <c r="Q50" s="141">
        <v>767000</v>
      </c>
      <c r="R50" s="141">
        <v>767000</v>
      </c>
      <c r="S50" s="141">
        <v>767000</v>
      </c>
      <c r="T50" s="141">
        <v>767000</v>
      </c>
      <c r="U50" s="141">
        <v>767000</v>
      </c>
      <c r="V50" s="141">
        <v>767000</v>
      </c>
      <c r="W50" s="141">
        <v>767000</v>
      </c>
      <c r="X50" s="141">
        <v>767000</v>
      </c>
      <c r="Y50" s="141">
        <v>783295.8</v>
      </c>
      <c r="Z50" s="141">
        <v>770819.66</v>
      </c>
      <c r="AA50" s="141">
        <v>791013</v>
      </c>
      <c r="AB50" s="141">
        <v>757185.94</v>
      </c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3">
        <f t="shared" si="26"/>
        <v>757185.94</v>
      </c>
      <c r="BV50" s="151"/>
      <c r="BW50" s="151"/>
      <c r="BX50" s="151"/>
      <c r="BY50" s="151"/>
      <c r="BZ50" s="142">
        <f t="shared" si="27"/>
        <v>11539314.4</v>
      </c>
    </row>
    <row r="51" spans="2:78" ht="12.75" hidden="1" customHeight="1" outlineLevel="1" x14ac:dyDescent="0.3">
      <c r="B51" s="76" t="s">
        <v>125</v>
      </c>
      <c r="C51" s="164"/>
      <c r="D51" s="146">
        <f t="shared" si="24"/>
        <v>17858976.429999996</v>
      </c>
      <c r="E51" s="165"/>
      <c r="F51" s="210"/>
      <c r="G51" s="146"/>
      <c r="H51" s="146">
        <v>16260806.859999999</v>
      </c>
      <c r="I51" s="130">
        <f t="shared" si="25"/>
        <v>9.0319120653821111E-2</v>
      </c>
      <c r="J51" s="145">
        <v>559355.54</v>
      </c>
      <c r="K51" s="145"/>
      <c r="L51" s="145">
        <v>645765.21</v>
      </c>
      <c r="M51" s="145">
        <v>595001.35</v>
      </c>
      <c r="N51" s="145">
        <v>677173.63</v>
      </c>
      <c r="O51" s="145">
        <v>620535.91</v>
      </c>
      <c r="P51" s="145">
        <v>825710.8</v>
      </c>
      <c r="Q51" s="145">
        <v>832455.53</v>
      </c>
      <c r="R51" s="145">
        <v>941719.5</v>
      </c>
      <c r="S51" s="145">
        <v>1237302.53</v>
      </c>
      <c r="T51" s="145">
        <v>1132936.8999999999</v>
      </c>
      <c r="U51" s="145">
        <v>1276808.69</v>
      </c>
      <c r="V51" s="145">
        <v>1311409.7</v>
      </c>
      <c r="W51" s="145">
        <v>1120340.27</v>
      </c>
      <c r="X51" s="145">
        <v>924788.11</v>
      </c>
      <c r="Y51" s="145">
        <v>905264.29</v>
      </c>
      <c r="Z51" s="145">
        <v>1047302.9</v>
      </c>
      <c r="AA51" s="145">
        <v>1606936</v>
      </c>
      <c r="AB51" s="145">
        <v>1598169.57</v>
      </c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47"/>
      <c r="BP51" s="147"/>
      <c r="BQ51" s="147"/>
      <c r="BR51" s="147"/>
      <c r="BS51" s="147"/>
      <c r="BT51" s="147"/>
      <c r="BU51" s="143">
        <f t="shared" si="26"/>
        <v>1598169.57</v>
      </c>
      <c r="BV51" s="153"/>
      <c r="BW51" s="153"/>
      <c r="BX51" s="153"/>
      <c r="BY51" s="153"/>
      <c r="BZ51" s="147">
        <f t="shared" si="27"/>
        <v>17858976.43</v>
      </c>
    </row>
    <row r="52" spans="2:78" ht="15" hidden="1" customHeight="1" outlineLevel="1" x14ac:dyDescent="0.3">
      <c r="B52" s="73" t="s">
        <v>126</v>
      </c>
      <c r="C52" s="154"/>
      <c r="D52" s="140">
        <f t="shared" si="24"/>
        <v>1444454.42</v>
      </c>
      <c r="E52" s="166"/>
      <c r="F52" s="211"/>
      <c r="G52" s="140">
        <v>202244.53</v>
      </c>
      <c r="H52" s="140">
        <v>1312443.49</v>
      </c>
      <c r="I52" s="130">
        <f t="shared" si="25"/>
        <v>7.2898437909760683E-3</v>
      </c>
      <c r="J52" s="141"/>
      <c r="K52" s="141"/>
      <c r="L52" s="141"/>
      <c r="M52" s="141"/>
      <c r="N52" s="141">
        <v>105698.84</v>
      </c>
      <c r="O52" s="141">
        <v>35991.699999999997</v>
      </c>
      <c r="P52" s="141">
        <v>141199.04000000001</v>
      </c>
      <c r="Q52" s="141"/>
      <c r="R52" s="141">
        <v>66110.39</v>
      </c>
      <c r="S52" s="141">
        <v>83212.27</v>
      </c>
      <c r="T52" s="141">
        <v>85836.930000000008</v>
      </c>
      <c r="U52" s="141">
        <v>307928.98</v>
      </c>
      <c r="V52" s="141">
        <v>108522.24000000001</v>
      </c>
      <c r="W52" s="141">
        <v>99915.090000000011</v>
      </c>
      <c r="X52" s="141">
        <v>78825.180000000008</v>
      </c>
      <c r="Y52" s="141">
        <v>14895.35</v>
      </c>
      <c r="Z52" s="141">
        <v>85113.540000000008</v>
      </c>
      <c r="AA52" s="141">
        <v>99193.94</v>
      </c>
      <c r="AB52" s="141">
        <v>132010.93</v>
      </c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3">
        <f t="shared" si="26"/>
        <v>132010.93</v>
      </c>
      <c r="BV52" s="151"/>
      <c r="BW52" s="151"/>
      <c r="BX52" s="151"/>
      <c r="BY52" s="151"/>
      <c r="BZ52" s="142">
        <f t="shared" si="27"/>
        <v>1444454.42</v>
      </c>
    </row>
    <row r="53" spans="2:78" ht="12.75" customHeight="1" collapsed="1" x14ac:dyDescent="0.3">
      <c r="B53" s="68" t="s">
        <v>127</v>
      </c>
      <c r="C53" s="69">
        <v>81458723.221791998</v>
      </c>
      <c r="D53" s="129">
        <f t="shared" si="24"/>
        <v>6982961.1199999992</v>
      </c>
      <c r="E53" s="129">
        <f>+C53-D53</f>
        <v>74475762.101791993</v>
      </c>
      <c r="F53" s="129"/>
      <c r="G53" s="129">
        <v>293802.58</v>
      </c>
      <c r="H53" s="129">
        <f>+D53+F53-G53</f>
        <v>6689158.5399999991</v>
      </c>
      <c r="I53" s="130">
        <f t="shared" si="25"/>
        <v>3.7154301287039442E-2</v>
      </c>
      <c r="J53" s="156">
        <v>373034.61</v>
      </c>
      <c r="K53" s="156">
        <v>43563.47</v>
      </c>
      <c r="L53" s="156">
        <v>36723.129999999997</v>
      </c>
      <c r="M53" s="156">
        <v>37034.89</v>
      </c>
      <c r="N53" s="156">
        <v>51335.37</v>
      </c>
      <c r="O53" s="156">
        <v>125971.53</v>
      </c>
      <c r="P53" s="156">
        <v>205035.01</v>
      </c>
      <c r="Q53" s="156">
        <v>193826.15</v>
      </c>
      <c r="R53" s="156">
        <v>228402.98</v>
      </c>
      <c r="S53" s="156">
        <v>824240.61999999988</v>
      </c>
      <c r="T53" s="156">
        <v>143558.04999999999</v>
      </c>
      <c r="U53" s="156">
        <v>111569.53</v>
      </c>
      <c r="V53" s="156">
        <v>187644.31</v>
      </c>
      <c r="W53" s="156">
        <v>111272.46</v>
      </c>
      <c r="X53" s="156">
        <v>1296067.68</v>
      </c>
      <c r="Y53" s="156">
        <v>578468.84</v>
      </c>
      <c r="Z53" s="156">
        <v>596002.47</v>
      </c>
      <c r="AA53" s="156">
        <v>770633.69</v>
      </c>
      <c r="AB53" s="156">
        <f>SUM(AB54:AB55)</f>
        <v>1068576.33</v>
      </c>
      <c r="AC53" s="132">
        <v>800000</v>
      </c>
      <c r="AD53" s="132">
        <v>800000</v>
      </c>
      <c r="AE53" s="132">
        <v>800000</v>
      </c>
      <c r="AF53" s="132">
        <v>800000</v>
      </c>
      <c r="AG53" s="132">
        <v>800000</v>
      </c>
      <c r="AH53" s="132">
        <v>1358750</v>
      </c>
      <c r="AI53" s="132">
        <v>1358750</v>
      </c>
      <c r="AJ53" s="132">
        <v>1358750</v>
      </c>
      <c r="AK53" s="132">
        <v>1358750</v>
      </c>
      <c r="AL53" s="132">
        <v>1358750</v>
      </c>
      <c r="AM53" s="132">
        <v>1358750</v>
      </c>
      <c r="AN53" s="132">
        <v>1358750</v>
      </c>
      <c r="AO53" s="132">
        <v>1358750</v>
      </c>
      <c r="AP53" s="132">
        <v>1358750</v>
      </c>
      <c r="AQ53" s="132">
        <v>1358750</v>
      </c>
      <c r="AR53" s="132">
        <v>1358750</v>
      </c>
      <c r="AS53" s="132">
        <v>1358750</v>
      </c>
      <c r="AT53" s="132">
        <v>1358750</v>
      </c>
      <c r="AU53" s="132">
        <v>1358750</v>
      </c>
      <c r="AV53" s="132">
        <v>1358750</v>
      </c>
      <c r="AW53" s="132">
        <v>1358750</v>
      </c>
      <c r="AX53" s="132">
        <v>1358750</v>
      </c>
      <c r="AY53" s="132">
        <v>1358750</v>
      </c>
      <c r="AZ53" s="132">
        <v>1358750</v>
      </c>
      <c r="BA53" s="132">
        <v>1358750</v>
      </c>
      <c r="BB53" s="132">
        <v>1358750</v>
      </c>
      <c r="BC53" s="132">
        <v>1358750</v>
      </c>
      <c r="BD53" s="132">
        <v>1358750</v>
      </c>
      <c r="BE53" s="132">
        <v>1358750</v>
      </c>
      <c r="BF53" s="132">
        <v>1358750</v>
      </c>
      <c r="BG53" s="132">
        <v>1358750</v>
      </c>
      <c r="BH53" s="132">
        <v>1358750</v>
      </c>
      <c r="BI53" s="132">
        <v>1358750</v>
      </c>
      <c r="BJ53" s="132">
        <v>1358750</v>
      </c>
      <c r="BK53" s="132">
        <v>1358750</v>
      </c>
      <c r="BL53" s="132">
        <v>1358750</v>
      </c>
      <c r="BM53" s="132">
        <v>1358750</v>
      </c>
      <c r="BN53" s="132">
        <v>1358750</v>
      </c>
      <c r="BO53" s="132">
        <v>1358750</v>
      </c>
      <c r="BP53" s="132">
        <v>1358750</v>
      </c>
      <c r="BQ53" s="132">
        <v>1358750</v>
      </c>
      <c r="BR53" s="132">
        <v>1358750</v>
      </c>
      <c r="BS53" s="132">
        <v>1358750</v>
      </c>
      <c r="BT53" s="132">
        <v>1358750</v>
      </c>
      <c r="BU53" s="133">
        <f t="shared" si="26"/>
        <v>58059826.329999998</v>
      </c>
      <c r="BV53" s="134"/>
      <c r="BW53" s="134"/>
      <c r="BX53" s="134"/>
      <c r="BY53" s="134"/>
      <c r="BZ53" s="132">
        <f t="shared" si="27"/>
        <v>11757734.869999999</v>
      </c>
    </row>
    <row r="54" spans="2:78" ht="12.75" hidden="1" customHeight="1" outlineLevel="1" x14ac:dyDescent="0.3">
      <c r="B54" s="73" t="s">
        <v>128</v>
      </c>
      <c r="C54" s="154"/>
      <c r="D54" s="140">
        <f t="shared" si="24"/>
        <v>5022538.1199999992</v>
      </c>
      <c r="E54" s="166"/>
      <c r="F54" s="211"/>
      <c r="G54" s="140"/>
      <c r="H54" s="140">
        <v>4247764.37</v>
      </c>
      <c r="I54" s="130">
        <f t="shared" si="25"/>
        <v>2.3593807241311299E-2</v>
      </c>
      <c r="J54" s="141">
        <v>344499.26</v>
      </c>
      <c r="K54" s="141">
        <v>36279.57</v>
      </c>
      <c r="L54" s="141">
        <v>36723.129999999997</v>
      </c>
      <c r="M54" s="141">
        <v>37034.89</v>
      </c>
      <c r="N54" s="141">
        <v>37423.760000000002</v>
      </c>
      <c r="O54" s="141">
        <v>34807.29</v>
      </c>
      <c r="P54" s="141">
        <v>35695</v>
      </c>
      <c r="Q54" s="141">
        <v>35546.730000000003</v>
      </c>
      <c r="R54" s="141">
        <v>36234.199999999997</v>
      </c>
      <c r="S54" s="141">
        <v>627694.68999999994</v>
      </c>
      <c r="T54" s="141">
        <v>37152.89</v>
      </c>
      <c r="U54" s="141">
        <v>37296.32</v>
      </c>
      <c r="V54" s="141">
        <v>113391.16</v>
      </c>
      <c r="W54" s="141">
        <v>37257.67</v>
      </c>
      <c r="X54" s="141">
        <v>1216866.45</v>
      </c>
      <c r="Y54" s="141">
        <v>486278.51</v>
      </c>
      <c r="Z54" s="141">
        <v>498144.27</v>
      </c>
      <c r="AA54" s="141">
        <v>559438.57999999996</v>
      </c>
      <c r="AB54" s="141">
        <v>774773.75</v>
      </c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3">
        <f t="shared" si="26"/>
        <v>774773.75</v>
      </c>
      <c r="BV54" s="151"/>
      <c r="BW54" s="151"/>
      <c r="BX54" s="151"/>
      <c r="BY54" s="151"/>
      <c r="BZ54" s="142">
        <f t="shared" si="27"/>
        <v>5022538.12</v>
      </c>
    </row>
    <row r="55" spans="2:78" ht="12.75" hidden="1" customHeight="1" outlineLevel="1" x14ac:dyDescent="0.3">
      <c r="B55" s="76" t="s">
        <v>129</v>
      </c>
      <c r="C55" s="164"/>
      <c r="D55" s="146">
        <f t="shared" si="24"/>
        <v>1960423</v>
      </c>
      <c r="E55" s="165"/>
      <c r="F55" s="210"/>
      <c r="G55" s="146">
        <v>293802.58</v>
      </c>
      <c r="H55" s="146">
        <v>1666620.42</v>
      </c>
      <c r="I55" s="130">
        <f t="shared" si="25"/>
        <v>9.2570862008321039E-3</v>
      </c>
      <c r="J55" s="145">
        <v>28535.35</v>
      </c>
      <c r="K55" s="145">
        <v>7283.9</v>
      </c>
      <c r="L55" s="145"/>
      <c r="M55" s="145"/>
      <c r="N55" s="145">
        <v>13911.61</v>
      </c>
      <c r="O55" s="145">
        <v>91164.24</v>
      </c>
      <c r="P55" s="145">
        <v>169340.01</v>
      </c>
      <c r="Q55" s="145">
        <v>158279.42000000001</v>
      </c>
      <c r="R55" s="145">
        <v>192168.78</v>
      </c>
      <c r="S55" s="145">
        <v>196545.93</v>
      </c>
      <c r="T55" s="145">
        <v>106405.16</v>
      </c>
      <c r="U55" s="145">
        <v>74273.210000000006</v>
      </c>
      <c r="V55" s="145">
        <v>74253.149999999994</v>
      </c>
      <c r="W55" s="145">
        <v>74014.789999999994</v>
      </c>
      <c r="X55" s="145">
        <v>79201.23</v>
      </c>
      <c r="Y55" s="145">
        <v>92190.33</v>
      </c>
      <c r="Z55" s="145">
        <v>97858.2</v>
      </c>
      <c r="AA55" s="145">
        <v>211195.11</v>
      </c>
      <c r="AB55" s="145">
        <v>293802.58</v>
      </c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3">
        <f t="shared" si="26"/>
        <v>293802.58</v>
      </c>
      <c r="BV55" s="153"/>
      <c r="BW55" s="153"/>
      <c r="BX55" s="153"/>
      <c r="BY55" s="153"/>
      <c r="BZ55" s="147">
        <f t="shared" si="27"/>
        <v>1960423</v>
      </c>
    </row>
    <row r="56" spans="2:78" ht="12.75" customHeight="1" collapsed="1" x14ac:dyDescent="0.3">
      <c r="B56" s="68" t="s">
        <v>130</v>
      </c>
      <c r="C56" s="69">
        <v>69521911.120000005</v>
      </c>
      <c r="D56" s="129">
        <f t="shared" si="24"/>
        <v>34333890.649999991</v>
      </c>
      <c r="E56" s="129">
        <f>+C56-D56</f>
        <v>35188020.470000014</v>
      </c>
      <c r="F56" s="129"/>
      <c r="G56" s="129">
        <v>856426.95</v>
      </c>
      <c r="H56" s="129">
        <f>+D56+F56-G56</f>
        <v>33477463.699999992</v>
      </c>
      <c r="I56" s="130">
        <f t="shared" si="25"/>
        <v>0.18594742002268735</v>
      </c>
      <c r="J56" s="156">
        <v>11066720.34</v>
      </c>
      <c r="K56" s="156">
        <v>915790.08</v>
      </c>
      <c r="L56" s="156">
        <v>1931201.9</v>
      </c>
      <c r="M56" s="156">
        <v>1103623.17</v>
      </c>
      <c r="N56" s="156">
        <v>807731.34</v>
      </c>
      <c r="O56" s="156">
        <v>740040.2</v>
      </c>
      <c r="P56" s="156">
        <v>1412884.71</v>
      </c>
      <c r="Q56" s="156">
        <v>3494146.35</v>
      </c>
      <c r="R56" s="156">
        <v>184710.12999999989</v>
      </c>
      <c r="S56" s="156">
        <v>551935.67999999993</v>
      </c>
      <c r="T56" s="156">
        <v>1245788.3799999999</v>
      </c>
      <c r="U56" s="156">
        <v>949800.34000000008</v>
      </c>
      <c r="V56" s="156">
        <v>984721.38</v>
      </c>
      <c r="W56" s="156">
        <v>938693.31</v>
      </c>
      <c r="X56" s="156">
        <v>882717.03</v>
      </c>
      <c r="Y56" s="156">
        <v>1443186.7</v>
      </c>
      <c r="Z56" s="156">
        <v>1372155.52</v>
      </c>
      <c r="AA56" s="156">
        <v>1943642.56</v>
      </c>
      <c r="AB56" s="156">
        <f>SUM(AB57:AB64)</f>
        <v>2364401.5300000003</v>
      </c>
      <c r="AC56" s="132">
        <v>1600000</v>
      </c>
      <c r="AD56" s="132">
        <v>1600000</v>
      </c>
      <c r="AE56" s="132">
        <v>1600000</v>
      </c>
      <c r="AF56" s="132">
        <v>1600000</v>
      </c>
      <c r="AG56" s="132">
        <v>1600000</v>
      </c>
      <c r="AH56" s="132">
        <v>1170905</v>
      </c>
      <c r="AI56" s="132">
        <v>1170905</v>
      </c>
      <c r="AJ56" s="132">
        <v>1170905</v>
      </c>
      <c r="AK56" s="132">
        <v>1170905</v>
      </c>
      <c r="AL56" s="132">
        <v>1170905</v>
      </c>
      <c r="AM56" s="132">
        <v>1170905</v>
      </c>
      <c r="AN56" s="132">
        <v>1170905</v>
      </c>
      <c r="AO56" s="132">
        <v>1170905</v>
      </c>
      <c r="AP56" s="132">
        <v>1170905</v>
      </c>
      <c r="AQ56" s="132">
        <v>1170905</v>
      </c>
      <c r="AR56" s="132">
        <v>1170905</v>
      </c>
      <c r="AS56" s="132">
        <v>1170905</v>
      </c>
      <c r="AT56" s="132">
        <v>1170905</v>
      </c>
      <c r="AU56" s="132">
        <v>1170905</v>
      </c>
      <c r="AV56" s="132">
        <v>1170905</v>
      </c>
      <c r="AW56" s="132">
        <v>1170905</v>
      </c>
      <c r="AX56" s="132">
        <v>490452</v>
      </c>
      <c r="AY56" s="132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  <c r="BM56" s="132"/>
      <c r="BN56" s="132"/>
      <c r="BO56" s="132"/>
      <c r="BP56" s="132"/>
      <c r="BQ56" s="132"/>
      <c r="BR56" s="132"/>
      <c r="BS56" s="132"/>
      <c r="BT56" s="132"/>
      <c r="BU56" s="133">
        <f t="shared" si="26"/>
        <v>29589333.530000001</v>
      </c>
      <c r="BV56" s="134"/>
      <c r="BW56" s="134"/>
      <c r="BX56" s="134"/>
      <c r="BY56" s="134"/>
      <c r="BZ56" s="132">
        <f t="shared" si="27"/>
        <v>43841865.229999989</v>
      </c>
    </row>
    <row r="57" spans="2:78" ht="15.75" hidden="1" customHeight="1" outlineLevel="1" x14ac:dyDescent="0.3">
      <c r="B57" s="76" t="s">
        <v>131</v>
      </c>
      <c r="C57" s="164"/>
      <c r="D57" s="146">
        <f t="shared" si="24"/>
        <v>5143605.1900000004</v>
      </c>
      <c r="E57" s="165"/>
      <c r="F57" s="210"/>
      <c r="G57" s="146"/>
      <c r="H57" s="146">
        <v>5143605.1899999985</v>
      </c>
      <c r="I57" s="130">
        <f t="shared" si="25"/>
        <v>2.8569670727349773E-2</v>
      </c>
      <c r="J57" s="145">
        <v>5993469.6800000006</v>
      </c>
      <c r="K57" s="145">
        <v>292040.78000000003</v>
      </c>
      <c r="L57" s="145"/>
      <c r="M57" s="145">
        <v>149662.62</v>
      </c>
      <c r="N57" s="145">
        <v>167745.43</v>
      </c>
      <c r="O57" s="145"/>
      <c r="P57" s="145">
        <v>258175.66</v>
      </c>
      <c r="Q57" s="145"/>
      <c r="R57" s="145">
        <v>-1537035.04</v>
      </c>
      <c r="S57" s="145"/>
      <c r="T57" s="145"/>
      <c r="U57" s="145">
        <v>-180453.94</v>
      </c>
      <c r="V57" s="145"/>
      <c r="W57" s="145"/>
      <c r="X57" s="145"/>
      <c r="Y57" s="145"/>
      <c r="Z57" s="145"/>
      <c r="AA57" s="145"/>
      <c r="AB57" s="145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  <c r="BI57" s="147"/>
      <c r="BJ57" s="147"/>
      <c r="BK57" s="147"/>
      <c r="BL57" s="147"/>
      <c r="BM57" s="147"/>
      <c r="BN57" s="147"/>
      <c r="BO57" s="147"/>
      <c r="BP57" s="147"/>
      <c r="BQ57" s="147"/>
      <c r="BR57" s="147"/>
      <c r="BS57" s="147"/>
      <c r="BT57" s="147"/>
      <c r="BU57" s="143">
        <f t="shared" si="26"/>
        <v>0</v>
      </c>
      <c r="BV57" s="153"/>
      <c r="BW57" s="153"/>
      <c r="BX57" s="153"/>
      <c r="BY57" s="153"/>
      <c r="BZ57" s="147">
        <f t="shared" si="27"/>
        <v>5143605.1899999985</v>
      </c>
    </row>
    <row r="58" spans="2:78" ht="12.75" hidden="1" customHeight="1" outlineLevel="1" x14ac:dyDescent="0.3">
      <c r="B58" s="73" t="s">
        <v>132</v>
      </c>
      <c r="C58" s="154"/>
      <c r="D58" s="140">
        <f t="shared" si="24"/>
        <v>11245197.220000001</v>
      </c>
      <c r="E58" s="166"/>
      <c r="F58" s="211"/>
      <c r="G58" s="140">
        <v>-14760.54</v>
      </c>
      <c r="H58" s="140">
        <v>11245197.220000001</v>
      </c>
      <c r="I58" s="130">
        <f t="shared" si="25"/>
        <v>6.2460389157416869E-2</v>
      </c>
      <c r="J58" s="141">
        <v>4481135.66</v>
      </c>
      <c r="K58" s="141">
        <v>57400.509999999987</v>
      </c>
      <c r="L58" s="141">
        <v>1795826.4</v>
      </c>
      <c r="M58" s="141">
        <v>187959.76</v>
      </c>
      <c r="N58" s="141">
        <v>188099.53</v>
      </c>
      <c r="O58" s="141">
        <v>192037.45</v>
      </c>
      <c r="P58" s="141">
        <v>179220.89</v>
      </c>
      <c r="Q58" s="141">
        <v>2902845.21</v>
      </c>
      <c r="R58" s="141">
        <v>1207725.21</v>
      </c>
      <c r="S58" s="141">
        <v>52946.6</v>
      </c>
      <c r="T58" s="141"/>
      <c r="U58" s="141"/>
      <c r="V58" s="141"/>
      <c r="W58" s="141"/>
      <c r="X58" s="141"/>
      <c r="Y58" s="141"/>
      <c r="Z58" s="141"/>
      <c r="AA58" s="141"/>
      <c r="AB58" s="141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3">
        <f t="shared" si="26"/>
        <v>0</v>
      </c>
      <c r="BV58" s="151"/>
      <c r="BW58" s="151"/>
      <c r="BX58" s="151"/>
      <c r="BY58" s="151"/>
      <c r="BZ58" s="142">
        <f t="shared" si="27"/>
        <v>11245197.220000001</v>
      </c>
    </row>
    <row r="59" spans="2:78" ht="12.75" hidden="1" customHeight="1" outlineLevel="1" x14ac:dyDescent="0.3">
      <c r="B59" s="76" t="s">
        <v>133</v>
      </c>
      <c r="C59" s="164"/>
      <c r="D59" s="146">
        <f t="shared" si="24"/>
        <v>4000132.3100000005</v>
      </c>
      <c r="E59" s="165"/>
      <c r="F59" s="210"/>
      <c r="G59" s="146">
        <v>99358.92</v>
      </c>
      <c r="H59" s="146">
        <v>3632136.3</v>
      </c>
      <c r="I59" s="130">
        <f t="shared" si="25"/>
        <v>2.0174359091478897E-2</v>
      </c>
      <c r="J59" s="145"/>
      <c r="K59" s="145"/>
      <c r="L59" s="145"/>
      <c r="M59" s="145">
        <v>74992.789999999994</v>
      </c>
      <c r="N59" s="145">
        <v>52091.040000000001</v>
      </c>
      <c r="O59" s="145">
        <v>129162.79</v>
      </c>
      <c r="P59" s="145">
        <v>186272.04</v>
      </c>
      <c r="Q59" s="145">
        <v>234473.14</v>
      </c>
      <c r="R59" s="145">
        <v>259817.28</v>
      </c>
      <c r="S59" s="145">
        <v>122677.4</v>
      </c>
      <c r="T59" s="145">
        <v>196734.06</v>
      </c>
      <c r="U59" s="145">
        <v>257568.44</v>
      </c>
      <c r="V59" s="145">
        <v>176353.58</v>
      </c>
      <c r="W59" s="145">
        <v>337884.2</v>
      </c>
      <c r="X59" s="145">
        <v>114023.92</v>
      </c>
      <c r="Y59" s="145">
        <v>472859.2</v>
      </c>
      <c r="Z59" s="145">
        <v>366567.64</v>
      </c>
      <c r="AA59" s="145">
        <v>650658.78</v>
      </c>
      <c r="AB59" s="145">
        <v>367996.01</v>
      </c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  <c r="BC59" s="147"/>
      <c r="BD59" s="147"/>
      <c r="BE59" s="147"/>
      <c r="BF59" s="147"/>
      <c r="BG59" s="147"/>
      <c r="BH59" s="147"/>
      <c r="BI59" s="147"/>
      <c r="BJ59" s="147"/>
      <c r="BK59" s="147"/>
      <c r="BL59" s="147"/>
      <c r="BM59" s="147"/>
      <c r="BN59" s="147"/>
      <c r="BO59" s="147"/>
      <c r="BP59" s="147"/>
      <c r="BQ59" s="147"/>
      <c r="BR59" s="147"/>
      <c r="BS59" s="147"/>
      <c r="BT59" s="147"/>
      <c r="BU59" s="143">
        <f t="shared" si="26"/>
        <v>367996.01</v>
      </c>
      <c r="BV59" s="153"/>
      <c r="BW59" s="153"/>
      <c r="BX59" s="153"/>
      <c r="BY59" s="153"/>
      <c r="BZ59" s="147">
        <f t="shared" si="27"/>
        <v>4000132.3099999996</v>
      </c>
    </row>
    <row r="60" spans="2:78" ht="15" hidden="1" customHeight="1" outlineLevel="1" x14ac:dyDescent="0.3">
      <c r="B60" s="73" t="s">
        <v>134</v>
      </c>
      <c r="C60" s="154"/>
      <c r="D60" s="140">
        <f t="shared" si="24"/>
        <v>4772335.49</v>
      </c>
      <c r="E60" s="166"/>
      <c r="F60" s="211"/>
      <c r="G60" s="140">
        <v>299997</v>
      </c>
      <c r="H60" s="140">
        <v>4194472.09</v>
      </c>
      <c r="I60" s="130">
        <f t="shared" si="25"/>
        <v>2.329780028983108E-2</v>
      </c>
      <c r="J60" s="141"/>
      <c r="K60" s="141">
        <v>435604.79</v>
      </c>
      <c r="L60" s="141"/>
      <c r="M60" s="141">
        <v>147972</v>
      </c>
      <c r="N60" s="141">
        <v>149742</v>
      </c>
      <c r="O60" s="141">
        <v>142190</v>
      </c>
      <c r="P60" s="141">
        <v>142190</v>
      </c>
      <c r="Q60" s="141">
        <v>144432</v>
      </c>
      <c r="R60" s="141">
        <v>144698.68</v>
      </c>
      <c r="S60" s="141">
        <v>245567.68</v>
      </c>
      <c r="T60" s="141">
        <v>316570.40000000002</v>
      </c>
      <c r="U60" s="141">
        <v>325416.5</v>
      </c>
      <c r="V60" s="141">
        <v>319751.11</v>
      </c>
      <c r="W60" s="141">
        <v>318842.61</v>
      </c>
      <c r="X60" s="141">
        <v>245440</v>
      </c>
      <c r="Y60" s="141">
        <v>384208</v>
      </c>
      <c r="Z60" s="141">
        <v>328204.02</v>
      </c>
      <c r="AA60" s="141">
        <v>403642.3</v>
      </c>
      <c r="AB60" s="141">
        <v>577863.4</v>
      </c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3">
        <f t="shared" si="26"/>
        <v>577863.4</v>
      </c>
      <c r="BV60" s="151"/>
      <c r="BW60" s="151"/>
      <c r="BX60" s="151"/>
      <c r="BY60" s="151"/>
      <c r="BZ60" s="142">
        <f t="shared" si="27"/>
        <v>4772335.49</v>
      </c>
    </row>
    <row r="61" spans="2:78" ht="15.75" hidden="1" customHeight="1" outlineLevel="1" x14ac:dyDescent="0.3">
      <c r="B61" s="76" t="s">
        <v>135</v>
      </c>
      <c r="C61" s="164"/>
      <c r="D61" s="146">
        <f t="shared" si="24"/>
        <v>3275050.5</v>
      </c>
      <c r="E61" s="165"/>
      <c r="F61" s="210"/>
      <c r="G61" s="146">
        <v>232709.5</v>
      </c>
      <c r="H61" s="146">
        <v>3042341</v>
      </c>
      <c r="I61" s="130">
        <f t="shared" si="25"/>
        <v>1.6898396630305144E-2</v>
      </c>
      <c r="J61" s="145">
        <v>559615</v>
      </c>
      <c r="K61" s="145">
        <v>130744</v>
      </c>
      <c r="L61" s="145">
        <v>130744</v>
      </c>
      <c r="M61" s="145">
        <v>130744</v>
      </c>
      <c r="N61" s="145">
        <v>130744</v>
      </c>
      <c r="O61" s="145">
        <v>109504</v>
      </c>
      <c r="P61" s="145">
        <v>109504</v>
      </c>
      <c r="Q61" s="145">
        <v>88264</v>
      </c>
      <c r="R61" s="145">
        <v>109504</v>
      </c>
      <c r="S61" s="145">
        <v>130744</v>
      </c>
      <c r="T61" s="145">
        <v>70800</v>
      </c>
      <c r="U61" s="145">
        <v>21240</v>
      </c>
      <c r="V61" s="145">
        <v>278729.5</v>
      </c>
      <c r="W61" s="145">
        <v>281966.5</v>
      </c>
      <c r="X61" s="145">
        <v>146325.5</v>
      </c>
      <c r="Y61" s="145">
        <v>190229.5</v>
      </c>
      <c r="Z61" s="145">
        <v>232709.5</v>
      </c>
      <c r="AA61" s="145">
        <v>190229.5</v>
      </c>
      <c r="AB61" s="145">
        <v>232709.5</v>
      </c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7"/>
      <c r="AT61" s="147"/>
      <c r="AU61" s="147"/>
      <c r="AV61" s="147"/>
      <c r="AW61" s="147"/>
      <c r="AX61" s="147"/>
      <c r="AY61" s="147"/>
      <c r="AZ61" s="147"/>
      <c r="BA61" s="147"/>
      <c r="BB61" s="147"/>
      <c r="BC61" s="147"/>
      <c r="BD61" s="147"/>
      <c r="BE61" s="147"/>
      <c r="BF61" s="147"/>
      <c r="BG61" s="147"/>
      <c r="BH61" s="147"/>
      <c r="BI61" s="147"/>
      <c r="BJ61" s="147"/>
      <c r="BK61" s="147"/>
      <c r="BL61" s="147"/>
      <c r="BM61" s="147"/>
      <c r="BN61" s="147"/>
      <c r="BO61" s="147"/>
      <c r="BP61" s="147"/>
      <c r="BQ61" s="147"/>
      <c r="BR61" s="147"/>
      <c r="BS61" s="147"/>
      <c r="BT61" s="147"/>
      <c r="BU61" s="143">
        <f t="shared" si="26"/>
        <v>232709.5</v>
      </c>
      <c r="BV61" s="153"/>
      <c r="BW61" s="153"/>
      <c r="BX61" s="153"/>
      <c r="BY61" s="153"/>
      <c r="BZ61" s="147">
        <f t="shared" si="27"/>
        <v>3275050.5</v>
      </c>
    </row>
    <row r="62" spans="2:78" ht="12.75" hidden="1" customHeight="1" outlineLevel="1" x14ac:dyDescent="0.3">
      <c r="B62" s="73" t="s">
        <v>136</v>
      </c>
      <c r="C62" s="154"/>
      <c r="D62" s="140">
        <f t="shared" si="24"/>
        <v>1777671.1099999999</v>
      </c>
      <c r="E62" s="166"/>
      <c r="F62" s="211"/>
      <c r="G62" s="140"/>
      <c r="H62" s="140">
        <v>1777671.11</v>
      </c>
      <c r="I62" s="130">
        <f t="shared" si="25"/>
        <v>9.8739068023652871E-3</v>
      </c>
      <c r="J62" s="141">
        <v>32500</v>
      </c>
      <c r="K62" s="141"/>
      <c r="L62" s="141">
        <v>4631.5</v>
      </c>
      <c r="M62" s="141">
        <v>826</v>
      </c>
      <c r="N62" s="141">
        <v>138130.34</v>
      </c>
      <c r="O62" s="141">
        <v>167145.96</v>
      </c>
      <c r="P62" s="141">
        <v>537522.12</v>
      </c>
      <c r="Q62" s="141">
        <v>124132</v>
      </c>
      <c r="R62" s="141"/>
      <c r="S62" s="141"/>
      <c r="T62" s="141">
        <v>216162.42</v>
      </c>
      <c r="U62" s="141">
        <v>12555.41</v>
      </c>
      <c r="V62" s="141">
        <v>208600</v>
      </c>
      <c r="W62" s="141"/>
      <c r="X62" s="141"/>
      <c r="Y62" s="141"/>
      <c r="Z62" s="141">
        <v>335465.36</v>
      </c>
      <c r="AA62" s="141"/>
      <c r="AB62" s="141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3">
        <f t="shared" si="26"/>
        <v>0</v>
      </c>
      <c r="BV62" s="151"/>
      <c r="BW62" s="151"/>
      <c r="BX62" s="151"/>
      <c r="BY62" s="151"/>
      <c r="BZ62" s="142">
        <f t="shared" si="27"/>
        <v>1777671.11</v>
      </c>
    </row>
    <row r="63" spans="2:78" ht="12.75" hidden="1" customHeight="1" outlineLevel="1" x14ac:dyDescent="0.3">
      <c r="B63" s="76" t="s">
        <v>137</v>
      </c>
      <c r="C63" s="164"/>
      <c r="D63" s="146">
        <f t="shared" si="24"/>
        <v>3633762.22</v>
      </c>
      <c r="E63" s="165"/>
      <c r="F63" s="210"/>
      <c r="G63" s="146">
        <v>239122.07</v>
      </c>
      <c r="H63" s="146">
        <v>2447929.6</v>
      </c>
      <c r="I63" s="130">
        <f t="shared" si="25"/>
        <v>1.35967944763142E-2</v>
      </c>
      <c r="J63" s="145"/>
      <c r="K63" s="145"/>
      <c r="L63" s="145"/>
      <c r="M63" s="145">
        <v>411466</v>
      </c>
      <c r="N63" s="145">
        <v>-18821</v>
      </c>
      <c r="O63" s="145"/>
      <c r="P63" s="145"/>
      <c r="Q63" s="145"/>
      <c r="R63" s="145"/>
      <c r="S63" s="145"/>
      <c r="T63" s="145">
        <v>445521.5</v>
      </c>
      <c r="U63" s="145">
        <v>513473.93000000011</v>
      </c>
      <c r="V63" s="145">
        <v>1287.1899999999989</v>
      </c>
      <c r="W63" s="145"/>
      <c r="X63" s="145"/>
      <c r="Y63" s="145">
        <v>395890</v>
      </c>
      <c r="Z63" s="145"/>
      <c r="AA63" s="145">
        <v>699111.98</v>
      </c>
      <c r="AB63" s="145">
        <v>1185832.6200000001</v>
      </c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  <c r="AX63" s="147"/>
      <c r="AY63" s="147"/>
      <c r="AZ63" s="147"/>
      <c r="BA63" s="147"/>
      <c r="BB63" s="147"/>
      <c r="BC63" s="147"/>
      <c r="BD63" s="147"/>
      <c r="BE63" s="147"/>
      <c r="BF63" s="147"/>
      <c r="BG63" s="147"/>
      <c r="BH63" s="147"/>
      <c r="BI63" s="147"/>
      <c r="BJ63" s="147"/>
      <c r="BK63" s="147"/>
      <c r="BL63" s="147"/>
      <c r="BM63" s="147"/>
      <c r="BN63" s="147"/>
      <c r="BO63" s="147"/>
      <c r="BP63" s="147"/>
      <c r="BQ63" s="147"/>
      <c r="BR63" s="147"/>
      <c r="BS63" s="147"/>
      <c r="BT63" s="147"/>
      <c r="BU63" s="143">
        <f t="shared" si="26"/>
        <v>1185832.6200000001</v>
      </c>
      <c r="BV63" s="153"/>
      <c r="BW63" s="153"/>
      <c r="BX63" s="153"/>
      <c r="BY63" s="153"/>
      <c r="BZ63" s="147">
        <f t="shared" si="27"/>
        <v>3633762.22</v>
      </c>
    </row>
    <row r="64" spans="2:78" ht="15" hidden="1" customHeight="1" outlineLevel="1" x14ac:dyDescent="0.3">
      <c r="B64" s="73" t="s">
        <v>138</v>
      </c>
      <c r="C64" s="154"/>
      <c r="D64" s="140">
        <f t="shared" si="24"/>
        <v>486136.61</v>
      </c>
      <c r="E64" s="166"/>
      <c r="F64" s="211"/>
      <c r="G64" s="140"/>
      <c r="H64" s="140">
        <v>486136.61</v>
      </c>
      <c r="I64" s="130">
        <f t="shared" si="25"/>
        <v>2.7002000276405459E-3</v>
      </c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>
        <v>376927.61</v>
      </c>
      <c r="Y64" s="141"/>
      <c r="Z64" s="141">
        <v>109209</v>
      </c>
      <c r="AA64" s="141"/>
      <c r="AB64" s="141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3">
        <f t="shared" si="26"/>
        <v>0</v>
      </c>
      <c r="BV64" s="151"/>
      <c r="BW64" s="151"/>
      <c r="BX64" s="151"/>
      <c r="BY64" s="151"/>
      <c r="BZ64" s="142">
        <f t="shared" si="27"/>
        <v>486136.61</v>
      </c>
    </row>
    <row r="65" spans="2:78" ht="12.75" customHeight="1" collapsed="1" thickBot="1" x14ac:dyDescent="0.35">
      <c r="B65" s="68" t="s">
        <v>139</v>
      </c>
      <c r="C65" s="69">
        <v>19863403.18</v>
      </c>
      <c r="D65" s="129">
        <f t="shared" si="24"/>
        <v>0</v>
      </c>
      <c r="E65" s="129">
        <f>+C65-D65</f>
        <v>19863403.18</v>
      </c>
      <c r="F65" s="129"/>
      <c r="G65" s="129"/>
      <c r="H65" s="129">
        <f>+D65+F65-G65</f>
        <v>0</v>
      </c>
      <c r="I65" s="130">
        <f t="shared" si="25"/>
        <v>0</v>
      </c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>
        <v>541413</v>
      </c>
      <c r="AP65" s="132">
        <v>541413</v>
      </c>
      <c r="AQ65" s="132">
        <v>541413</v>
      </c>
      <c r="AR65" s="132">
        <v>541413</v>
      </c>
      <c r="AS65" s="132">
        <v>541413</v>
      </c>
      <c r="AT65" s="132">
        <v>541413</v>
      </c>
      <c r="AU65" s="132">
        <v>541413</v>
      </c>
      <c r="AV65" s="132">
        <v>541413</v>
      </c>
      <c r="AW65" s="132">
        <v>541413</v>
      </c>
      <c r="AX65" s="132">
        <v>541413</v>
      </c>
      <c r="AY65" s="132">
        <v>541413</v>
      </c>
      <c r="AZ65" s="132">
        <v>541413</v>
      </c>
      <c r="BA65" s="132">
        <v>541413</v>
      </c>
      <c r="BB65" s="132">
        <v>541413</v>
      </c>
      <c r="BC65" s="132">
        <v>541413</v>
      </c>
      <c r="BD65" s="132">
        <v>541413</v>
      </c>
      <c r="BE65" s="132">
        <v>541413</v>
      </c>
      <c r="BF65" s="132">
        <v>541413</v>
      </c>
      <c r="BG65" s="132">
        <v>541413</v>
      </c>
      <c r="BH65" s="132">
        <v>541413</v>
      </c>
      <c r="BI65" s="132">
        <v>541413</v>
      </c>
      <c r="BJ65" s="132">
        <v>541413</v>
      </c>
      <c r="BK65" s="132">
        <v>541413</v>
      </c>
      <c r="BL65" s="132">
        <v>541413</v>
      </c>
      <c r="BM65" s="132">
        <v>541413</v>
      </c>
      <c r="BN65" s="132">
        <v>541413</v>
      </c>
      <c r="BO65" s="132">
        <v>541413</v>
      </c>
      <c r="BP65" s="132">
        <v>541413</v>
      </c>
      <c r="BQ65" s="132">
        <v>541413</v>
      </c>
      <c r="BR65" s="132">
        <v>541413</v>
      </c>
      <c r="BS65" s="132">
        <v>541413</v>
      </c>
      <c r="BT65" s="132">
        <v>541413</v>
      </c>
      <c r="BU65" s="133">
        <f t="shared" si="26"/>
        <v>17325216</v>
      </c>
      <c r="BV65" s="134"/>
      <c r="BW65" s="134"/>
      <c r="BX65" s="134"/>
      <c r="BY65" s="134"/>
      <c r="BZ65" s="132">
        <f t="shared" si="27"/>
        <v>0</v>
      </c>
    </row>
    <row r="66" spans="2:78" ht="12.75" hidden="1" customHeight="1" outlineLevel="1" x14ac:dyDescent="0.3">
      <c r="B66" s="73" t="s">
        <v>140</v>
      </c>
      <c r="C66" s="154"/>
      <c r="D66" s="166">
        <f t="shared" si="24"/>
        <v>0</v>
      </c>
      <c r="E66" s="166"/>
      <c r="F66" s="211"/>
      <c r="G66" s="140"/>
      <c r="H66" s="140"/>
      <c r="I66" s="167">
        <f>IF(C66=0,0,D66/C66)</f>
        <v>0</v>
      </c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68"/>
      <c r="BV66" s="151"/>
      <c r="BW66" s="151"/>
      <c r="BX66" s="151"/>
      <c r="BY66" s="151"/>
      <c r="BZ66" s="142">
        <f t="shared" si="27"/>
        <v>0</v>
      </c>
    </row>
    <row r="67" spans="2:78" ht="12.75" hidden="1" customHeight="1" outlineLevel="1" thickBot="1" x14ac:dyDescent="0.35">
      <c r="B67" s="76" t="s">
        <v>141</v>
      </c>
      <c r="C67" s="164"/>
      <c r="D67" s="165">
        <f t="shared" si="24"/>
        <v>0</v>
      </c>
      <c r="E67" s="165"/>
      <c r="F67" s="210"/>
      <c r="G67" s="146"/>
      <c r="H67" s="146"/>
      <c r="I67" s="169">
        <f>IF(C67=0,0,D67/C67)</f>
        <v>0</v>
      </c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  <c r="BA67" s="147"/>
      <c r="BB67" s="147"/>
      <c r="BC67" s="147"/>
      <c r="BD67" s="147"/>
      <c r="BE67" s="147"/>
      <c r="BF67" s="147"/>
      <c r="BG67" s="147"/>
      <c r="BH67" s="147"/>
      <c r="BI67" s="147"/>
      <c r="BJ67" s="147"/>
      <c r="BK67" s="147"/>
      <c r="BL67" s="147"/>
      <c r="BM67" s="147"/>
      <c r="BN67" s="147"/>
      <c r="BO67" s="147"/>
      <c r="BP67" s="147"/>
      <c r="BQ67" s="147"/>
      <c r="BR67" s="147"/>
      <c r="BS67" s="147"/>
      <c r="BT67" s="147"/>
      <c r="BU67" s="168"/>
      <c r="BV67" s="153"/>
      <c r="BW67" s="153"/>
      <c r="BX67" s="153"/>
      <c r="BY67" s="153"/>
      <c r="BZ67" s="147">
        <f t="shared" si="27"/>
        <v>0</v>
      </c>
    </row>
    <row r="68" spans="2:78" ht="15" customHeight="1" thickBot="1" x14ac:dyDescent="0.35">
      <c r="B68" s="158" t="s">
        <v>142</v>
      </c>
      <c r="C68" s="159">
        <f>+C47+C48+C53+C56+C65</f>
        <v>686100715.90179193</v>
      </c>
      <c r="D68" s="159">
        <f>+D47+D48+D53+D56+D65</f>
        <v>185400954.78999996</v>
      </c>
      <c r="E68" s="159">
        <f>+E47+E48+E53+E56+E65</f>
        <v>500699761.11179203</v>
      </c>
      <c r="F68" s="209"/>
      <c r="G68" s="209">
        <v>5363696.43</v>
      </c>
      <c r="H68" s="159">
        <f>+H47+H48+H53+H56+H65</f>
        <v>180037258.35999995</v>
      </c>
      <c r="I68" s="160">
        <f>IF(H$75=0,0,H68/H$75)</f>
        <v>0.25610994194766035</v>
      </c>
      <c r="J68" s="161">
        <f t="shared" ref="J68:AO68" si="28">+J47+J48+J53+J56+J65</f>
        <v>12160286.460000001</v>
      </c>
      <c r="K68" s="161">
        <f t="shared" si="28"/>
        <v>959353.54999999993</v>
      </c>
      <c r="L68" s="161">
        <f t="shared" si="28"/>
        <v>2613690.2399999998</v>
      </c>
      <c r="M68" s="161">
        <f t="shared" si="28"/>
        <v>1735659.41</v>
      </c>
      <c r="N68" s="161">
        <f t="shared" si="28"/>
        <v>4178939.1799999997</v>
      </c>
      <c r="O68" s="161">
        <f t="shared" si="28"/>
        <v>4059539.34</v>
      </c>
      <c r="P68" s="161">
        <f t="shared" si="28"/>
        <v>5121829.5599999996</v>
      </c>
      <c r="Q68" s="161">
        <f t="shared" si="28"/>
        <v>13348069.719999999</v>
      </c>
      <c r="R68" s="161">
        <f t="shared" si="28"/>
        <v>18349823.129999999</v>
      </c>
      <c r="S68" s="161">
        <f t="shared" si="28"/>
        <v>15032726.589999996</v>
      </c>
      <c r="T68" s="161">
        <f t="shared" si="28"/>
        <v>15819287.650000002</v>
      </c>
      <c r="U68" s="161">
        <f t="shared" si="28"/>
        <v>18036167.379999999</v>
      </c>
      <c r="V68" s="161">
        <f t="shared" si="28"/>
        <v>8557044.0300000012</v>
      </c>
      <c r="W68" s="161">
        <f t="shared" si="28"/>
        <v>8156441.5099999979</v>
      </c>
      <c r="X68" s="161">
        <f t="shared" si="28"/>
        <v>7505974.1800000006</v>
      </c>
      <c r="Y68" s="161">
        <f t="shared" si="28"/>
        <v>13320300.709999999</v>
      </c>
      <c r="Z68" s="161">
        <f t="shared" si="28"/>
        <v>9608931.1699999999</v>
      </c>
      <c r="AA68" s="161">
        <f t="shared" si="28"/>
        <v>12102138.560000001</v>
      </c>
      <c r="AB68" s="161">
        <f t="shared" si="28"/>
        <v>14734752.419999998</v>
      </c>
      <c r="AC68" s="162">
        <f t="shared" si="28"/>
        <v>14737745</v>
      </c>
      <c r="AD68" s="162">
        <f t="shared" si="28"/>
        <v>14737745</v>
      </c>
      <c r="AE68" s="162">
        <f t="shared" si="28"/>
        <v>16502350</v>
      </c>
      <c r="AF68" s="162">
        <f t="shared" si="28"/>
        <v>16502350</v>
      </c>
      <c r="AG68" s="162">
        <f t="shared" si="28"/>
        <v>16502350</v>
      </c>
      <c r="AH68" s="162">
        <f t="shared" si="28"/>
        <v>17839283</v>
      </c>
      <c r="AI68" s="162">
        <f t="shared" si="28"/>
        <v>19408805</v>
      </c>
      <c r="AJ68" s="162">
        <f t="shared" si="28"/>
        <v>22654045</v>
      </c>
      <c r="AK68" s="162">
        <f t="shared" si="28"/>
        <v>18691286</v>
      </c>
      <c r="AL68" s="162">
        <f t="shared" si="28"/>
        <v>18063501</v>
      </c>
      <c r="AM68" s="162">
        <f t="shared" si="28"/>
        <v>19176898</v>
      </c>
      <c r="AN68" s="162">
        <f t="shared" si="28"/>
        <v>18092221</v>
      </c>
      <c r="AO68" s="162">
        <f t="shared" si="28"/>
        <v>16555509</v>
      </c>
      <c r="AP68" s="162">
        <f t="shared" ref="AP68:BZ68" si="29">+AP47+AP48+AP53+AP56+AP65</f>
        <v>19476361</v>
      </c>
      <c r="AQ68" s="162">
        <f t="shared" si="29"/>
        <v>18667412</v>
      </c>
      <c r="AR68" s="162">
        <f t="shared" si="29"/>
        <v>17999614</v>
      </c>
      <c r="AS68" s="162">
        <f t="shared" si="29"/>
        <v>20736161</v>
      </c>
      <c r="AT68" s="162">
        <f t="shared" si="29"/>
        <v>17796497</v>
      </c>
      <c r="AU68" s="162">
        <f t="shared" si="29"/>
        <v>17368363</v>
      </c>
      <c r="AV68" s="162">
        <f t="shared" si="29"/>
        <v>21074198</v>
      </c>
      <c r="AW68" s="162">
        <f t="shared" si="29"/>
        <v>16473419</v>
      </c>
      <c r="AX68" s="162">
        <f t="shared" si="29"/>
        <v>8384811</v>
      </c>
      <c r="AY68" s="162">
        <f t="shared" si="29"/>
        <v>8186912</v>
      </c>
      <c r="AZ68" s="162">
        <f t="shared" si="29"/>
        <v>6824200</v>
      </c>
      <c r="BA68" s="162">
        <f t="shared" si="29"/>
        <v>6853535</v>
      </c>
      <c r="BB68" s="162">
        <f t="shared" si="29"/>
        <v>7766650</v>
      </c>
      <c r="BC68" s="162">
        <f t="shared" si="29"/>
        <v>5817429</v>
      </c>
      <c r="BD68" s="162">
        <f t="shared" si="29"/>
        <v>5793263</v>
      </c>
      <c r="BE68" s="162">
        <f t="shared" si="29"/>
        <v>5375256</v>
      </c>
      <c r="BF68" s="162">
        <f t="shared" si="29"/>
        <v>4234310</v>
      </c>
      <c r="BG68" s="162">
        <f t="shared" si="29"/>
        <v>3656839</v>
      </c>
      <c r="BH68" s="162">
        <f t="shared" si="29"/>
        <v>3656839</v>
      </c>
      <c r="BI68" s="162">
        <f t="shared" si="29"/>
        <v>3656839</v>
      </c>
      <c r="BJ68" s="162">
        <f t="shared" si="29"/>
        <v>3656839</v>
      </c>
      <c r="BK68" s="162">
        <f t="shared" si="29"/>
        <v>3656839</v>
      </c>
      <c r="BL68" s="162">
        <f t="shared" si="29"/>
        <v>3656839</v>
      </c>
      <c r="BM68" s="162">
        <f t="shared" si="29"/>
        <v>3656839</v>
      </c>
      <c r="BN68" s="162">
        <f t="shared" si="29"/>
        <v>3614079</v>
      </c>
      <c r="BO68" s="162">
        <f t="shared" si="29"/>
        <v>3290999</v>
      </c>
      <c r="BP68" s="162">
        <f t="shared" si="29"/>
        <v>3290999</v>
      </c>
      <c r="BQ68" s="162">
        <f t="shared" si="29"/>
        <v>3290999</v>
      </c>
      <c r="BR68" s="162">
        <f t="shared" si="29"/>
        <v>3045649</v>
      </c>
      <c r="BS68" s="162">
        <f t="shared" si="29"/>
        <v>3023851</v>
      </c>
      <c r="BT68" s="162">
        <f t="shared" si="29"/>
        <v>3023851</v>
      </c>
      <c r="BU68" s="162">
        <f t="shared" si="29"/>
        <v>501205531.41999996</v>
      </c>
      <c r="BV68" s="162">
        <f t="shared" si="29"/>
        <v>0</v>
      </c>
      <c r="BW68" s="162">
        <f t="shared" si="29"/>
        <v>0</v>
      </c>
      <c r="BX68" s="162">
        <f t="shared" si="29"/>
        <v>0</v>
      </c>
      <c r="BY68" s="162">
        <f t="shared" si="29"/>
        <v>0</v>
      </c>
      <c r="BZ68" s="162">
        <f t="shared" si="29"/>
        <v>273754550.77999997</v>
      </c>
    </row>
    <row r="69" spans="2:78" x14ac:dyDescent="0.3">
      <c r="B69" s="67" t="s">
        <v>143</v>
      </c>
      <c r="C69" s="97"/>
      <c r="D69" s="97"/>
      <c r="E69" s="97"/>
      <c r="F69" s="97"/>
      <c r="G69" s="97"/>
      <c r="H69" s="97"/>
      <c r="I69" s="170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  <c r="BT69" s="128"/>
      <c r="BU69" s="97"/>
      <c r="BV69" s="97"/>
      <c r="BW69" s="97"/>
      <c r="BX69" s="97"/>
      <c r="BY69" s="97"/>
      <c r="BZ69" s="128"/>
    </row>
    <row r="70" spans="2:78" ht="12.75" customHeight="1" collapsed="1" x14ac:dyDescent="0.3">
      <c r="B70" s="68" t="s">
        <v>144</v>
      </c>
      <c r="C70" s="69">
        <v>30500000</v>
      </c>
      <c r="D70" s="129">
        <f>SUM(J70:AB70)</f>
        <v>23156921.939999998</v>
      </c>
      <c r="E70" s="129">
        <f>+C70-D70</f>
        <v>7343078.0600000024</v>
      </c>
      <c r="F70" s="129">
        <v>1691904.63</v>
      </c>
      <c r="G70" s="129">
        <v>311364.64</v>
      </c>
      <c r="H70" s="129">
        <f>+D70+F70-G70</f>
        <v>24537461.929999996</v>
      </c>
      <c r="I70" s="130">
        <f>IF(H$73=0,0,H70/H$73)</f>
        <v>0.5846638497280805</v>
      </c>
      <c r="J70" s="156">
        <v>12715384.369999999</v>
      </c>
      <c r="K70" s="156"/>
      <c r="L70" s="156"/>
      <c r="M70" s="156">
        <v>128745.38000000081</v>
      </c>
      <c r="N70" s="156">
        <v>552632.58000000007</v>
      </c>
      <c r="O70" s="156">
        <v>120006</v>
      </c>
      <c r="P70" s="156">
        <v>535636</v>
      </c>
      <c r="Q70" s="156">
        <v>3007799.9999999981</v>
      </c>
      <c r="R70" s="156">
        <v>223322.53000000119</v>
      </c>
      <c r="S70" s="156">
        <v>-405849.76000000158</v>
      </c>
      <c r="T70" s="156">
        <v>842419.69999999925</v>
      </c>
      <c r="U70" s="156">
        <v>339222.21999999881</v>
      </c>
      <c r="V70" s="156">
        <v>2552697.430000003</v>
      </c>
      <c r="W70" s="156">
        <v>517341.31000000238</v>
      </c>
      <c r="X70" s="156"/>
      <c r="Y70" s="156">
        <v>347884.06999999657</v>
      </c>
      <c r="Z70" s="156">
        <v>1360886.550000001</v>
      </c>
      <c r="AA70" s="156">
        <v>190305.57</v>
      </c>
      <c r="AB70" s="156">
        <f>118333.33+10154.66</f>
        <v>128487.99</v>
      </c>
      <c r="AC70" s="132">
        <v>800000</v>
      </c>
      <c r="AD70" s="132"/>
      <c r="AE70" s="132">
        <v>400000</v>
      </c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2"/>
      <c r="BE70" s="132"/>
      <c r="BF70" s="132"/>
      <c r="BG70" s="132"/>
      <c r="BH70" s="132"/>
      <c r="BI70" s="132"/>
      <c r="BJ70" s="132"/>
      <c r="BK70" s="132"/>
      <c r="BL70" s="132"/>
      <c r="BM70" s="132"/>
      <c r="BN70" s="132"/>
      <c r="BO70" s="132"/>
      <c r="BP70" s="132"/>
      <c r="BQ70" s="132"/>
      <c r="BR70" s="132"/>
      <c r="BS70" s="132"/>
      <c r="BT70" s="132"/>
      <c r="BU70" s="133">
        <f>SUM(AB70:BT70)</f>
        <v>1328487.99</v>
      </c>
      <c r="BV70" s="134"/>
      <c r="BW70" s="134"/>
      <c r="BX70" s="134"/>
      <c r="BY70" s="134"/>
      <c r="BZ70" s="132">
        <f>+H70+AB70+AC70+AD70+AE70+AF70+AG70</f>
        <v>25865949.919999994</v>
      </c>
    </row>
    <row r="71" spans="2:78" ht="12.75" customHeight="1" collapsed="1" x14ac:dyDescent="0.3">
      <c r="B71" s="68" t="s">
        <v>145</v>
      </c>
      <c r="C71" s="69">
        <v>19863403.18</v>
      </c>
      <c r="D71" s="129">
        <f>SUM(J71:AB71)</f>
        <v>0</v>
      </c>
      <c r="E71" s="129">
        <f>+C71-D71</f>
        <v>19863403.18</v>
      </c>
      <c r="F71" s="129"/>
      <c r="G71" s="129"/>
      <c r="H71" s="129">
        <f>+D71+F71-G71</f>
        <v>0</v>
      </c>
      <c r="I71" s="130">
        <f>IF(H$73=0,0,H71/H$73)</f>
        <v>0</v>
      </c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>
        <v>541413</v>
      </c>
      <c r="AP71" s="132">
        <v>541413</v>
      </c>
      <c r="AQ71" s="132">
        <v>541413</v>
      </c>
      <c r="AR71" s="132">
        <v>541413</v>
      </c>
      <c r="AS71" s="132">
        <v>541413</v>
      </c>
      <c r="AT71" s="132">
        <v>541413</v>
      </c>
      <c r="AU71" s="132">
        <v>541413</v>
      </c>
      <c r="AV71" s="132">
        <v>541413</v>
      </c>
      <c r="AW71" s="132">
        <v>541413</v>
      </c>
      <c r="AX71" s="132">
        <v>541413</v>
      </c>
      <c r="AY71" s="132">
        <v>541413</v>
      </c>
      <c r="AZ71" s="132">
        <v>541413</v>
      </c>
      <c r="BA71" s="132">
        <v>541413</v>
      </c>
      <c r="BB71" s="132">
        <v>541413</v>
      </c>
      <c r="BC71" s="132">
        <v>541413</v>
      </c>
      <c r="BD71" s="132">
        <v>541413</v>
      </c>
      <c r="BE71" s="132">
        <v>541413</v>
      </c>
      <c r="BF71" s="132">
        <v>541413</v>
      </c>
      <c r="BG71" s="132">
        <v>541413</v>
      </c>
      <c r="BH71" s="132">
        <v>541413</v>
      </c>
      <c r="BI71" s="132">
        <v>541413</v>
      </c>
      <c r="BJ71" s="132">
        <v>541413</v>
      </c>
      <c r="BK71" s="132">
        <v>541413</v>
      </c>
      <c r="BL71" s="132">
        <v>541413</v>
      </c>
      <c r="BM71" s="132">
        <v>541413</v>
      </c>
      <c r="BN71" s="132">
        <v>541413</v>
      </c>
      <c r="BO71" s="132">
        <v>541413</v>
      </c>
      <c r="BP71" s="132">
        <v>541413</v>
      </c>
      <c r="BQ71" s="132">
        <v>541413</v>
      </c>
      <c r="BR71" s="132">
        <v>541413</v>
      </c>
      <c r="BS71" s="132">
        <v>541413</v>
      </c>
      <c r="BT71" s="132">
        <v>541413</v>
      </c>
      <c r="BU71" s="133">
        <f>SUM(AB71:BT71)</f>
        <v>17325216</v>
      </c>
      <c r="BV71" s="134"/>
      <c r="BW71" s="134"/>
      <c r="BX71" s="134"/>
      <c r="BY71" s="134"/>
      <c r="BZ71" s="132">
        <f>+H71+AB71+AC71+AD71+AE71+AF71+AG71</f>
        <v>0</v>
      </c>
    </row>
    <row r="72" spans="2:78" ht="12.75" customHeight="1" collapsed="1" thickBot="1" x14ac:dyDescent="0.35">
      <c r="B72" s="68" t="s">
        <v>146</v>
      </c>
      <c r="C72" s="69">
        <v>232739209.21000001</v>
      </c>
      <c r="D72" s="129">
        <f>SUM(J72:AB72)</f>
        <v>17431033.199999999</v>
      </c>
      <c r="E72" s="129">
        <f>+C72-D72</f>
        <v>215308176.01000002</v>
      </c>
      <c r="F72" s="129"/>
      <c r="G72" s="129"/>
      <c r="H72" s="129">
        <f>+D72+F72-G72</f>
        <v>17431033.199999999</v>
      </c>
      <c r="I72" s="130">
        <f>IF(H$73=0,0,H72/H$73)</f>
        <v>0.4153361502719195</v>
      </c>
      <c r="J72" s="156"/>
      <c r="K72" s="156"/>
      <c r="L72" s="156"/>
      <c r="M72" s="156"/>
      <c r="N72" s="156"/>
      <c r="O72" s="156"/>
      <c r="P72" s="156"/>
      <c r="Q72" s="156">
        <v>1169797.55</v>
      </c>
      <c r="R72" s="156">
        <v>-1169797.55</v>
      </c>
      <c r="S72" s="156"/>
      <c r="T72" s="156"/>
      <c r="U72" s="156">
        <v>5900</v>
      </c>
      <c r="V72" s="156">
        <v>4408448</v>
      </c>
      <c r="W72" s="156"/>
      <c r="X72" s="156"/>
      <c r="Y72" s="156">
        <v>8473629.6600000001</v>
      </c>
      <c r="Z72" s="156">
        <v>-9722.2200000006706</v>
      </c>
      <c r="AA72" s="156">
        <v>2749999.99</v>
      </c>
      <c r="AB72" s="156">
        <v>1802777.77</v>
      </c>
      <c r="AC72" s="132">
        <f>+'Intereses 06-26'!Z39</f>
        <v>2447916.666666667</v>
      </c>
      <c r="AD72" s="132">
        <f>+'Intereses 06-26'!AA39</f>
        <v>4937500</v>
      </c>
      <c r="AE72" s="132">
        <f>+'Intereses 06-26'!AB39</f>
        <v>6937500</v>
      </c>
      <c r="AF72" s="132">
        <f>+'Intereses 06-26'!AC39</f>
        <v>3718750.0000000009</v>
      </c>
      <c r="AG72" s="132">
        <f>+'Intereses 06-26'!AD39</f>
        <v>4989583.333333334</v>
      </c>
      <c r="AH72" s="132">
        <v>4403333.333333333</v>
      </c>
      <c r="AI72" s="132">
        <v>5623333.333333333</v>
      </c>
      <c r="AJ72" s="132">
        <v>5623333.333333333</v>
      </c>
      <c r="AK72" s="132">
        <v>6843333.333333333</v>
      </c>
      <c r="AL72" s="132">
        <v>7093333.333333333</v>
      </c>
      <c r="AM72" s="132">
        <v>8313333.333333333</v>
      </c>
      <c r="AN72" s="132">
        <v>7946925.1955883326</v>
      </c>
      <c r="AO72" s="132">
        <v>7810515.5663972171</v>
      </c>
      <c r="AP72" s="132">
        <v>7567851.9864762966</v>
      </c>
      <c r="AQ72" s="132">
        <v>7093109.5665653283</v>
      </c>
      <c r="AR72" s="132">
        <v>6537145.7218756834</v>
      </c>
      <c r="AS72" s="132">
        <v>6661326.4630396729</v>
      </c>
      <c r="AT72" s="132">
        <v>5761400.0829124684</v>
      </c>
      <c r="AU72" s="132">
        <v>5179332.0717897527</v>
      </c>
      <c r="AV72" s="132">
        <v>3849727.1635167552</v>
      </c>
      <c r="AW72" s="132">
        <v>3531419.3891150039</v>
      </c>
      <c r="AX72" s="132">
        <v>3531419.3891150039</v>
      </c>
      <c r="AY72" s="132">
        <v>3449257.6590242949</v>
      </c>
      <c r="AZ72" s="132">
        <v>2947499.6039335872</v>
      </c>
      <c r="BA72" s="132">
        <v>2527292.5260921218</v>
      </c>
      <c r="BB72" s="132">
        <v>2159596.2894582362</v>
      </c>
      <c r="BC72" s="132">
        <v>1799282.9188423359</v>
      </c>
      <c r="BD72" s="132">
        <v>1555421.221254488</v>
      </c>
      <c r="BE72" s="132"/>
      <c r="BF72" s="132"/>
      <c r="BG72" s="132"/>
      <c r="BH72" s="132"/>
      <c r="BI72" s="132"/>
      <c r="BJ72" s="132"/>
      <c r="BK72" s="132"/>
      <c r="BL72" s="132"/>
      <c r="BM72" s="132"/>
      <c r="BN72" s="132"/>
      <c r="BO72" s="132"/>
      <c r="BP72" s="132"/>
      <c r="BQ72" s="132"/>
      <c r="BR72" s="132"/>
      <c r="BS72" s="132"/>
      <c r="BT72" s="132"/>
      <c r="BU72" s="133">
        <f>SUM(AB72:BT72)</f>
        <v>142642550.58499664</v>
      </c>
      <c r="BV72" s="134"/>
      <c r="BW72" s="134"/>
      <c r="BX72" s="134"/>
      <c r="BY72" s="134"/>
      <c r="BZ72" s="132">
        <f>+H72+AB72+AC72+AD72+AE72+AF72+AG72</f>
        <v>42265060.970000006</v>
      </c>
    </row>
    <row r="73" spans="2:78" ht="15" customHeight="1" thickBot="1" x14ac:dyDescent="0.35">
      <c r="B73" s="158" t="s">
        <v>147</v>
      </c>
      <c r="C73" s="159">
        <f>+C70+C71+C72</f>
        <v>283102612.38999999</v>
      </c>
      <c r="D73" s="159">
        <f>+D70+D71+D72</f>
        <v>40587955.140000001</v>
      </c>
      <c r="E73" s="159">
        <f>+E70+E71+E72</f>
        <v>242514657.25000003</v>
      </c>
      <c r="F73" s="209">
        <v>1691904.63</v>
      </c>
      <c r="G73" s="209">
        <v>311364.64</v>
      </c>
      <c r="H73" s="159">
        <f>+H70+H71+H72</f>
        <v>41968495.129999995</v>
      </c>
      <c r="I73" s="160">
        <f>IF(H$75=0,0,H73/H$75)</f>
        <v>5.9701802556237103E-2</v>
      </c>
      <c r="J73" s="161">
        <f t="shared" ref="J73:AA73" si="30">+J70+J71+J72</f>
        <v>12715384.369999999</v>
      </c>
      <c r="K73" s="161">
        <f t="shared" si="30"/>
        <v>0</v>
      </c>
      <c r="L73" s="161">
        <f t="shared" si="30"/>
        <v>0</v>
      </c>
      <c r="M73" s="161">
        <f t="shared" si="30"/>
        <v>128745.38000000081</v>
      </c>
      <c r="N73" s="161">
        <f t="shared" si="30"/>
        <v>552632.58000000007</v>
      </c>
      <c r="O73" s="161">
        <f t="shared" si="30"/>
        <v>120006</v>
      </c>
      <c r="P73" s="161">
        <f t="shared" si="30"/>
        <v>535636</v>
      </c>
      <c r="Q73" s="161">
        <f t="shared" si="30"/>
        <v>4177597.549999998</v>
      </c>
      <c r="R73" s="161">
        <f t="shared" si="30"/>
        <v>-946475.01999999885</v>
      </c>
      <c r="S73" s="161">
        <f t="shared" si="30"/>
        <v>-405849.76000000158</v>
      </c>
      <c r="T73" s="161">
        <f t="shared" si="30"/>
        <v>842419.69999999925</v>
      </c>
      <c r="U73" s="161">
        <f t="shared" si="30"/>
        <v>345122.21999999881</v>
      </c>
      <c r="V73" s="161">
        <f t="shared" si="30"/>
        <v>6961145.4300000034</v>
      </c>
      <c r="W73" s="161">
        <f t="shared" si="30"/>
        <v>517341.31000000238</v>
      </c>
      <c r="X73" s="161">
        <f t="shared" si="30"/>
        <v>0</v>
      </c>
      <c r="Y73" s="161">
        <f t="shared" si="30"/>
        <v>8821513.7299999967</v>
      </c>
      <c r="Z73" s="161">
        <f t="shared" si="30"/>
        <v>1351164.3300000003</v>
      </c>
      <c r="AA73" s="161">
        <f t="shared" si="30"/>
        <v>2940305.56</v>
      </c>
      <c r="AB73" s="161">
        <f t="shared" ref="AB73:BG73" si="31">SUM(AB70:AB72)</f>
        <v>1931265.76</v>
      </c>
      <c r="AC73" s="162">
        <f t="shared" si="31"/>
        <v>3247916.666666667</v>
      </c>
      <c r="AD73" s="162">
        <f t="shared" si="31"/>
        <v>4937500</v>
      </c>
      <c r="AE73" s="162">
        <f t="shared" si="31"/>
        <v>7337500</v>
      </c>
      <c r="AF73" s="162">
        <f t="shared" si="31"/>
        <v>3718750.0000000009</v>
      </c>
      <c r="AG73" s="162">
        <f t="shared" si="31"/>
        <v>4989583.333333334</v>
      </c>
      <c r="AH73" s="162">
        <f t="shared" si="31"/>
        <v>4403333.333333333</v>
      </c>
      <c r="AI73" s="162">
        <f t="shared" si="31"/>
        <v>5623333.333333333</v>
      </c>
      <c r="AJ73" s="162">
        <f t="shared" si="31"/>
        <v>5623333.333333333</v>
      </c>
      <c r="AK73" s="162">
        <f t="shared" si="31"/>
        <v>6843333.333333333</v>
      </c>
      <c r="AL73" s="162">
        <f t="shared" si="31"/>
        <v>7093333.333333333</v>
      </c>
      <c r="AM73" s="162">
        <f t="shared" si="31"/>
        <v>8313333.333333333</v>
      </c>
      <c r="AN73" s="162">
        <f t="shared" si="31"/>
        <v>7946925.1955883326</v>
      </c>
      <c r="AO73" s="162">
        <f t="shared" si="31"/>
        <v>8351928.5663972171</v>
      </c>
      <c r="AP73" s="162">
        <f t="shared" si="31"/>
        <v>8109264.9864762966</v>
      </c>
      <c r="AQ73" s="162">
        <f t="shared" si="31"/>
        <v>7634522.5665653283</v>
      </c>
      <c r="AR73" s="162">
        <f t="shared" si="31"/>
        <v>7078558.7218756834</v>
      </c>
      <c r="AS73" s="162">
        <f t="shared" si="31"/>
        <v>7202739.4630396729</v>
      </c>
      <c r="AT73" s="162">
        <f t="shared" si="31"/>
        <v>6302813.0829124684</v>
      </c>
      <c r="AU73" s="162">
        <f t="shared" si="31"/>
        <v>5720745.0717897527</v>
      </c>
      <c r="AV73" s="162">
        <f t="shared" si="31"/>
        <v>4391140.1635167552</v>
      </c>
      <c r="AW73" s="162">
        <f t="shared" si="31"/>
        <v>4072832.3891150039</v>
      </c>
      <c r="AX73" s="162">
        <f t="shared" si="31"/>
        <v>4072832.3891150039</v>
      </c>
      <c r="AY73" s="162">
        <f t="shared" si="31"/>
        <v>3990670.6590242949</v>
      </c>
      <c r="AZ73" s="162">
        <f t="shared" si="31"/>
        <v>3488912.6039335872</v>
      </c>
      <c r="BA73" s="162">
        <f t="shared" si="31"/>
        <v>3068705.5260921218</v>
      </c>
      <c r="BB73" s="162">
        <f t="shared" si="31"/>
        <v>2701009.2894582362</v>
      </c>
      <c r="BC73" s="162">
        <f t="shared" si="31"/>
        <v>2340695.9188423362</v>
      </c>
      <c r="BD73" s="162">
        <f t="shared" si="31"/>
        <v>2096834.221254488</v>
      </c>
      <c r="BE73" s="162">
        <f t="shared" si="31"/>
        <v>541413</v>
      </c>
      <c r="BF73" s="162">
        <f t="shared" si="31"/>
        <v>541413</v>
      </c>
      <c r="BG73" s="162">
        <f t="shared" si="31"/>
        <v>541413</v>
      </c>
      <c r="BH73" s="162">
        <f t="shared" ref="BH73:BZ73" si="32">SUM(BH70:BH72)</f>
        <v>541413</v>
      </c>
      <c r="BI73" s="162">
        <f t="shared" si="32"/>
        <v>541413</v>
      </c>
      <c r="BJ73" s="162">
        <f t="shared" si="32"/>
        <v>541413</v>
      </c>
      <c r="BK73" s="162">
        <f t="shared" si="32"/>
        <v>541413</v>
      </c>
      <c r="BL73" s="162">
        <f t="shared" si="32"/>
        <v>541413</v>
      </c>
      <c r="BM73" s="162">
        <f t="shared" si="32"/>
        <v>541413</v>
      </c>
      <c r="BN73" s="162">
        <f t="shared" si="32"/>
        <v>541413</v>
      </c>
      <c r="BO73" s="162">
        <f t="shared" si="32"/>
        <v>541413</v>
      </c>
      <c r="BP73" s="162">
        <f t="shared" si="32"/>
        <v>541413</v>
      </c>
      <c r="BQ73" s="162">
        <f t="shared" si="32"/>
        <v>541413</v>
      </c>
      <c r="BR73" s="162">
        <f t="shared" si="32"/>
        <v>541413</v>
      </c>
      <c r="BS73" s="162">
        <f t="shared" si="32"/>
        <v>541413</v>
      </c>
      <c r="BT73" s="162">
        <f t="shared" si="32"/>
        <v>541413</v>
      </c>
      <c r="BU73" s="162">
        <f t="shared" si="32"/>
        <v>161296254.57499665</v>
      </c>
      <c r="BV73" s="162">
        <f t="shared" si="32"/>
        <v>0</v>
      </c>
      <c r="BW73" s="162">
        <f t="shared" si="32"/>
        <v>0</v>
      </c>
      <c r="BX73" s="162">
        <f t="shared" si="32"/>
        <v>0</v>
      </c>
      <c r="BY73" s="162">
        <f t="shared" si="32"/>
        <v>0</v>
      </c>
      <c r="BZ73" s="162">
        <f t="shared" si="32"/>
        <v>68131010.890000001</v>
      </c>
    </row>
    <row r="74" spans="2:78" ht="6.6" customHeight="1" x14ac:dyDescent="0.3">
      <c r="B74" s="171"/>
      <c r="C74" s="172"/>
      <c r="D74" s="173"/>
      <c r="E74" s="173"/>
      <c r="F74" s="173"/>
      <c r="G74" s="173"/>
      <c r="H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00"/>
      <c r="BR74" s="100"/>
      <c r="BS74" s="100"/>
      <c r="BT74" s="100"/>
      <c r="BU74" s="100"/>
      <c r="BZ74" s="100"/>
    </row>
    <row r="75" spans="2:78" x14ac:dyDescent="0.3">
      <c r="B75" s="79" t="s">
        <v>148</v>
      </c>
      <c r="C75" s="80">
        <f t="shared" ref="C75:E76" si="33">+C45+C68+C73</f>
        <v>3591280577.168592</v>
      </c>
      <c r="D75" s="80">
        <f t="shared" si="33"/>
        <v>712326162.73000002</v>
      </c>
      <c r="E75" s="80">
        <f t="shared" si="33"/>
        <v>2878954414.438592</v>
      </c>
      <c r="F75" s="212">
        <v>9210448.8599999994</v>
      </c>
      <c r="G75" s="212">
        <v>18627534.91</v>
      </c>
      <c r="H75" s="80">
        <f t="shared" ref="H75:AM75" si="34">+H45+H68+H73</f>
        <v>702968643.03999996</v>
      </c>
      <c r="I75" s="92">
        <f t="shared" si="34"/>
        <v>1</v>
      </c>
      <c r="J75" s="80">
        <f t="shared" si="34"/>
        <v>150891273.92000002</v>
      </c>
      <c r="K75" s="80">
        <f t="shared" si="34"/>
        <v>3157503.3</v>
      </c>
      <c r="L75" s="80">
        <f t="shared" si="34"/>
        <v>2613690.2399999998</v>
      </c>
      <c r="M75" s="80">
        <f t="shared" si="34"/>
        <v>2895724.790000001</v>
      </c>
      <c r="N75" s="80">
        <f t="shared" si="34"/>
        <v>7649161.759999997</v>
      </c>
      <c r="O75" s="80">
        <f t="shared" si="34"/>
        <v>6705088.7200000007</v>
      </c>
      <c r="P75" s="80">
        <f t="shared" si="34"/>
        <v>8624247.7999999989</v>
      </c>
      <c r="Q75" s="80">
        <f t="shared" si="34"/>
        <v>38327199.519999996</v>
      </c>
      <c r="R75" s="80">
        <f t="shared" si="34"/>
        <v>196969129.13999999</v>
      </c>
      <c r="S75" s="80">
        <f t="shared" si="34"/>
        <v>578816.55999998003</v>
      </c>
      <c r="T75" s="80">
        <f t="shared" si="34"/>
        <v>20640877.379999999</v>
      </c>
      <c r="U75" s="80">
        <f t="shared" si="34"/>
        <v>23621503.979999997</v>
      </c>
      <c r="V75" s="80">
        <f t="shared" si="34"/>
        <v>34560086.440000027</v>
      </c>
      <c r="W75" s="80">
        <f t="shared" si="34"/>
        <v>13999106.719999997</v>
      </c>
      <c r="X75" s="80">
        <f t="shared" si="34"/>
        <v>23200879.66</v>
      </c>
      <c r="Y75" s="80">
        <f t="shared" si="34"/>
        <v>52433620.689999998</v>
      </c>
      <c r="Z75" s="80">
        <f t="shared" si="34"/>
        <v>27092959.080000002</v>
      </c>
      <c r="AA75" s="80">
        <f t="shared" si="34"/>
        <v>49366382.509999998</v>
      </c>
      <c r="AB75" s="80">
        <f t="shared" si="34"/>
        <v>48998910.520000003</v>
      </c>
      <c r="AC75" s="89">
        <f t="shared" si="34"/>
        <v>143700628.49666664</v>
      </c>
      <c r="AD75" s="89">
        <f t="shared" si="34"/>
        <v>101926544.92</v>
      </c>
      <c r="AE75" s="89">
        <f t="shared" si="34"/>
        <v>106054700.09999999</v>
      </c>
      <c r="AF75" s="89">
        <f t="shared" si="34"/>
        <v>96702272.569999993</v>
      </c>
      <c r="AG75" s="89">
        <f t="shared" si="34"/>
        <v>96017781.133333325</v>
      </c>
      <c r="AH75" s="89">
        <f t="shared" si="34"/>
        <v>87994390.633333325</v>
      </c>
      <c r="AI75" s="89">
        <f t="shared" si="34"/>
        <v>113001813.63333333</v>
      </c>
      <c r="AJ75" s="89">
        <f t="shared" si="34"/>
        <v>160869102.63333336</v>
      </c>
      <c r="AK75" s="89">
        <f t="shared" si="34"/>
        <v>103638398.63333333</v>
      </c>
      <c r="AL75" s="89">
        <f t="shared" si="34"/>
        <v>94628571.633333325</v>
      </c>
      <c r="AM75" s="89">
        <f t="shared" si="34"/>
        <v>112271184.63333333</v>
      </c>
      <c r="AN75" s="89">
        <f t="shared" ref="AN75:BS75" si="35">+AN45+AN68+AN73</f>
        <v>95905791.495588332</v>
      </c>
      <c r="AO75" s="89">
        <f t="shared" si="35"/>
        <v>66199858.866397217</v>
      </c>
      <c r="AP75" s="89">
        <f t="shared" si="35"/>
        <v>109039757.2864763</v>
      </c>
      <c r="AQ75" s="89">
        <f t="shared" si="35"/>
        <v>96633019.866565332</v>
      </c>
      <c r="AR75" s="89">
        <f t="shared" si="35"/>
        <v>86227034.021875679</v>
      </c>
      <c r="AS75" s="89">
        <f t="shared" si="35"/>
        <v>126715282.76303966</v>
      </c>
      <c r="AT75" s="89">
        <f t="shared" si="35"/>
        <v>82455311.382912472</v>
      </c>
      <c r="AU75" s="89">
        <f t="shared" si="35"/>
        <v>75558264.371789753</v>
      </c>
      <c r="AV75" s="89">
        <f t="shared" si="35"/>
        <v>153135007.46351677</v>
      </c>
      <c r="AW75" s="89">
        <f t="shared" si="35"/>
        <v>101118740.689115</v>
      </c>
      <c r="AX75" s="89">
        <f t="shared" si="35"/>
        <v>71985587.689115003</v>
      </c>
      <c r="AY75" s="89">
        <f t="shared" si="35"/>
        <v>75728125.959024295</v>
      </c>
      <c r="AZ75" s="89">
        <f t="shared" si="35"/>
        <v>55126367.903933585</v>
      </c>
      <c r="BA75" s="89">
        <f t="shared" si="35"/>
        <v>55138860.826092117</v>
      </c>
      <c r="BB75" s="89">
        <f t="shared" si="35"/>
        <v>68239610.589458227</v>
      </c>
      <c r="BC75" s="89">
        <f t="shared" si="35"/>
        <v>39128287.218842335</v>
      </c>
      <c r="BD75" s="89">
        <f t="shared" si="35"/>
        <v>38527971.521254487</v>
      </c>
      <c r="BE75" s="89">
        <f t="shared" si="35"/>
        <v>30299986</v>
      </c>
      <c r="BF75" s="89">
        <f t="shared" si="35"/>
        <v>12877495</v>
      </c>
      <c r="BG75" s="89">
        <f t="shared" si="35"/>
        <v>6173306</v>
      </c>
      <c r="BH75" s="89">
        <f t="shared" si="35"/>
        <v>4953333</v>
      </c>
      <c r="BI75" s="89">
        <f t="shared" si="35"/>
        <v>4953333</v>
      </c>
      <c r="BJ75" s="89">
        <f t="shared" si="35"/>
        <v>4953333</v>
      </c>
      <c r="BK75" s="89">
        <f t="shared" si="35"/>
        <v>4953333</v>
      </c>
      <c r="BL75" s="89">
        <f t="shared" si="35"/>
        <v>4953333</v>
      </c>
      <c r="BM75" s="89">
        <f t="shared" si="35"/>
        <v>4248297</v>
      </c>
      <c r="BN75" s="89">
        <f t="shared" si="35"/>
        <v>4155492</v>
      </c>
      <c r="BO75" s="89">
        <f t="shared" si="35"/>
        <v>3832412</v>
      </c>
      <c r="BP75" s="89">
        <f t="shared" si="35"/>
        <v>3832412</v>
      </c>
      <c r="BQ75" s="89">
        <f t="shared" si="35"/>
        <v>3832412</v>
      </c>
      <c r="BR75" s="89">
        <f t="shared" si="35"/>
        <v>3587062</v>
      </c>
      <c r="BS75" s="89">
        <f t="shared" si="35"/>
        <v>3565264</v>
      </c>
      <c r="BT75" s="89">
        <f t="shared" ref="BT75:BZ75" si="36">+BT45+BT68+BT73</f>
        <v>3565264</v>
      </c>
      <c r="BU75" s="89">
        <f t="shared" si="36"/>
        <v>2767403246.4549966</v>
      </c>
      <c r="BV75" s="89">
        <f t="shared" si="36"/>
        <v>0</v>
      </c>
      <c r="BW75" s="89">
        <f t="shared" si="36"/>
        <v>0</v>
      </c>
      <c r="BX75" s="89">
        <f t="shared" si="36"/>
        <v>0</v>
      </c>
      <c r="BY75" s="89">
        <f t="shared" si="36"/>
        <v>0</v>
      </c>
      <c r="BZ75" s="89">
        <f t="shared" si="36"/>
        <v>1296369480.78</v>
      </c>
    </row>
    <row r="76" spans="2:78" x14ac:dyDescent="0.3">
      <c r="B76" s="79" t="s">
        <v>149</v>
      </c>
      <c r="C76" s="80">
        <f t="shared" si="33"/>
        <v>0</v>
      </c>
      <c r="D76" s="80">
        <f t="shared" si="33"/>
        <v>0</v>
      </c>
      <c r="E76" s="80">
        <f t="shared" si="33"/>
        <v>0</v>
      </c>
      <c r="F76" s="80">
        <f>+F46+F69+F74</f>
        <v>0</v>
      </c>
      <c r="G76" s="80">
        <f>+G46+G69+G74</f>
        <v>0</v>
      </c>
      <c r="H76" s="80">
        <f>+H46+H69+H74</f>
        <v>0</v>
      </c>
      <c r="I76" s="175">
        <f>IF(C76=0,0,D76/C76)</f>
        <v>0</v>
      </c>
      <c r="J76" s="80">
        <f>+J75</f>
        <v>150891273.92000002</v>
      </c>
      <c r="K76" s="80">
        <f t="shared" ref="K76:Z76" si="37">+J76+K75</f>
        <v>154048777.22000003</v>
      </c>
      <c r="L76" s="80">
        <f t="shared" si="37"/>
        <v>156662467.46000004</v>
      </c>
      <c r="M76" s="80">
        <f t="shared" si="37"/>
        <v>159558192.25000003</v>
      </c>
      <c r="N76" s="80">
        <f t="shared" si="37"/>
        <v>167207354.01000002</v>
      </c>
      <c r="O76" s="80">
        <f t="shared" si="37"/>
        <v>173912442.73000002</v>
      </c>
      <c r="P76" s="80">
        <f t="shared" si="37"/>
        <v>182536690.53000003</v>
      </c>
      <c r="Q76" s="80">
        <f t="shared" si="37"/>
        <v>220863890.05000001</v>
      </c>
      <c r="R76" s="80">
        <f t="shared" si="37"/>
        <v>417833019.19</v>
      </c>
      <c r="S76" s="80">
        <f t="shared" si="37"/>
        <v>418411835.75</v>
      </c>
      <c r="T76" s="80">
        <f t="shared" si="37"/>
        <v>439052713.13</v>
      </c>
      <c r="U76" s="80">
        <f t="shared" si="37"/>
        <v>462674217.11000001</v>
      </c>
      <c r="V76" s="80">
        <f t="shared" si="37"/>
        <v>497234303.55000007</v>
      </c>
      <c r="W76" s="80">
        <f t="shared" si="37"/>
        <v>511233410.27000004</v>
      </c>
      <c r="X76" s="80">
        <f t="shared" si="37"/>
        <v>534434289.93000007</v>
      </c>
      <c r="Y76" s="80">
        <f t="shared" si="37"/>
        <v>586867910.62000012</v>
      </c>
      <c r="Z76" s="80">
        <f t="shared" si="37"/>
        <v>613960869.70000017</v>
      </c>
      <c r="AA76" s="80">
        <f>+Z76+AA75-G75+F75</f>
        <v>653910166.16000021</v>
      </c>
      <c r="AB76" s="80">
        <f t="shared" ref="AB76:BG76" si="38">+AA76+AB75</f>
        <v>702909076.68000019</v>
      </c>
      <c r="AC76" s="89">
        <f t="shared" si="38"/>
        <v>846609705.17666686</v>
      </c>
      <c r="AD76" s="89">
        <f t="shared" si="38"/>
        <v>948536250.09666681</v>
      </c>
      <c r="AE76" s="89">
        <f t="shared" si="38"/>
        <v>1054590950.1966668</v>
      </c>
      <c r="AF76" s="89">
        <f t="shared" si="38"/>
        <v>1151293222.7666669</v>
      </c>
      <c r="AG76" s="89">
        <f t="shared" si="38"/>
        <v>1247311003.9000001</v>
      </c>
      <c r="AH76" s="89">
        <f t="shared" si="38"/>
        <v>1335305394.5333333</v>
      </c>
      <c r="AI76" s="89">
        <f t="shared" si="38"/>
        <v>1448307208.1666665</v>
      </c>
      <c r="AJ76" s="89">
        <f t="shared" si="38"/>
        <v>1609176310.8</v>
      </c>
      <c r="AK76" s="89">
        <f t="shared" si="38"/>
        <v>1712814709.4333334</v>
      </c>
      <c r="AL76" s="89">
        <f t="shared" si="38"/>
        <v>1807443281.0666666</v>
      </c>
      <c r="AM76" s="89">
        <f t="shared" si="38"/>
        <v>1919714465.6999998</v>
      </c>
      <c r="AN76" s="89">
        <f t="shared" si="38"/>
        <v>2015620257.1955881</v>
      </c>
      <c r="AO76" s="89">
        <f t="shared" si="38"/>
        <v>2081820116.0619853</v>
      </c>
      <c r="AP76" s="89">
        <f t="shared" si="38"/>
        <v>2190859873.3484616</v>
      </c>
      <c r="AQ76" s="89">
        <f t="shared" si="38"/>
        <v>2287492893.2150269</v>
      </c>
      <c r="AR76" s="89">
        <f t="shared" si="38"/>
        <v>2373719927.2369027</v>
      </c>
      <c r="AS76" s="89">
        <f t="shared" si="38"/>
        <v>2500435209.9999423</v>
      </c>
      <c r="AT76" s="89">
        <f t="shared" si="38"/>
        <v>2582890521.3828549</v>
      </c>
      <c r="AU76" s="89">
        <f t="shared" si="38"/>
        <v>2658448785.7546449</v>
      </c>
      <c r="AV76" s="89">
        <f t="shared" si="38"/>
        <v>2811583793.2181616</v>
      </c>
      <c r="AW76" s="89">
        <f t="shared" si="38"/>
        <v>2912702533.9072766</v>
      </c>
      <c r="AX76" s="89">
        <f t="shared" si="38"/>
        <v>2984688121.5963917</v>
      </c>
      <c r="AY76" s="89">
        <f t="shared" si="38"/>
        <v>3060416247.5554161</v>
      </c>
      <c r="AZ76" s="89">
        <f t="shared" si="38"/>
        <v>3115542615.4593496</v>
      </c>
      <c r="BA76" s="89">
        <f t="shared" si="38"/>
        <v>3170681476.2854419</v>
      </c>
      <c r="BB76" s="89">
        <f t="shared" si="38"/>
        <v>3238921086.8748999</v>
      </c>
      <c r="BC76" s="89">
        <f t="shared" si="38"/>
        <v>3278049374.0937424</v>
      </c>
      <c r="BD76" s="89">
        <f t="shared" si="38"/>
        <v>3316577345.6149969</v>
      </c>
      <c r="BE76" s="89">
        <f t="shared" si="38"/>
        <v>3346877331.6149969</v>
      </c>
      <c r="BF76" s="89">
        <f t="shared" si="38"/>
        <v>3359754826.6149969</v>
      </c>
      <c r="BG76" s="89">
        <f t="shared" si="38"/>
        <v>3365928132.6149969</v>
      </c>
      <c r="BH76" s="89">
        <f t="shared" ref="BH76:BY76" si="39">+BG76+BH75</f>
        <v>3370881465.6149969</v>
      </c>
      <c r="BI76" s="89">
        <f t="shared" si="39"/>
        <v>3375834798.6149969</v>
      </c>
      <c r="BJ76" s="89">
        <f t="shared" si="39"/>
        <v>3380788131.6149969</v>
      </c>
      <c r="BK76" s="89">
        <f t="shared" si="39"/>
        <v>3385741464.6149969</v>
      </c>
      <c r="BL76" s="89">
        <f t="shared" si="39"/>
        <v>3390694797.6149969</v>
      </c>
      <c r="BM76" s="89">
        <f t="shared" si="39"/>
        <v>3394943094.6149969</v>
      </c>
      <c r="BN76" s="89">
        <f t="shared" si="39"/>
        <v>3399098586.6149969</v>
      </c>
      <c r="BO76" s="89">
        <f t="shared" si="39"/>
        <v>3402930998.6149969</v>
      </c>
      <c r="BP76" s="89">
        <f t="shared" si="39"/>
        <v>3406763410.6149969</v>
      </c>
      <c r="BQ76" s="89">
        <f t="shared" si="39"/>
        <v>3410595822.6149969</v>
      </c>
      <c r="BR76" s="89">
        <f t="shared" si="39"/>
        <v>3414182884.6149969</v>
      </c>
      <c r="BS76" s="89">
        <f t="shared" si="39"/>
        <v>3417748148.6149969</v>
      </c>
      <c r="BT76" s="89">
        <f t="shared" si="39"/>
        <v>3421313412.6149969</v>
      </c>
      <c r="BU76" s="89">
        <f t="shared" si="39"/>
        <v>6188716659.069994</v>
      </c>
      <c r="BV76" s="89">
        <f t="shared" si="39"/>
        <v>6188716659.069994</v>
      </c>
      <c r="BW76" s="89">
        <f t="shared" si="39"/>
        <v>6188716659.069994</v>
      </c>
      <c r="BX76" s="89">
        <f t="shared" si="39"/>
        <v>6188716659.069994</v>
      </c>
      <c r="BY76" s="89">
        <f t="shared" si="39"/>
        <v>6188716659.069994</v>
      </c>
      <c r="BZ76" s="89">
        <f>+BZ75</f>
        <v>1296369480.78</v>
      </c>
    </row>
    <row r="77" spans="2:78" x14ac:dyDescent="0.3">
      <c r="B77" s="68" t="s">
        <v>515</v>
      </c>
      <c r="C77" s="129"/>
      <c r="D77" s="129"/>
      <c r="E77" s="129"/>
      <c r="F77" s="129"/>
      <c r="G77" s="129"/>
      <c r="H77" s="129">
        <f>-273569.56-484512.22-2128.68</f>
        <v>-760210.46000000008</v>
      </c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00"/>
      <c r="BR77" s="100"/>
      <c r="BS77" s="100"/>
      <c r="BT77" s="100"/>
      <c r="BU77" s="100"/>
      <c r="BZ77" s="100"/>
    </row>
    <row r="78" spans="2:78" x14ac:dyDescent="0.3">
      <c r="B78" s="68" t="s">
        <v>511</v>
      </c>
      <c r="C78" s="129"/>
      <c r="D78" s="129"/>
      <c r="E78" s="129"/>
      <c r="F78" s="129"/>
      <c r="G78" s="129"/>
      <c r="H78" s="129">
        <f>3942456+431409+56826</f>
        <v>4430691</v>
      </c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  <c r="BH78" s="100"/>
      <c r="BI78" s="100"/>
      <c r="BJ78" s="100"/>
      <c r="BK78" s="100"/>
      <c r="BL78" s="100"/>
      <c r="BM78" s="100"/>
      <c r="BN78" s="100"/>
      <c r="BO78" s="100"/>
      <c r="BP78" s="100"/>
      <c r="BQ78" s="100"/>
      <c r="BR78" s="100"/>
      <c r="BS78" s="100"/>
      <c r="BT78" s="100"/>
      <c r="BU78" s="100"/>
      <c r="BZ78" s="100"/>
    </row>
    <row r="79" spans="2:78" x14ac:dyDescent="0.3">
      <c r="B79" s="68" t="s">
        <v>512</v>
      </c>
      <c r="C79" s="129"/>
      <c r="D79" s="129"/>
      <c r="E79" s="129"/>
      <c r="F79" s="129"/>
      <c r="G79" s="129"/>
      <c r="H79" s="129">
        <v>2021249.29</v>
      </c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0"/>
      <c r="BK79" s="100"/>
      <c r="BL79" s="100"/>
      <c r="BM79" s="100"/>
      <c r="BN79" s="100"/>
      <c r="BO79" s="100"/>
      <c r="BP79" s="100"/>
      <c r="BQ79" s="100"/>
      <c r="BR79" s="100"/>
      <c r="BS79" s="100"/>
      <c r="BT79" s="100"/>
      <c r="BU79" s="100"/>
      <c r="BZ79" s="100"/>
    </row>
    <row r="80" spans="2:78" ht="15" thickBot="1" x14ac:dyDescent="0.35">
      <c r="B80" s="68" t="s">
        <v>513</v>
      </c>
      <c r="C80" s="129"/>
      <c r="D80" s="129"/>
      <c r="E80" s="129"/>
      <c r="F80" s="129"/>
      <c r="G80" s="129"/>
      <c r="H80" s="129">
        <v>59566.36</v>
      </c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  <c r="BK80" s="100"/>
      <c r="BL80" s="100"/>
      <c r="BM80" s="100"/>
      <c r="BN80" s="100"/>
      <c r="BO80" s="100"/>
      <c r="BP80" s="100"/>
      <c r="BQ80" s="100"/>
      <c r="BR80" s="100"/>
      <c r="BS80" s="100"/>
      <c r="BT80" s="100"/>
      <c r="BU80" s="100"/>
      <c r="BZ80" s="100"/>
    </row>
    <row r="81" spans="2:78" ht="15" thickBot="1" x14ac:dyDescent="0.35">
      <c r="B81" s="158" t="s">
        <v>514</v>
      </c>
      <c r="C81" s="159"/>
      <c r="D81" s="159"/>
      <c r="E81" s="159"/>
      <c r="F81" s="209"/>
      <c r="G81" s="209"/>
      <c r="H81" s="159">
        <f>SUM(H77:H80)</f>
        <v>5751296.1900000004</v>
      </c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00"/>
      <c r="BR81" s="100"/>
      <c r="BS81" s="100"/>
      <c r="BT81" s="100"/>
      <c r="BU81" s="100"/>
      <c r="BZ81" s="100"/>
    </row>
    <row r="82" spans="2:78" x14ac:dyDescent="0.3">
      <c r="B82" s="81" t="s">
        <v>150</v>
      </c>
      <c r="C82" s="81"/>
      <c r="D82" s="176"/>
      <c r="E82" s="176"/>
      <c r="F82" s="176"/>
      <c r="G82" s="176"/>
      <c r="H82" s="176">
        <f>+AB83</f>
        <v>49199806.619999826</v>
      </c>
      <c r="I82" s="177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  <c r="AA82" s="176"/>
      <c r="AB82" s="176">
        <f>+AB24-AB75</f>
        <v>9327294.9899999946</v>
      </c>
      <c r="AC82" s="176">
        <f t="shared" ref="AC82:BT82" si="40">+AC24-AC75</f>
        <v>-25700628.49666664</v>
      </c>
      <c r="AD82" s="176">
        <f t="shared" si="40"/>
        <v>16073455.079999998</v>
      </c>
      <c r="AE82" s="176">
        <f t="shared" si="40"/>
        <v>-98054700.099999994</v>
      </c>
      <c r="AF82" s="176">
        <f t="shared" si="40"/>
        <v>-78702272.569999993</v>
      </c>
      <c r="AG82" s="176">
        <f t="shared" si="40"/>
        <v>81982218.866666675</v>
      </c>
      <c r="AH82" s="176">
        <f t="shared" si="40"/>
        <v>-69994390.633333325</v>
      </c>
      <c r="AI82" s="176">
        <f t="shared" si="40"/>
        <v>-113001813.63333333</v>
      </c>
      <c r="AJ82" s="176">
        <f t="shared" si="40"/>
        <v>-160869102.63333336</v>
      </c>
      <c r="AK82" s="176">
        <f t="shared" si="40"/>
        <v>-103638398.63333333</v>
      </c>
      <c r="AL82" s="176">
        <f t="shared" si="40"/>
        <v>-94628571.633333325</v>
      </c>
      <c r="AM82" s="176">
        <f t="shared" si="40"/>
        <v>-112271184.63333333</v>
      </c>
      <c r="AN82" s="176">
        <f t="shared" si="40"/>
        <v>-95905791.495588332</v>
      </c>
      <c r="AO82" s="176">
        <f t="shared" si="40"/>
        <v>-66199858.866397217</v>
      </c>
      <c r="AP82" s="176">
        <f t="shared" si="40"/>
        <v>-109039757.2864763</v>
      </c>
      <c r="AQ82" s="176">
        <f t="shared" si="40"/>
        <v>-96633019.866565332</v>
      </c>
      <c r="AR82" s="176">
        <f t="shared" si="40"/>
        <v>-86227034.021875679</v>
      </c>
      <c r="AS82" s="176">
        <f t="shared" si="40"/>
        <v>-126715282.76303966</v>
      </c>
      <c r="AT82" s="176">
        <f t="shared" si="40"/>
        <v>-82455311.382912472</v>
      </c>
      <c r="AU82" s="176">
        <f t="shared" si="40"/>
        <v>-75558264.371789753</v>
      </c>
      <c r="AV82" s="176">
        <f t="shared" si="40"/>
        <v>-153135007.46351677</v>
      </c>
      <c r="AW82" s="176">
        <f t="shared" si="40"/>
        <v>-101118740.689115</v>
      </c>
      <c r="AX82" s="176">
        <f t="shared" si="40"/>
        <v>-71985587.689115003</v>
      </c>
      <c r="AY82" s="176">
        <f t="shared" si="40"/>
        <v>-75728125.959024295</v>
      </c>
      <c r="AZ82" s="176">
        <f t="shared" si="40"/>
        <v>-55126367.903933585</v>
      </c>
      <c r="BA82" s="176">
        <f t="shared" si="40"/>
        <v>-55138860.826092117</v>
      </c>
      <c r="BB82" s="176">
        <f t="shared" si="40"/>
        <v>-68239610.589458227</v>
      </c>
      <c r="BC82" s="176">
        <f t="shared" si="40"/>
        <v>-39128287.218842335</v>
      </c>
      <c r="BD82" s="176">
        <f t="shared" si="40"/>
        <v>-38527971.521254487</v>
      </c>
      <c r="BE82" s="176">
        <f t="shared" si="40"/>
        <v>-30299986</v>
      </c>
      <c r="BF82" s="176">
        <f t="shared" si="40"/>
        <v>-12877495</v>
      </c>
      <c r="BG82" s="176">
        <f t="shared" si="40"/>
        <v>-6173306</v>
      </c>
      <c r="BH82" s="176">
        <f t="shared" si="40"/>
        <v>-4953333</v>
      </c>
      <c r="BI82" s="176">
        <f t="shared" si="40"/>
        <v>-4953333</v>
      </c>
      <c r="BJ82" s="176">
        <f t="shared" si="40"/>
        <v>-4953333</v>
      </c>
      <c r="BK82" s="176">
        <f t="shared" si="40"/>
        <v>-4953333</v>
      </c>
      <c r="BL82" s="176">
        <f t="shared" si="40"/>
        <v>-4953333</v>
      </c>
      <c r="BM82" s="176">
        <f t="shared" si="40"/>
        <v>-4248297</v>
      </c>
      <c r="BN82" s="176">
        <f t="shared" si="40"/>
        <v>-4155492</v>
      </c>
      <c r="BO82" s="176">
        <f t="shared" si="40"/>
        <v>-3832412</v>
      </c>
      <c r="BP82" s="176">
        <f t="shared" si="40"/>
        <v>-3832412</v>
      </c>
      <c r="BQ82" s="176">
        <f t="shared" si="40"/>
        <v>-3832412</v>
      </c>
      <c r="BR82" s="176">
        <f t="shared" si="40"/>
        <v>-3587062</v>
      </c>
      <c r="BS82" s="176">
        <f t="shared" si="40"/>
        <v>-3565264</v>
      </c>
      <c r="BT82" s="176">
        <f t="shared" si="40"/>
        <v>-3565264</v>
      </c>
      <c r="BU82" s="176">
        <f t="shared" ref="BU82:BZ82" si="41">+BU25-BU76</f>
        <v>-4984359071.9599934</v>
      </c>
      <c r="BV82" s="176">
        <f t="shared" si="41"/>
        <v>-6188716659.069994</v>
      </c>
      <c r="BW82" s="176">
        <f t="shared" si="41"/>
        <v>-6188716659.069994</v>
      </c>
      <c r="BX82" s="176">
        <f t="shared" si="41"/>
        <v>-6188716659.069994</v>
      </c>
      <c r="BY82" s="176">
        <f t="shared" si="41"/>
        <v>-6188716659.069994</v>
      </c>
      <c r="BZ82" s="176">
        <f t="shared" si="41"/>
        <v>-51685688.160000086</v>
      </c>
    </row>
    <row r="83" spans="2:78" ht="19.8" customHeight="1" x14ac:dyDescent="0.3">
      <c r="B83" s="81" t="s">
        <v>151</v>
      </c>
      <c r="C83" s="81"/>
      <c r="D83" s="176"/>
      <c r="E83" s="176"/>
      <c r="F83" s="176"/>
      <c r="G83" s="176"/>
      <c r="H83" s="176"/>
      <c r="I83" s="177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302"/>
      <c r="AB83" s="176">
        <f>+AB25-AB76+H81</f>
        <v>49199806.619999826</v>
      </c>
      <c r="AC83" s="176">
        <f>+AB83+AC82</f>
        <v>23499178.123333186</v>
      </c>
      <c r="AD83" s="176">
        <f t="shared" ref="AD83:BT83" si="42">+AC83+AD82</f>
        <v>39572633.203333184</v>
      </c>
      <c r="AE83" s="176">
        <f t="shared" si="42"/>
        <v>-58482066.89666681</v>
      </c>
      <c r="AF83" s="176">
        <f t="shared" si="42"/>
        <v>-137184339.46666682</v>
      </c>
      <c r="AG83" s="176">
        <f t="shared" si="42"/>
        <v>-55202120.600000143</v>
      </c>
      <c r="AH83" s="176">
        <f t="shared" si="42"/>
        <v>-125196511.23333347</v>
      </c>
      <c r="AI83" s="176">
        <f t="shared" si="42"/>
        <v>-238198324.86666679</v>
      </c>
      <c r="AJ83" s="176">
        <f t="shared" si="42"/>
        <v>-399067427.50000012</v>
      </c>
      <c r="AK83" s="176">
        <f t="shared" si="42"/>
        <v>-502705826.13333344</v>
      </c>
      <c r="AL83" s="176">
        <f t="shared" si="42"/>
        <v>-597334397.76666677</v>
      </c>
      <c r="AM83" s="176">
        <f t="shared" si="42"/>
        <v>-709605582.4000001</v>
      </c>
      <c r="AN83" s="176">
        <f t="shared" si="42"/>
        <v>-805511373.8955884</v>
      </c>
      <c r="AO83" s="176">
        <f t="shared" si="42"/>
        <v>-871711232.76198566</v>
      </c>
      <c r="AP83" s="176">
        <f t="shared" si="42"/>
        <v>-980750990.04846191</v>
      </c>
      <c r="AQ83" s="176">
        <f t="shared" si="42"/>
        <v>-1077384009.9150271</v>
      </c>
      <c r="AR83" s="176">
        <f t="shared" si="42"/>
        <v>-1163611043.9369028</v>
      </c>
      <c r="AS83" s="176">
        <f t="shared" si="42"/>
        <v>-1290326326.6999424</v>
      </c>
      <c r="AT83" s="176">
        <f t="shared" si="42"/>
        <v>-1372781638.0828547</v>
      </c>
      <c r="AU83" s="176">
        <f t="shared" si="42"/>
        <v>-1448339902.4546444</v>
      </c>
      <c r="AV83" s="176">
        <f t="shared" si="42"/>
        <v>-1601474909.9181612</v>
      </c>
      <c r="AW83" s="176">
        <f t="shared" si="42"/>
        <v>-1702593650.6072762</v>
      </c>
      <c r="AX83" s="176">
        <f t="shared" si="42"/>
        <v>-1774579238.2963912</v>
      </c>
      <c r="AY83" s="176">
        <f t="shared" si="42"/>
        <v>-1850307364.2554154</v>
      </c>
      <c r="AZ83" s="176">
        <f t="shared" si="42"/>
        <v>-1905433732.159349</v>
      </c>
      <c r="BA83" s="176">
        <f t="shared" si="42"/>
        <v>-1960572592.985441</v>
      </c>
      <c r="BB83" s="176">
        <f t="shared" si="42"/>
        <v>-2028812203.5748992</v>
      </c>
      <c r="BC83" s="176">
        <f t="shared" si="42"/>
        <v>-2067940490.7937415</v>
      </c>
      <c r="BD83" s="176">
        <f t="shared" si="42"/>
        <v>-2106468462.314996</v>
      </c>
      <c r="BE83" s="176">
        <f t="shared" si="42"/>
        <v>-2136768448.314996</v>
      </c>
      <c r="BF83" s="176">
        <f t="shared" si="42"/>
        <v>-2149645943.3149958</v>
      </c>
      <c r="BG83" s="176">
        <f t="shared" si="42"/>
        <v>-2155819249.3149958</v>
      </c>
      <c r="BH83" s="176">
        <f t="shared" si="42"/>
        <v>-2160772582.3149958</v>
      </c>
      <c r="BI83" s="176">
        <f t="shared" si="42"/>
        <v>-2165725915.3149958</v>
      </c>
      <c r="BJ83" s="176">
        <f t="shared" si="42"/>
        <v>-2170679248.3149958</v>
      </c>
      <c r="BK83" s="176">
        <f t="shared" si="42"/>
        <v>-2175632581.3149958</v>
      </c>
      <c r="BL83" s="176">
        <f t="shared" si="42"/>
        <v>-2180585914.3149958</v>
      </c>
      <c r="BM83" s="176">
        <f t="shared" si="42"/>
        <v>-2184834211.3149958</v>
      </c>
      <c r="BN83" s="176">
        <f t="shared" si="42"/>
        <v>-2188989703.3149958</v>
      </c>
      <c r="BO83" s="176">
        <f t="shared" si="42"/>
        <v>-2192822115.3149958</v>
      </c>
      <c r="BP83" s="176">
        <f t="shared" si="42"/>
        <v>-2196654527.3149958</v>
      </c>
      <c r="BQ83" s="176">
        <f t="shared" si="42"/>
        <v>-2200486939.3149958</v>
      </c>
      <c r="BR83" s="176">
        <f t="shared" si="42"/>
        <v>-2204074001.3149958</v>
      </c>
      <c r="BS83" s="176">
        <f t="shared" si="42"/>
        <v>-2207639265.3149958</v>
      </c>
      <c r="BT83" s="176">
        <f t="shared" si="42"/>
        <v>-2211204529.3149958</v>
      </c>
      <c r="BU83" s="176"/>
      <c r="BV83" s="176"/>
      <c r="BW83" s="176"/>
      <c r="BX83" s="176"/>
      <c r="BY83" s="176"/>
      <c r="BZ83" s="176"/>
    </row>
    <row r="84" spans="2:78" x14ac:dyDescent="0.25">
      <c r="AA84" s="178"/>
      <c r="AB84" s="178"/>
      <c r="AC84" s="178"/>
      <c r="AD84" s="178"/>
      <c r="AE84" s="178"/>
      <c r="AF84" s="178"/>
      <c r="AG84" s="207"/>
    </row>
    <row r="85" spans="2:78" x14ac:dyDescent="0.3">
      <c r="AA85" s="178"/>
      <c r="AB85" s="301"/>
      <c r="AC85" s="178"/>
    </row>
    <row r="86" spans="2:78" x14ac:dyDescent="0.3">
      <c r="E86" s="278"/>
      <c r="H86" s="208"/>
      <c r="AA86" s="178"/>
      <c r="AB86" s="178"/>
    </row>
    <row r="87" spans="2:78" x14ac:dyDescent="0.3">
      <c r="E87" s="279"/>
      <c r="H87" s="303"/>
    </row>
  </sheetData>
  <pageMargins left="0.75" right="0.75" top="1" bottom="1" header="0.511811023622047" footer="0.511811023622047"/>
  <pageSetup paperSize="9" orientation="portrait" horizontalDpi="300" verticalDpi="300"/>
  <ignoredErrors>
    <ignoredError sqref="AB83 AA76" formula="1"/>
    <ignoredError sqref="H19 D11 D30:D44 D47 H8" formulaRange="1"/>
  </ignoredError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showGridLines="0" topLeftCell="A20" workbookViewId="0">
      <selection activeCell="B20" sqref="B20:B34"/>
    </sheetView>
  </sheetViews>
  <sheetFormatPr baseColWidth="10" defaultColWidth="8.88671875" defaultRowHeight="14.4" x14ac:dyDescent="0.3"/>
  <cols>
    <col min="1" max="1" width="3" customWidth="1"/>
    <col min="2" max="2" width="36" customWidth="1"/>
    <col min="3" max="5" width="16" customWidth="1"/>
    <col min="6" max="6" width="9" customWidth="1"/>
    <col min="7" max="7" width="3" customWidth="1"/>
  </cols>
  <sheetData>
    <row r="1" spans="1:7" ht="25.95" customHeight="1" x14ac:dyDescent="0.3">
      <c r="A1" s="213"/>
      <c r="B1" s="358" t="s">
        <v>152</v>
      </c>
      <c r="C1" s="357"/>
      <c r="D1" s="357"/>
      <c r="E1" s="357"/>
      <c r="F1" s="357"/>
      <c r="G1" s="213"/>
    </row>
    <row r="2" spans="1:7" ht="12" customHeight="1" x14ac:dyDescent="0.3">
      <c r="A2" s="213"/>
      <c r="B2" s="356" t="s">
        <v>153</v>
      </c>
      <c r="C2" s="357"/>
      <c r="D2" s="357"/>
      <c r="E2" s="357"/>
      <c r="F2" s="357"/>
      <c r="G2" s="213"/>
    </row>
    <row r="3" spans="1:7" ht="4.05" customHeight="1" x14ac:dyDescent="0.3">
      <c r="A3" s="213"/>
      <c r="B3" s="213"/>
      <c r="C3" s="213"/>
      <c r="D3" s="213"/>
      <c r="E3" s="213"/>
      <c r="F3" s="213"/>
      <c r="G3" s="213"/>
    </row>
    <row r="4" spans="1:7" ht="28.05" customHeight="1" x14ac:dyDescent="0.3">
      <c r="A4" s="213"/>
      <c r="B4" s="214" t="s">
        <v>154</v>
      </c>
      <c r="C4" s="215" t="s">
        <v>155</v>
      </c>
      <c r="D4" s="216" t="s">
        <v>156</v>
      </c>
      <c r="E4" s="217" t="s">
        <v>157</v>
      </c>
      <c r="F4" s="215" t="s">
        <v>158</v>
      </c>
      <c r="G4" s="213"/>
    </row>
    <row r="5" spans="1:7" ht="15" customHeight="1" x14ac:dyDescent="0.3">
      <c r="A5" s="213"/>
      <c r="B5" s="218" t="s">
        <v>159</v>
      </c>
      <c r="C5" s="219"/>
      <c r="D5" s="219"/>
      <c r="E5" s="219"/>
      <c r="F5" s="219"/>
      <c r="G5" s="213"/>
    </row>
    <row r="6" spans="1:7" ht="13.95" customHeight="1" x14ac:dyDescent="0.3">
      <c r="A6" s="213"/>
      <c r="B6" s="220" t="s">
        <v>160</v>
      </c>
      <c r="C6" s="221">
        <v>266773708.05000001</v>
      </c>
      <c r="D6" s="222"/>
      <c r="E6" s="223">
        <v>266773708.05000001</v>
      </c>
      <c r="F6" s="224"/>
      <c r="G6" s="213"/>
    </row>
    <row r="7" spans="1:7" ht="13.95" customHeight="1" x14ac:dyDescent="0.3">
      <c r="A7" s="213"/>
      <c r="B7" s="220" t="s">
        <v>161</v>
      </c>
      <c r="C7" s="221">
        <v>24159807.359999999</v>
      </c>
      <c r="D7" s="222"/>
      <c r="E7" s="223">
        <v>24159807.359999999</v>
      </c>
      <c r="F7" s="224"/>
      <c r="G7" s="213"/>
    </row>
    <row r="8" spans="1:7" ht="13.95" customHeight="1" x14ac:dyDescent="0.3">
      <c r="A8" s="213"/>
      <c r="B8" s="220" t="s">
        <v>162</v>
      </c>
      <c r="C8" s="221">
        <v>45301558.009999998</v>
      </c>
      <c r="D8" s="222">
        <v>5475884.7300000004</v>
      </c>
      <c r="E8" s="223">
        <v>50777442.740000002</v>
      </c>
      <c r="F8" s="224">
        <f t="shared" ref="F8:F14" si="0">IF(C8=0,"",D8/C8)</f>
        <v>0.1208763002983526</v>
      </c>
      <c r="G8" s="213"/>
    </row>
    <row r="9" spans="1:7" ht="13.95" customHeight="1" x14ac:dyDescent="0.3">
      <c r="A9" s="213"/>
      <c r="B9" s="220" t="s">
        <v>163</v>
      </c>
      <c r="C9" s="221">
        <v>67665568.829999998</v>
      </c>
      <c r="D9" s="222">
        <v>23348965.710000001</v>
      </c>
      <c r="E9" s="223">
        <v>91014534.540000007</v>
      </c>
      <c r="F9" s="224">
        <f t="shared" si="0"/>
        <v>0.34506420493797835</v>
      </c>
      <c r="G9" s="213"/>
    </row>
    <row r="10" spans="1:7" ht="13.95" customHeight="1" x14ac:dyDescent="0.3">
      <c r="A10" s="213"/>
      <c r="B10" s="220" t="s">
        <v>164</v>
      </c>
      <c r="C10" s="221">
        <v>37971390.020000003</v>
      </c>
      <c r="D10" s="222">
        <v>2275880.35</v>
      </c>
      <c r="E10" s="223">
        <v>40247270.369999997</v>
      </c>
      <c r="F10" s="224">
        <f t="shared" si="0"/>
        <v>5.9936714162986016E-2</v>
      </c>
      <c r="G10" s="213"/>
    </row>
    <row r="11" spans="1:7" ht="13.95" customHeight="1" x14ac:dyDescent="0.3">
      <c r="A11" s="213"/>
      <c r="B11" s="220" t="s">
        <v>165</v>
      </c>
      <c r="C11" s="221">
        <v>260750</v>
      </c>
      <c r="D11" s="222">
        <v>52150</v>
      </c>
      <c r="E11" s="223">
        <v>312900</v>
      </c>
      <c r="F11" s="224">
        <f t="shared" si="0"/>
        <v>0.2</v>
      </c>
      <c r="G11" s="213"/>
    </row>
    <row r="12" spans="1:7" ht="13.95" customHeight="1" x14ac:dyDescent="0.3">
      <c r="A12" s="213"/>
      <c r="B12" s="225" t="s">
        <v>166</v>
      </c>
      <c r="C12" s="226">
        <v>569970.93000000005</v>
      </c>
      <c r="D12" s="227">
        <v>54100.85</v>
      </c>
      <c r="E12" s="228">
        <v>624071.78</v>
      </c>
      <c r="F12" s="229">
        <f t="shared" si="0"/>
        <v>9.4918612779076289E-2</v>
      </c>
      <c r="G12" s="213"/>
    </row>
    <row r="13" spans="1:7" ht="13.95" customHeight="1" x14ac:dyDescent="0.3">
      <c r="A13" s="213"/>
      <c r="B13" s="220" t="s">
        <v>167</v>
      </c>
      <c r="C13" s="221">
        <v>3363369</v>
      </c>
      <c r="D13" s="222">
        <v>427200</v>
      </c>
      <c r="E13" s="223">
        <v>3790569</v>
      </c>
      <c r="F13" s="224">
        <f t="shared" si="0"/>
        <v>0.12701550142134271</v>
      </c>
      <c r="G13" s="213"/>
    </row>
    <row r="14" spans="1:7" ht="13.95" customHeight="1" x14ac:dyDescent="0.3">
      <c r="A14" s="213"/>
      <c r="B14" s="225" t="s">
        <v>168</v>
      </c>
      <c r="C14" s="226">
        <v>1023673.6</v>
      </c>
      <c r="D14" s="227">
        <v>90246.399999999994</v>
      </c>
      <c r="E14" s="228">
        <v>1113920</v>
      </c>
      <c r="F14" s="229">
        <f t="shared" si="0"/>
        <v>8.8159350793065291E-2</v>
      </c>
      <c r="G14" s="213"/>
    </row>
    <row r="15" spans="1:7" ht="13.95" customHeight="1" x14ac:dyDescent="0.3">
      <c r="A15" s="213"/>
      <c r="B15" s="220" t="s">
        <v>169</v>
      </c>
      <c r="C15" s="221">
        <v>1387881.97</v>
      </c>
      <c r="D15" s="222"/>
      <c r="E15" s="223">
        <v>1387881.97</v>
      </c>
      <c r="F15" s="224"/>
      <c r="G15" s="213"/>
    </row>
    <row r="16" spans="1:7" ht="13.95" customHeight="1" x14ac:dyDescent="0.3">
      <c r="A16" s="213"/>
      <c r="B16" s="225" t="s">
        <v>170</v>
      </c>
      <c r="C16" s="226">
        <v>964002.99</v>
      </c>
      <c r="D16" s="227">
        <v>101500</v>
      </c>
      <c r="E16" s="228">
        <v>1065502.99</v>
      </c>
      <c r="F16" s="229">
        <f>IF(C16=0,"",D16/C16)</f>
        <v>0.1052901298573773</v>
      </c>
      <c r="G16" s="213"/>
    </row>
    <row r="17" spans="1:7" ht="13.95" customHeight="1" x14ac:dyDescent="0.3">
      <c r="A17" s="213"/>
      <c r="B17" s="220" t="s">
        <v>171</v>
      </c>
      <c r="C17" s="221">
        <v>4562678.7</v>
      </c>
      <c r="D17" s="222">
        <v>506964.3</v>
      </c>
      <c r="E17" s="223">
        <v>5069643</v>
      </c>
      <c r="F17" s="224">
        <f>IF(C17=0,"",D17/C17)</f>
        <v>0.1111111111111111</v>
      </c>
      <c r="G17" s="213"/>
    </row>
    <row r="18" spans="1:7" ht="15" customHeight="1" x14ac:dyDescent="0.3">
      <c r="A18" s="213"/>
      <c r="B18" s="230" t="s">
        <v>119</v>
      </c>
      <c r="C18" s="231">
        <f>SUM(C6:C17)</f>
        <v>454004359.46000004</v>
      </c>
      <c r="D18" s="231">
        <f t="shared" ref="D18:E18" si="1">SUM(D6:D17)</f>
        <v>32332892.340000004</v>
      </c>
      <c r="E18" s="231">
        <f t="shared" si="1"/>
        <v>486337251.80000007</v>
      </c>
      <c r="F18" s="232"/>
      <c r="G18" s="213"/>
    </row>
    <row r="19" spans="1:7" ht="15" customHeight="1" x14ac:dyDescent="0.3">
      <c r="A19" s="213"/>
      <c r="B19" s="218" t="s">
        <v>172</v>
      </c>
      <c r="C19" s="219"/>
      <c r="D19" s="219"/>
      <c r="E19" s="219"/>
      <c r="F19" s="219"/>
      <c r="G19" s="213"/>
    </row>
    <row r="20" spans="1:7" ht="13.95" customHeight="1" x14ac:dyDescent="0.3">
      <c r="A20" s="213"/>
      <c r="B20" s="220" t="s">
        <v>173</v>
      </c>
      <c r="C20" s="221">
        <v>25052779.190000001</v>
      </c>
      <c r="D20" s="222">
        <v>1783003.6</v>
      </c>
      <c r="E20" s="223">
        <v>26835782.789999999</v>
      </c>
      <c r="F20" s="224">
        <f t="shared" ref="F20:F26" si="2">IF(C20=0,"",D20/C20)</f>
        <v>7.1169892429008397E-2</v>
      </c>
      <c r="G20" s="213"/>
    </row>
    <row r="21" spans="1:7" ht="13.95" customHeight="1" x14ac:dyDescent="0.3">
      <c r="A21" s="213"/>
      <c r="B21" s="220" t="s">
        <v>174</v>
      </c>
      <c r="C21" s="221">
        <v>79374170.459999993</v>
      </c>
      <c r="D21" s="222">
        <v>7031404.5199999996</v>
      </c>
      <c r="E21" s="223">
        <v>86405574.980000004</v>
      </c>
      <c r="F21" s="224">
        <f t="shared" si="2"/>
        <v>8.8585549672527561E-2</v>
      </c>
      <c r="G21" s="213"/>
    </row>
    <row r="22" spans="1:7" ht="13.95" customHeight="1" x14ac:dyDescent="0.3">
      <c r="A22" s="213"/>
      <c r="B22" s="225" t="s">
        <v>175</v>
      </c>
      <c r="C22" s="226">
        <v>10782128.460000001</v>
      </c>
      <c r="D22" s="227">
        <v>757185.94</v>
      </c>
      <c r="E22" s="228">
        <v>11539314.4</v>
      </c>
      <c r="F22" s="229">
        <f t="shared" si="2"/>
        <v>7.0226017322000997E-2</v>
      </c>
      <c r="G22" s="213"/>
    </row>
    <row r="23" spans="1:7" ht="13.95" customHeight="1" x14ac:dyDescent="0.3">
      <c r="A23" s="213"/>
      <c r="B23" s="220" t="s">
        <v>176</v>
      </c>
      <c r="C23" s="221">
        <v>16260806.859999999</v>
      </c>
      <c r="D23" s="222">
        <v>1598169.57</v>
      </c>
      <c r="E23" s="223">
        <v>17858976.43</v>
      </c>
      <c r="F23" s="224">
        <f t="shared" si="2"/>
        <v>9.8283534375612172E-2</v>
      </c>
      <c r="G23" s="213"/>
    </row>
    <row r="24" spans="1:7" ht="13.95" customHeight="1" x14ac:dyDescent="0.3">
      <c r="A24" s="213"/>
      <c r="B24" s="225" t="s">
        <v>177</v>
      </c>
      <c r="C24" s="226">
        <v>1312443.49</v>
      </c>
      <c r="D24" s="227">
        <v>132010.93</v>
      </c>
      <c r="E24" s="228">
        <v>1444454.42</v>
      </c>
      <c r="F24" s="229">
        <f t="shared" si="2"/>
        <v>0.10058408686228464</v>
      </c>
      <c r="G24" s="213"/>
    </row>
    <row r="25" spans="1:7" ht="13.95" customHeight="1" x14ac:dyDescent="0.3">
      <c r="A25" s="213"/>
      <c r="B25" s="220" t="s">
        <v>178</v>
      </c>
      <c r="C25" s="221">
        <v>4247764.37</v>
      </c>
      <c r="D25" s="222">
        <v>774773.75</v>
      </c>
      <c r="E25" s="223">
        <v>5022538.12</v>
      </c>
      <c r="F25" s="224">
        <f t="shared" si="2"/>
        <v>0.18239565157424209</v>
      </c>
      <c r="G25" s="213"/>
    </row>
    <row r="26" spans="1:7" ht="13.95" customHeight="1" x14ac:dyDescent="0.3">
      <c r="A26" s="213"/>
      <c r="B26" s="225" t="s">
        <v>179</v>
      </c>
      <c r="C26" s="226">
        <v>1666620.42</v>
      </c>
      <c r="D26" s="227">
        <v>293802.58</v>
      </c>
      <c r="E26" s="228">
        <v>1960423</v>
      </c>
      <c r="F26" s="229">
        <f t="shared" si="2"/>
        <v>0.17628643959612594</v>
      </c>
      <c r="G26" s="213"/>
    </row>
    <row r="27" spans="1:7" ht="13.95" customHeight="1" x14ac:dyDescent="0.3">
      <c r="A27" s="213"/>
      <c r="B27" s="220" t="s">
        <v>180</v>
      </c>
      <c r="C27" s="221">
        <v>5143605.1900000004</v>
      </c>
      <c r="D27" s="222"/>
      <c r="E27" s="223">
        <v>5143605.1900000004</v>
      </c>
      <c r="F27" s="224"/>
      <c r="G27" s="213"/>
    </row>
    <row r="28" spans="1:7" ht="13.95" customHeight="1" x14ac:dyDescent="0.3">
      <c r="A28" s="213"/>
      <c r="B28" s="225" t="s">
        <v>181</v>
      </c>
      <c r="C28" s="226">
        <v>11245197.220000001</v>
      </c>
      <c r="D28" s="227"/>
      <c r="E28" s="228">
        <v>11245197.220000001</v>
      </c>
      <c r="F28" s="229"/>
      <c r="G28" s="213"/>
    </row>
    <row r="29" spans="1:7" ht="13.95" customHeight="1" x14ac:dyDescent="0.3">
      <c r="A29" s="213"/>
      <c r="B29" s="220" t="s">
        <v>182</v>
      </c>
      <c r="C29" s="221">
        <v>3632136.3</v>
      </c>
      <c r="D29" s="222">
        <v>367996.01</v>
      </c>
      <c r="E29" s="223">
        <v>4000132.31</v>
      </c>
      <c r="F29" s="224">
        <f>IF(C29=0,"",D29/C29)</f>
        <v>0.1013166851695516</v>
      </c>
      <c r="G29" s="213"/>
    </row>
    <row r="30" spans="1:7" ht="13.95" customHeight="1" x14ac:dyDescent="0.3">
      <c r="A30" s="213"/>
      <c r="B30" s="225" t="s">
        <v>183</v>
      </c>
      <c r="C30" s="226">
        <v>4194472.09</v>
      </c>
      <c r="D30" s="227">
        <v>577863.4</v>
      </c>
      <c r="E30" s="228">
        <v>4772335.49</v>
      </c>
      <c r="F30" s="229">
        <f>IF(C30=0,"",D30/C30)</f>
        <v>0.13776784958890978</v>
      </c>
      <c r="G30" s="213"/>
    </row>
    <row r="31" spans="1:7" ht="13.95" customHeight="1" x14ac:dyDescent="0.3">
      <c r="A31" s="213"/>
      <c r="B31" s="220" t="s">
        <v>184</v>
      </c>
      <c r="C31" s="221">
        <v>3042341</v>
      </c>
      <c r="D31" s="222">
        <v>232709.5</v>
      </c>
      <c r="E31" s="223">
        <v>3275050.5</v>
      </c>
      <c r="F31" s="224">
        <f>IF(C31=0,"",D31/C31)</f>
        <v>7.6490275087506623E-2</v>
      </c>
      <c r="G31" s="213"/>
    </row>
    <row r="32" spans="1:7" ht="13.95" customHeight="1" x14ac:dyDescent="0.3">
      <c r="A32" s="213"/>
      <c r="B32" s="225" t="s">
        <v>185</v>
      </c>
      <c r="C32" s="226">
        <v>1777671.11</v>
      </c>
      <c r="D32" s="227"/>
      <c r="E32" s="228">
        <v>1777671.11</v>
      </c>
      <c r="F32" s="229"/>
      <c r="G32" s="213"/>
    </row>
    <row r="33" spans="1:7" ht="13.95" customHeight="1" x14ac:dyDescent="0.3">
      <c r="A33" s="213"/>
      <c r="B33" s="220" t="s">
        <v>186</v>
      </c>
      <c r="C33" s="221">
        <v>2447929.6</v>
      </c>
      <c r="D33" s="222">
        <v>1185832.6200000001</v>
      </c>
      <c r="E33" s="223">
        <v>3633762.22</v>
      </c>
      <c r="F33" s="224">
        <f>IF(C33=0,"",D33/C33)</f>
        <v>0.48442268110978359</v>
      </c>
      <c r="G33" s="213"/>
    </row>
    <row r="34" spans="1:7" ht="13.95" customHeight="1" x14ac:dyDescent="0.3">
      <c r="A34" s="213"/>
      <c r="B34" s="225" t="s">
        <v>187</v>
      </c>
      <c r="C34" s="226">
        <v>486136.61</v>
      </c>
      <c r="D34" s="227"/>
      <c r="E34" s="228">
        <v>486136.61</v>
      </c>
      <c r="F34" s="229"/>
      <c r="G34" s="213"/>
    </row>
    <row r="35" spans="1:7" ht="15" customHeight="1" x14ac:dyDescent="0.3">
      <c r="A35" s="213"/>
      <c r="B35" s="230" t="s">
        <v>142</v>
      </c>
      <c r="C35" s="231">
        <f>SUM(C20:C34)</f>
        <v>170666202.37</v>
      </c>
      <c r="D35" s="231">
        <f t="shared" ref="D35:E35" si="3">SUM(D20:D34)</f>
        <v>14734752.419999998</v>
      </c>
      <c r="E35" s="231">
        <f t="shared" si="3"/>
        <v>185400954.79000005</v>
      </c>
      <c r="F35" s="232"/>
      <c r="G35" s="213"/>
    </row>
    <row r="36" spans="1:7" ht="15" customHeight="1" x14ac:dyDescent="0.3">
      <c r="A36" s="213"/>
      <c r="B36" s="218" t="s">
        <v>188</v>
      </c>
      <c r="C36" s="219"/>
      <c r="D36" s="219"/>
      <c r="E36" s="219"/>
      <c r="F36" s="219"/>
      <c r="G36" s="213"/>
    </row>
    <row r="37" spans="1:7" ht="13.95" customHeight="1" x14ac:dyDescent="0.3">
      <c r="A37" s="213"/>
      <c r="B37" s="220" t="s">
        <v>189</v>
      </c>
      <c r="C37" s="221">
        <v>23038588.609999999</v>
      </c>
      <c r="D37" s="222">
        <f>118333.33+10154.66</f>
        <v>128487.99</v>
      </c>
      <c r="E37" s="223">
        <v>23156921.940000001</v>
      </c>
      <c r="F37" s="224">
        <f>IF(C37=0,"",D37/C37)</f>
        <v>5.5770773190606492E-3</v>
      </c>
      <c r="G37" s="213"/>
    </row>
    <row r="38" spans="1:7" ht="13.95" customHeight="1" x14ac:dyDescent="0.3">
      <c r="A38" s="213"/>
      <c r="B38" s="220" t="s">
        <v>190</v>
      </c>
      <c r="C38" s="221">
        <v>15628255.43</v>
      </c>
      <c r="D38" s="222">
        <v>1802777.77</v>
      </c>
      <c r="E38" s="223">
        <v>17431033.199999999</v>
      </c>
      <c r="F38" s="224">
        <f>IF(C38=0,"",D38/C38)</f>
        <v>0.11535374361359539</v>
      </c>
      <c r="G38" s="213"/>
    </row>
    <row r="39" spans="1:7" ht="15" customHeight="1" x14ac:dyDescent="0.3">
      <c r="A39" s="213"/>
      <c r="B39" s="230" t="s">
        <v>147</v>
      </c>
      <c r="C39" s="231">
        <f>SUM(C37:C38)</f>
        <v>38666844.039999999</v>
      </c>
      <c r="D39" s="231">
        <f t="shared" ref="D39:E39" si="4">SUM(D37:D38)</f>
        <v>1931265.76</v>
      </c>
      <c r="E39" s="231">
        <f t="shared" si="4"/>
        <v>40587955.140000001</v>
      </c>
      <c r="F39" s="232"/>
      <c r="G39" s="213"/>
    </row>
    <row r="40" spans="1:7" ht="18" customHeight="1" x14ac:dyDescent="0.3">
      <c r="A40" s="213"/>
      <c r="B40" s="233" t="s">
        <v>191</v>
      </c>
      <c r="C40" s="234">
        <f>+C18+C35+C39</f>
        <v>663337405.87</v>
      </c>
      <c r="D40" s="234">
        <f t="shared" ref="D40:E40" si="5">+D18+D35+D39</f>
        <v>48998910.520000003</v>
      </c>
      <c r="E40" s="234">
        <f t="shared" si="5"/>
        <v>712326161.73000014</v>
      </c>
      <c r="F40" s="235"/>
      <c r="G40" s="213"/>
    </row>
    <row r="41" spans="1:7" x14ac:dyDescent="0.3">
      <c r="A41" s="213"/>
      <c r="G41" s="213"/>
    </row>
  </sheetData>
  <mergeCells count="2">
    <mergeCell ref="B2:F2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6"/>
  <sheetViews>
    <sheetView showGridLines="0" topLeftCell="A77" workbookViewId="0">
      <selection activeCell="B6" sqref="B6"/>
    </sheetView>
  </sheetViews>
  <sheetFormatPr baseColWidth="10" defaultColWidth="8.88671875" defaultRowHeight="14.4" x14ac:dyDescent="0.3"/>
  <cols>
    <col min="1" max="1" width="3" customWidth="1"/>
    <col min="2" max="2" width="28" customWidth="1"/>
    <col min="3" max="3" width="22" customWidth="1"/>
    <col min="4" max="4" width="10" customWidth="1"/>
    <col min="5" max="6" width="13" customWidth="1"/>
    <col min="7" max="9" width="10" customWidth="1"/>
    <col min="10" max="10" width="13" customWidth="1"/>
    <col min="11" max="11" width="3" customWidth="1"/>
  </cols>
  <sheetData>
    <row r="1" spans="1:11" ht="25.95" customHeight="1" x14ac:dyDescent="0.3">
      <c r="A1" s="213"/>
      <c r="B1" s="358" t="s">
        <v>192</v>
      </c>
      <c r="C1" s="357"/>
      <c r="D1" s="357"/>
      <c r="E1" s="357"/>
      <c r="F1" s="357"/>
      <c r="G1" s="357"/>
      <c r="H1" s="357"/>
      <c r="I1" s="357"/>
      <c r="J1" s="357"/>
      <c r="K1" s="213"/>
    </row>
    <row r="2" spans="1:11" ht="16.05" customHeight="1" x14ac:dyDescent="0.3">
      <c r="A2" s="213"/>
      <c r="E2" s="236" t="s">
        <v>193</v>
      </c>
      <c r="F2" s="237" t="s">
        <v>194</v>
      </c>
      <c r="G2" s="238" t="s">
        <v>195</v>
      </c>
      <c r="H2" s="239" t="s">
        <v>196</v>
      </c>
      <c r="I2" s="240" t="s">
        <v>197</v>
      </c>
      <c r="K2" s="213"/>
    </row>
    <row r="3" spans="1:11" ht="19.95" customHeight="1" x14ac:dyDescent="0.3">
      <c r="A3" s="213"/>
      <c r="E3" s="241">
        <v>11183495.34</v>
      </c>
      <c r="F3" s="241">
        <v>7140113.04</v>
      </c>
      <c r="G3" s="241">
        <v>147770.75</v>
      </c>
      <c r="H3" s="241">
        <v>126110.4999999991</v>
      </c>
      <c r="I3" s="241">
        <v>18597489.629999999</v>
      </c>
      <c r="K3" s="213"/>
    </row>
    <row r="4" spans="1:11" ht="13.05" customHeight="1" x14ac:dyDescent="0.3">
      <c r="A4" s="213"/>
      <c r="E4" s="242">
        <f>E3/$I3</f>
        <v>0.60134435144191023</v>
      </c>
      <c r="F4" s="242">
        <f>F3/$I3</f>
        <v>0.38392886255369296</v>
      </c>
      <c r="G4" s="242">
        <f>G3/I3</f>
        <v>7.9457363837766529E-3</v>
      </c>
      <c r="H4" s="242">
        <f>H3/$I3</f>
        <v>6.7810496206201732E-3</v>
      </c>
      <c r="I4" s="242"/>
      <c r="K4" s="213"/>
    </row>
    <row r="5" spans="1:11" ht="19.95" customHeight="1" x14ac:dyDescent="0.3">
      <c r="A5" s="213"/>
      <c r="B5" s="216" t="s">
        <v>198</v>
      </c>
      <c r="C5" s="216" t="s">
        <v>199</v>
      </c>
      <c r="D5" s="216" t="s">
        <v>200</v>
      </c>
      <c r="E5" s="216" t="s">
        <v>201</v>
      </c>
      <c r="F5" s="216" t="s">
        <v>202</v>
      </c>
      <c r="G5" s="216" t="s">
        <v>203</v>
      </c>
      <c r="H5" s="216" t="s">
        <v>204</v>
      </c>
      <c r="I5" s="216" t="s">
        <v>205</v>
      </c>
      <c r="J5" s="216" t="s">
        <v>197</v>
      </c>
      <c r="K5" s="213"/>
    </row>
    <row r="6" spans="1:11" ht="15" customHeight="1" x14ac:dyDescent="0.3">
      <c r="A6" s="213"/>
      <c r="B6" s="243" t="s">
        <v>206</v>
      </c>
      <c r="C6" s="244"/>
      <c r="D6" s="244"/>
      <c r="E6" s="245">
        <v>232477.36</v>
      </c>
      <c r="F6" s="245">
        <v>2162882.71</v>
      </c>
      <c r="G6" s="245">
        <v>14180</v>
      </c>
      <c r="H6" s="245"/>
      <c r="I6" s="245"/>
      <c r="J6" s="245">
        <v>2409540.0699999998</v>
      </c>
      <c r="K6" s="213"/>
    </row>
    <row r="7" spans="1:11" ht="13.05" customHeight="1" x14ac:dyDescent="0.3">
      <c r="A7" s="213"/>
      <c r="B7" s="246" t="s">
        <v>207</v>
      </c>
      <c r="C7" s="247" t="s">
        <v>208</v>
      </c>
      <c r="D7" s="248" t="s">
        <v>209</v>
      </c>
      <c r="E7" s="249"/>
      <c r="F7" s="249"/>
      <c r="G7" s="249">
        <v>14180</v>
      </c>
      <c r="H7" s="249"/>
      <c r="I7" s="249"/>
      <c r="J7" s="249">
        <v>14180</v>
      </c>
      <c r="K7" s="213"/>
    </row>
    <row r="8" spans="1:11" ht="13.05" customHeight="1" x14ac:dyDescent="0.3">
      <c r="A8" s="213"/>
      <c r="B8" s="250" t="s">
        <v>210</v>
      </c>
      <c r="C8" s="251" t="s">
        <v>211</v>
      </c>
      <c r="D8" s="252" t="s">
        <v>212</v>
      </c>
      <c r="E8" s="253"/>
      <c r="F8" s="253">
        <v>14580</v>
      </c>
      <c r="G8" s="253"/>
      <c r="H8" s="253"/>
      <c r="I8" s="253"/>
      <c r="J8" s="253">
        <v>14580</v>
      </c>
      <c r="K8" s="213"/>
    </row>
    <row r="9" spans="1:11" ht="13.05" customHeight="1" x14ac:dyDescent="0.3">
      <c r="A9" s="213"/>
      <c r="B9" s="246" t="s">
        <v>213</v>
      </c>
      <c r="C9" s="247" t="s">
        <v>214</v>
      </c>
      <c r="D9" s="248" t="s">
        <v>215</v>
      </c>
      <c r="E9" s="249">
        <v>4120</v>
      </c>
      <c r="F9" s="249"/>
      <c r="G9" s="249"/>
      <c r="H9" s="249"/>
      <c r="I9" s="249"/>
      <c r="J9" s="249">
        <v>4120</v>
      </c>
      <c r="K9" s="213"/>
    </row>
    <row r="10" spans="1:11" ht="13.05" customHeight="1" x14ac:dyDescent="0.3">
      <c r="A10" s="213"/>
      <c r="B10" s="250" t="s">
        <v>213</v>
      </c>
      <c r="C10" s="251" t="s">
        <v>216</v>
      </c>
      <c r="D10" s="252" t="s">
        <v>217</v>
      </c>
      <c r="E10" s="253">
        <v>14500.5</v>
      </c>
      <c r="F10" s="253"/>
      <c r="G10" s="253"/>
      <c r="H10" s="253"/>
      <c r="I10" s="253"/>
      <c r="J10" s="253">
        <v>14500.5</v>
      </c>
      <c r="K10" s="213"/>
    </row>
    <row r="11" spans="1:11" ht="13.05" customHeight="1" x14ac:dyDescent="0.3">
      <c r="A11" s="213"/>
      <c r="B11" s="246" t="s">
        <v>218</v>
      </c>
      <c r="C11" s="247" t="s">
        <v>219</v>
      </c>
      <c r="D11" s="248" t="s">
        <v>220</v>
      </c>
      <c r="E11" s="249"/>
      <c r="F11" s="249">
        <v>173355.6</v>
      </c>
      <c r="G11" s="249"/>
      <c r="H11" s="249"/>
      <c r="I11" s="249"/>
      <c r="J11" s="249">
        <v>173355.6</v>
      </c>
      <c r="K11" s="213"/>
    </row>
    <row r="12" spans="1:11" ht="13.05" customHeight="1" x14ac:dyDescent="0.3">
      <c r="A12" s="213"/>
      <c r="B12" s="250" t="s">
        <v>218</v>
      </c>
      <c r="C12" s="251" t="s">
        <v>221</v>
      </c>
      <c r="D12" s="252" t="s">
        <v>220</v>
      </c>
      <c r="E12" s="253"/>
      <c r="F12" s="253">
        <v>111980</v>
      </c>
      <c r="G12" s="253"/>
      <c r="H12" s="253"/>
      <c r="I12" s="253"/>
      <c r="J12" s="253">
        <v>111980</v>
      </c>
      <c r="K12" s="213"/>
    </row>
    <row r="13" spans="1:11" ht="13.05" customHeight="1" x14ac:dyDescent="0.3">
      <c r="A13" s="213"/>
      <c r="B13" s="246" t="s">
        <v>222</v>
      </c>
      <c r="C13" s="247" t="s">
        <v>223</v>
      </c>
      <c r="D13" s="248" t="s">
        <v>220</v>
      </c>
      <c r="E13" s="249"/>
      <c r="F13" s="249">
        <v>1862967.11</v>
      </c>
      <c r="G13" s="249"/>
      <c r="H13" s="249"/>
      <c r="I13" s="249"/>
      <c r="J13" s="249">
        <v>1862967.11</v>
      </c>
      <c r="K13" s="213"/>
    </row>
    <row r="14" spans="1:11" ht="13.05" customHeight="1" x14ac:dyDescent="0.3">
      <c r="A14" s="213"/>
      <c r="B14" s="250" t="s">
        <v>224</v>
      </c>
      <c r="C14" s="251" t="s">
        <v>225</v>
      </c>
      <c r="D14" s="252" t="s">
        <v>226</v>
      </c>
      <c r="E14" s="253">
        <v>58796</v>
      </c>
      <c r="F14" s="253"/>
      <c r="G14" s="253"/>
      <c r="H14" s="253"/>
      <c r="I14" s="253"/>
      <c r="J14" s="253">
        <v>58796</v>
      </c>
      <c r="K14" s="213"/>
    </row>
    <row r="15" spans="1:11" ht="13.05" customHeight="1" x14ac:dyDescent="0.3">
      <c r="A15" s="213"/>
      <c r="B15" s="246" t="s">
        <v>227</v>
      </c>
      <c r="C15" s="247" t="s">
        <v>228</v>
      </c>
      <c r="D15" s="248" t="s">
        <v>229</v>
      </c>
      <c r="E15" s="249">
        <v>485</v>
      </c>
      <c r="F15" s="249"/>
      <c r="G15" s="249"/>
      <c r="H15" s="249"/>
      <c r="I15" s="249"/>
      <c r="J15" s="249">
        <v>485</v>
      </c>
      <c r="K15" s="213"/>
    </row>
    <row r="16" spans="1:11" ht="13.05" customHeight="1" x14ac:dyDescent="0.3">
      <c r="A16" s="213"/>
      <c r="B16" s="250" t="s">
        <v>227</v>
      </c>
      <c r="C16" s="251" t="s">
        <v>230</v>
      </c>
      <c r="D16" s="252" t="s">
        <v>231</v>
      </c>
      <c r="E16" s="253">
        <v>24705</v>
      </c>
      <c r="F16" s="253"/>
      <c r="G16" s="253"/>
      <c r="H16" s="253"/>
      <c r="I16" s="253"/>
      <c r="J16" s="253">
        <v>24705</v>
      </c>
      <c r="K16" s="213"/>
    </row>
    <row r="17" spans="1:11" ht="13.05" customHeight="1" x14ac:dyDescent="0.3">
      <c r="A17" s="213"/>
      <c r="B17" s="246" t="s">
        <v>227</v>
      </c>
      <c r="C17" s="247" t="s">
        <v>232</v>
      </c>
      <c r="D17" s="248" t="s">
        <v>233</v>
      </c>
      <c r="E17" s="249">
        <v>8652.51</v>
      </c>
      <c r="F17" s="249"/>
      <c r="G17" s="249"/>
      <c r="H17" s="249"/>
      <c r="I17" s="249"/>
      <c r="J17" s="249">
        <v>8652.51</v>
      </c>
      <c r="K17" s="213"/>
    </row>
    <row r="18" spans="1:11" ht="13.05" customHeight="1" x14ac:dyDescent="0.3">
      <c r="A18" s="213"/>
      <c r="B18" s="250" t="s">
        <v>224</v>
      </c>
      <c r="C18" s="251" t="s">
        <v>234</v>
      </c>
      <c r="D18" s="252" t="s">
        <v>217</v>
      </c>
      <c r="E18" s="253">
        <v>48833.31</v>
      </c>
      <c r="F18" s="253"/>
      <c r="G18" s="253"/>
      <c r="H18" s="253"/>
      <c r="I18" s="253"/>
      <c r="J18" s="253">
        <v>48833.31</v>
      </c>
      <c r="K18" s="213"/>
    </row>
    <row r="19" spans="1:11" ht="13.05" customHeight="1" x14ac:dyDescent="0.3">
      <c r="A19" s="213"/>
      <c r="B19" s="246" t="s">
        <v>213</v>
      </c>
      <c r="C19" s="247" t="s">
        <v>235</v>
      </c>
      <c r="D19" s="248" t="s">
        <v>236</v>
      </c>
      <c r="E19" s="249">
        <v>35</v>
      </c>
      <c r="F19" s="249"/>
      <c r="G19" s="249"/>
      <c r="H19" s="249"/>
      <c r="I19" s="249"/>
      <c r="J19" s="249">
        <v>35</v>
      </c>
      <c r="K19" s="213"/>
    </row>
    <row r="20" spans="1:11" ht="13.05" customHeight="1" x14ac:dyDescent="0.3">
      <c r="A20" s="213"/>
      <c r="B20" s="250" t="s">
        <v>213</v>
      </c>
      <c r="C20" s="251" t="s">
        <v>237</v>
      </c>
      <c r="D20" s="252" t="s">
        <v>238</v>
      </c>
      <c r="E20" s="253">
        <v>13861</v>
      </c>
      <c r="F20" s="253"/>
      <c r="G20" s="253"/>
      <c r="H20" s="253"/>
      <c r="I20" s="253"/>
      <c r="J20" s="253">
        <v>13861</v>
      </c>
      <c r="K20" s="213"/>
    </row>
    <row r="21" spans="1:11" ht="13.05" customHeight="1" x14ac:dyDescent="0.3">
      <c r="A21" s="213"/>
      <c r="B21" s="246" t="s">
        <v>239</v>
      </c>
      <c r="C21" s="247" t="s">
        <v>240</v>
      </c>
      <c r="D21" s="248" t="s">
        <v>241</v>
      </c>
      <c r="E21" s="249">
        <v>40324.68</v>
      </c>
      <c r="F21" s="249"/>
      <c r="G21" s="249"/>
      <c r="H21" s="249"/>
      <c r="I21" s="249"/>
      <c r="J21" s="249">
        <v>40324.68</v>
      </c>
      <c r="K21" s="213"/>
    </row>
    <row r="22" spans="1:11" ht="13.05" customHeight="1" x14ac:dyDescent="0.3">
      <c r="A22" s="213"/>
      <c r="B22" s="250" t="s">
        <v>213</v>
      </c>
      <c r="C22" s="251" t="s">
        <v>242</v>
      </c>
      <c r="D22" s="252" t="s">
        <v>243</v>
      </c>
      <c r="E22" s="253">
        <v>17834</v>
      </c>
      <c r="F22" s="253"/>
      <c r="G22" s="253"/>
      <c r="H22" s="253"/>
      <c r="I22" s="253"/>
      <c r="J22" s="253">
        <v>17834</v>
      </c>
      <c r="K22" s="213"/>
    </row>
    <row r="23" spans="1:11" ht="13.05" customHeight="1" x14ac:dyDescent="0.3">
      <c r="A23" s="213"/>
      <c r="B23" s="246" t="s">
        <v>213</v>
      </c>
      <c r="C23" s="247" t="s">
        <v>244</v>
      </c>
      <c r="D23" s="248" t="s">
        <v>245</v>
      </c>
      <c r="E23" s="249">
        <v>330.36</v>
      </c>
      <c r="F23" s="249"/>
      <c r="G23" s="249"/>
      <c r="H23" s="249"/>
      <c r="I23" s="249"/>
      <c r="J23" s="249">
        <v>330.36</v>
      </c>
      <c r="K23" s="213"/>
    </row>
    <row r="24" spans="1:11" ht="15" customHeight="1" x14ac:dyDescent="0.3">
      <c r="A24" s="213"/>
      <c r="B24" s="243" t="s">
        <v>246</v>
      </c>
      <c r="C24" s="244"/>
      <c r="D24" s="244"/>
      <c r="E24" s="245">
        <v>7965249.3500000006</v>
      </c>
      <c r="F24" s="245">
        <v>1114061.8999999999</v>
      </c>
      <c r="G24" s="245"/>
      <c r="H24" s="245"/>
      <c r="I24" s="245">
        <v>49.4</v>
      </c>
      <c r="J24" s="245">
        <v>9079360.6500000004</v>
      </c>
      <c r="K24" s="213"/>
    </row>
    <row r="25" spans="1:11" ht="13.05" customHeight="1" x14ac:dyDescent="0.3">
      <c r="A25" s="213"/>
      <c r="B25" s="246" t="s">
        <v>224</v>
      </c>
      <c r="C25" s="247" t="s">
        <v>225</v>
      </c>
      <c r="D25" s="248" t="s">
        <v>226</v>
      </c>
      <c r="E25" s="249">
        <v>2070805.54</v>
      </c>
      <c r="F25" s="249"/>
      <c r="G25" s="249"/>
      <c r="H25" s="249"/>
      <c r="I25" s="249"/>
      <c r="J25" s="249">
        <v>2070805.54</v>
      </c>
      <c r="K25" s="213"/>
    </row>
    <row r="26" spans="1:11" ht="13.05" customHeight="1" x14ac:dyDescent="0.3">
      <c r="A26" s="213"/>
      <c r="B26" s="250" t="s">
        <v>227</v>
      </c>
      <c r="C26" s="251" t="s">
        <v>228</v>
      </c>
      <c r="D26" s="252" t="s">
        <v>229</v>
      </c>
      <c r="E26" s="253">
        <v>5045.3</v>
      </c>
      <c r="F26" s="253"/>
      <c r="G26" s="253"/>
      <c r="H26" s="253"/>
      <c r="I26" s="253"/>
      <c r="J26" s="253">
        <v>5045.3</v>
      </c>
      <c r="K26" s="213"/>
    </row>
    <row r="27" spans="1:11" ht="13.05" customHeight="1" x14ac:dyDescent="0.3">
      <c r="A27" s="213"/>
      <c r="B27" s="246" t="s">
        <v>227</v>
      </c>
      <c r="C27" s="247" t="s">
        <v>230</v>
      </c>
      <c r="D27" s="248" t="s">
        <v>231</v>
      </c>
      <c r="E27" s="249">
        <v>1730</v>
      </c>
      <c r="F27" s="249"/>
      <c r="G27" s="249"/>
      <c r="H27" s="249"/>
      <c r="I27" s="249"/>
      <c r="J27" s="249">
        <v>1730</v>
      </c>
      <c r="K27" s="213"/>
    </row>
    <row r="28" spans="1:11" ht="13.05" customHeight="1" x14ac:dyDescent="0.3">
      <c r="A28" s="213"/>
      <c r="B28" s="250" t="s">
        <v>227</v>
      </c>
      <c r="C28" s="251" t="s">
        <v>232</v>
      </c>
      <c r="D28" s="252" t="s">
        <v>233</v>
      </c>
      <c r="E28" s="253">
        <v>599.44000000000005</v>
      </c>
      <c r="F28" s="253"/>
      <c r="G28" s="253"/>
      <c r="H28" s="253"/>
      <c r="I28" s="253"/>
      <c r="J28" s="253">
        <v>599.44000000000005</v>
      </c>
      <c r="K28" s="213"/>
    </row>
    <row r="29" spans="1:11" ht="13.05" customHeight="1" x14ac:dyDescent="0.3">
      <c r="A29" s="213"/>
      <c r="B29" s="246" t="s">
        <v>224</v>
      </c>
      <c r="C29" s="247" t="s">
        <v>234</v>
      </c>
      <c r="D29" s="248" t="s">
        <v>217</v>
      </c>
      <c r="E29" s="249">
        <v>588820.28</v>
      </c>
      <c r="F29" s="249"/>
      <c r="G29" s="249"/>
      <c r="H29" s="249"/>
      <c r="I29" s="249"/>
      <c r="J29" s="249">
        <v>588820.28</v>
      </c>
      <c r="K29" s="213"/>
    </row>
    <row r="30" spans="1:11" ht="13.05" customHeight="1" x14ac:dyDescent="0.3">
      <c r="A30" s="213"/>
      <c r="B30" s="250" t="s">
        <v>213</v>
      </c>
      <c r="C30" s="251" t="s">
        <v>235</v>
      </c>
      <c r="D30" s="252" t="s">
        <v>236</v>
      </c>
      <c r="E30" s="253">
        <v>396019.76</v>
      </c>
      <c r="F30" s="253"/>
      <c r="G30" s="253"/>
      <c r="H30" s="253"/>
      <c r="I30" s="253"/>
      <c r="J30" s="253">
        <v>396019.76</v>
      </c>
      <c r="K30" s="213"/>
    </row>
    <row r="31" spans="1:11" ht="13.05" customHeight="1" x14ac:dyDescent="0.3">
      <c r="A31" s="213"/>
      <c r="B31" s="246" t="s">
        <v>213</v>
      </c>
      <c r="C31" s="247" t="s">
        <v>237</v>
      </c>
      <c r="D31" s="248" t="s">
        <v>238</v>
      </c>
      <c r="E31" s="249">
        <v>62403.76</v>
      </c>
      <c r="F31" s="249"/>
      <c r="G31" s="249"/>
      <c r="H31" s="249"/>
      <c r="I31" s="249"/>
      <c r="J31" s="249">
        <v>62403.76</v>
      </c>
      <c r="K31" s="213"/>
    </row>
    <row r="32" spans="1:11" ht="13.05" customHeight="1" x14ac:dyDescent="0.3">
      <c r="A32" s="213"/>
      <c r="B32" s="250" t="s">
        <v>239</v>
      </c>
      <c r="C32" s="251" t="s">
        <v>240</v>
      </c>
      <c r="D32" s="252" t="s">
        <v>241</v>
      </c>
      <c r="E32" s="253">
        <v>25488</v>
      </c>
      <c r="F32" s="253"/>
      <c r="G32" s="253"/>
      <c r="H32" s="253"/>
      <c r="I32" s="253"/>
      <c r="J32" s="253">
        <v>25488</v>
      </c>
      <c r="K32" s="213"/>
    </row>
    <row r="33" spans="1:11" ht="13.05" customHeight="1" x14ac:dyDescent="0.3">
      <c r="A33" s="213"/>
      <c r="B33" s="246" t="s">
        <v>213</v>
      </c>
      <c r="C33" s="247" t="s">
        <v>242</v>
      </c>
      <c r="D33" s="248" t="s">
        <v>243</v>
      </c>
      <c r="E33" s="249">
        <v>5434.49</v>
      </c>
      <c r="F33" s="249"/>
      <c r="G33" s="249"/>
      <c r="H33" s="249"/>
      <c r="I33" s="249"/>
      <c r="J33" s="249">
        <v>5434.49</v>
      </c>
      <c r="K33" s="213"/>
    </row>
    <row r="34" spans="1:11" ht="13.05" customHeight="1" x14ac:dyDescent="0.3">
      <c r="A34" s="213"/>
      <c r="B34" s="250" t="s">
        <v>213</v>
      </c>
      <c r="C34" s="251" t="s">
        <v>244</v>
      </c>
      <c r="D34" s="252" t="s">
        <v>245</v>
      </c>
      <c r="E34" s="253">
        <v>3696</v>
      </c>
      <c r="F34" s="253"/>
      <c r="G34" s="253"/>
      <c r="H34" s="253"/>
      <c r="I34" s="253"/>
      <c r="J34" s="253">
        <v>3696</v>
      </c>
      <c r="K34" s="213"/>
    </row>
    <row r="35" spans="1:11" ht="13.05" customHeight="1" x14ac:dyDescent="0.3">
      <c r="A35" s="213"/>
      <c r="B35" s="246" t="s">
        <v>213</v>
      </c>
      <c r="C35" s="247" t="s">
        <v>247</v>
      </c>
      <c r="D35" s="248" t="s">
        <v>248</v>
      </c>
      <c r="E35" s="249">
        <v>15289</v>
      </c>
      <c r="F35" s="249"/>
      <c r="G35" s="249"/>
      <c r="H35" s="249"/>
      <c r="I35" s="249"/>
      <c r="J35" s="249">
        <v>15289</v>
      </c>
      <c r="K35" s="213"/>
    </row>
    <row r="36" spans="1:11" ht="13.05" customHeight="1" x14ac:dyDescent="0.3">
      <c r="A36" s="213"/>
      <c r="B36" s="250" t="s">
        <v>249</v>
      </c>
      <c r="C36" s="251" t="s">
        <v>250</v>
      </c>
      <c r="D36" s="252" t="s">
        <v>251</v>
      </c>
      <c r="E36" s="253"/>
      <c r="F36" s="253"/>
      <c r="G36" s="253"/>
      <c r="H36" s="253"/>
      <c r="I36" s="254">
        <v>49.4</v>
      </c>
      <c r="J36" s="253">
        <v>49.4</v>
      </c>
      <c r="K36" s="213"/>
    </row>
    <row r="37" spans="1:11" ht="13.05" customHeight="1" x14ac:dyDescent="0.3">
      <c r="A37" s="213"/>
      <c r="B37" s="246" t="s">
        <v>227</v>
      </c>
      <c r="C37" s="247" t="s">
        <v>252</v>
      </c>
      <c r="D37" s="248" t="s">
        <v>253</v>
      </c>
      <c r="E37" s="249"/>
      <c r="F37" s="249">
        <v>47200</v>
      </c>
      <c r="G37" s="249"/>
      <c r="H37" s="249"/>
      <c r="I37" s="249"/>
      <c r="J37" s="249">
        <v>47200</v>
      </c>
      <c r="K37" s="213"/>
    </row>
    <row r="38" spans="1:11" ht="13.05" customHeight="1" x14ac:dyDescent="0.3">
      <c r="A38" s="213"/>
      <c r="B38" s="250" t="s">
        <v>227</v>
      </c>
      <c r="C38" s="251" t="s">
        <v>254</v>
      </c>
      <c r="D38" s="252" t="s">
        <v>255</v>
      </c>
      <c r="E38" s="253"/>
      <c r="F38" s="253">
        <v>16249.17</v>
      </c>
      <c r="G38" s="253"/>
      <c r="H38" s="253"/>
      <c r="I38" s="253"/>
      <c r="J38" s="253">
        <v>16249.17</v>
      </c>
      <c r="K38" s="213"/>
    </row>
    <row r="39" spans="1:11" ht="13.05" customHeight="1" x14ac:dyDescent="0.3">
      <c r="A39" s="213"/>
      <c r="B39" s="246" t="s">
        <v>227</v>
      </c>
      <c r="C39" s="247" t="s">
        <v>256</v>
      </c>
      <c r="D39" s="248" t="s">
        <v>257</v>
      </c>
      <c r="E39" s="249">
        <v>37500.400000000001</v>
      </c>
      <c r="F39" s="249"/>
      <c r="G39" s="249"/>
      <c r="H39" s="249"/>
      <c r="I39" s="249"/>
      <c r="J39" s="249">
        <v>37500.400000000001</v>
      </c>
      <c r="K39" s="213"/>
    </row>
    <row r="40" spans="1:11" ht="13.05" customHeight="1" x14ac:dyDescent="0.3">
      <c r="A40" s="213"/>
      <c r="B40" s="250" t="s">
        <v>227</v>
      </c>
      <c r="C40" s="251" t="s">
        <v>258</v>
      </c>
      <c r="D40" s="252" t="s">
        <v>257</v>
      </c>
      <c r="E40" s="253">
        <v>86580.05</v>
      </c>
      <c r="F40" s="253"/>
      <c r="G40" s="253"/>
      <c r="H40" s="253"/>
      <c r="I40" s="253"/>
      <c r="J40" s="253">
        <v>86580.05</v>
      </c>
      <c r="K40" s="213"/>
    </row>
    <row r="41" spans="1:11" ht="13.05" customHeight="1" x14ac:dyDescent="0.3">
      <c r="A41" s="213"/>
      <c r="B41" s="246" t="s">
        <v>259</v>
      </c>
      <c r="C41" s="247" t="s">
        <v>260</v>
      </c>
      <c r="D41" s="248" t="s">
        <v>257</v>
      </c>
      <c r="E41" s="249">
        <v>287209.23</v>
      </c>
      <c r="F41" s="249"/>
      <c r="G41" s="249"/>
      <c r="H41" s="249"/>
      <c r="I41" s="249"/>
      <c r="J41" s="249">
        <v>287209.23</v>
      </c>
      <c r="K41" s="213"/>
    </row>
    <row r="42" spans="1:11" ht="13.05" customHeight="1" x14ac:dyDescent="0.3">
      <c r="A42" s="213"/>
      <c r="B42" s="250" t="s">
        <v>224</v>
      </c>
      <c r="C42" s="251" t="s">
        <v>261</v>
      </c>
      <c r="D42" s="252" t="s">
        <v>262</v>
      </c>
      <c r="E42" s="253">
        <v>542620.88</v>
      </c>
      <c r="F42" s="253"/>
      <c r="G42" s="253"/>
      <c r="H42" s="253"/>
      <c r="I42" s="253"/>
      <c r="J42" s="253">
        <v>542620.88</v>
      </c>
      <c r="K42" s="213"/>
    </row>
    <row r="43" spans="1:11" ht="13.05" customHeight="1" x14ac:dyDescent="0.3">
      <c r="A43" s="213"/>
      <c r="B43" s="246" t="s">
        <v>224</v>
      </c>
      <c r="C43" s="247" t="s">
        <v>263</v>
      </c>
      <c r="D43" s="248" t="s">
        <v>262</v>
      </c>
      <c r="E43" s="249">
        <v>325572.53000000003</v>
      </c>
      <c r="F43" s="249"/>
      <c r="G43" s="249"/>
      <c r="H43" s="249"/>
      <c r="I43" s="249"/>
      <c r="J43" s="249">
        <v>325572.53000000003</v>
      </c>
      <c r="K43" s="213"/>
    </row>
    <row r="44" spans="1:11" ht="13.05" customHeight="1" x14ac:dyDescent="0.3">
      <c r="A44" s="213"/>
      <c r="B44" s="250" t="s">
        <v>213</v>
      </c>
      <c r="C44" s="251" t="s">
        <v>264</v>
      </c>
      <c r="D44" s="252" t="s">
        <v>231</v>
      </c>
      <c r="E44" s="253">
        <v>22761</v>
      </c>
      <c r="F44" s="253"/>
      <c r="G44" s="253"/>
      <c r="H44" s="253"/>
      <c r="I44" s="253"/>
      <c r="J44" s="253">
        <v>22761</v>
      </c>
      <c r="K44" s="213"/>
    </row>
    <row r="45" spans="1:11" ht="13.05" customHeight="1" x14ac:dyDescent="0.3">
      <c r="A45" s="213"/>
      <c r="B45" s="246" t="s">
        <v>227</v>
      </c>
      <c r="C45" s="247" t="s">
        <v>265</v>
      </c>
      <c r="D45" s="248" t="s">
        <v>231</v>
      </c>
      <c r="E45" s="249">
        <v>19300.5</v>
      </c>
      <c r="F45" s="249"/>
      <c r="G45" s="249"/>
      <c r="H45" s="249"/>
      <c r="I45" s="249"/>
      <c r="J45" s="249">
        <v>19300.5</v>
      </c>
      <c r="K45" s="213"/>
    </row>
    <row r="46" spans="1:11" ht="13.05" customHeight="1" x14ac:dyDescent="0.3">
      <c r="A46" s="213"/>
      <c r="B46" s="250" t="s">
        <v>224</v>
      </c>
      <c r="C46" s="251" t="s">
        <v>266</v>
      </c>
      <c r="D46" s="252" t="s">
        <v>233</v>
      </c>
      <c r="E46" s="253">
        <v>570931.53</v>
      </c>
      <c r="F46" s="253"/>
      <c r="G46" s="253"/>
      <c r="H46" s="253"/>
      <c r="I46" s="253"/>
      <c r="J46" s="253">
        <v>570931.53</v>
      </c>
      <c r="K46" s="213"/>
    </row>
    <row r="47" spans="1:11" ht="13.05" customHeight="1" x14ac:dyDescent="0.3">
      <c r="A47" s="213"/>
      <c r="B47" s="246" t="s">
        <v>224</v>
      </c>
      <c r="C47" s="247" t="s">
        <v>267</v>
      </c>
      <c r="D47" s="248" t="s">
        <v>233</v>
      </c>
      <c r="E47" s="249">
        <v>326563.11</v>
      </c>
      <c r="F47" s="249"/>
      <c r="G47" s="249"/>
      <c r="H47" s="249"/>
      <c r="I47" s="249"/>
      <c r="J47" s="249">
        <v>326563.11</v>
      </c>
      <c r="K47" s="213"/>
    </row>
    <row r="48" spans="1:11" ht="13.05" customHeight="1" x14ac:dyDescent="0.3">
      <c r="A48" s="213"/>
      <c r="B48" s="250" t="s">
        <v>268</v>
      </c>
      <c r="C48" s="251" t="s">
        <v>269</v>
      </c>
      <c r="D48" s="252" t="s">
        <v>270</v>
      </c>
      <c r="E48" s="253"/>
      <c r="F48" s="253">
        <v>125606.28</v>
      </c>
      <c r="G48" s="253"/>
      <c r="H48" s="253"/>
      <c r="I48" s="253"/>
      <c r="J48" s="253">
        <v>125606.28</v>
      </c>
      <c r="K48" s="213"/>
    </row>
    <row r="49" spans="1:11" ht="13.05" customHeight="1" x14ac:dyDescent="0.3">
      <c r="A49" s="213"/>
      <c r="B49" s="246" t="s">
        <v>268</v>
      </c>
      <c r="C49" s="247" t="s">
        <v>271</v>
      </c>
      <c r="D49" s="248" t="s">
        <v>270</v>
      </c>
      <c r="E49" s="249"/>
      <c r="F49" s="249">
        <v>33317.35</v>
      </c>
      <c r="G49" s="249"/>
      <c r="H49" s="249"/>
      <c r="I49" s="249"/>
      <c r="J49" s="249">
        <v>33317.35</v>
      </c>
      <c r="K49" s="213"/>
    </row>
    <row r="50" spans="1:11" ht="13.05" customHeight="1" x14ac:dyDescent="0.3">
      <c r="A50" s="213"/>
      <c r="B50" s="250" t="s">
        <v>213</v>
      </c>
      <c r="C50" s="251" t="s">
        <v>272</v>
      </c>
      <c r="D50" s="252" t="s">
        <v>215</v>
      </c>
      <c r="E50" s="253">
        <v>122940</v>
      </c>
      <c r="F50" s="253"/>
      <c r="G50" s="253"/>
      <c r="H50" s="253"/>
      <c r="I50" s="253"/>
      <c r="J50" s="253">
        <v>122940</v>
      </c>
      <c r="K50" s="213"/>
    </row>
    <row r="51" spans="1:11" ht="13.05" customHeight="1" x14ac:dyDescent="0.3">
      <c r="A51" s="213"/>
      <c r="B51" s="246" t="s">
        <v>268</v>
      </c>
      <c r="C51" s="247" t="s">
        <v>273</v>
      </c>
      <c r="D51" s="248" t="s">
        <v>274</v>
      </c>
      <c r="E51" s="249"/>
      <c r="F51" s="249">
        <v>32295.88</v>
      </c>
      <c r="G51" s="249"/>
      <c r="H51" s="249"/>
      <c r="I51" s="249"/>
      <c r="J51" s="249">
        <v>32295.88</v>
      </c>
      <c r="K51" s="213"/>
    </row>
    <row r="52" spans="1:11" ht="13.05" customHeight="1" x14ac:dyDescent="0.3">
      <c r="A52" s="213"/>
      <c r="B52" s="250" t="s">
        <v>268</v>
      </c>
      <c r="C52" s="251" t="s">
        <v>275</v>
      </c>
      <c r="D52" s="252" t="s">
        <v>274</v>
      </c>
      <c r="E52" s="253"/>
      <c r="F52" s="253">
        <v>50133.96</v>
      </c>
      <c r="G52" s="253"/>
      <c r="H52" s="253"/>
      <c r="I52" s="253"/>
      <c r="J52" s="253">
        <v>50133.96</v>
      </c>
      <c r="K52" s="213"/>
    </row>
    <row r="53" spans="1:11" ht="13.05" customHeight="1" x14ac:dyDescent="0.3">
      <c r="A53" s="213"/>
      <c r="B53" s="246" t="s">
        <v>227</v>
      </c>
      <c r="C53" s="247" t="s">
        <v>276</v>
      </c>
      <c r="D53" s="248" t="s">
        <v>215</v>
      </c>
      <c r="E53" s="249">
        <v>7249.92</v>
      </c>
      <c r="F53" s="249"/>
      <c r="G53" s="249"/>
      <c r="H53" s="249"/>
      <c r="I53" s="249"/>
      <c r="J53" s="249">
        <v>7249.92</v>
      </c>
      <c r="K53" s="213"/>
    </row>
    <row r="54" spans="1:11" ht="13.05" customHeight="1" x14ac:dyDescent="0.3">
      <c r="A54" s="213"/>
      <c r="B54" s="250" t="s">
        <v>224</v>
      </c>
      <c r="C54" s="251" t="s">
        <v>277</v>
      </c>
      <c r="D54" s="252" t="s">
        <v>217</v>
      </c>
      <c r="E54" s="253">
        <v>61339.75</v>
      </c>
      <c r="F54" s="253"/>
      <c r="G54" s="253"/>
      <c r="H54" s="253"/>
      <c r="I54" s="253"/>
      <c r="J54" s="253">
        <v>61339.75</v>
      </c>
      <c r="K54" s="213"/>
    </row>
    <row r="55" spans="1:11" ht="13.05" customHeight="1" x14ac:dyDescent="0.3">
      <c r="A55" s="213"/>
      <c r="B55" s="246" t="s">
        <v>227</v>
      </c>
      <c r="C55" s="247" t="s">
        <v>278</v>
      </c>
      <c r="D55" s="248" t="s">
        <v>217</v>
      </c>
      <c r="E55" s="249">
        <v>64621.14</v>
      </c>
      <c r="F55" s="249"/>
      <c r="G55" s="249"/>
      <c r="H55" s="249"/>
      <c r="I55" s="249"/>
      <c r="J55" s="249">
        <v>64621.14</v>
      </c>
      <c r="K55" s="213"/>
    </row>
    <row r="56" spans="1:11" ht="13.05" customHeight="1" x14ac:dyDescent="0.3">
      <c r="A56" s="213"/>
      <c r="B56" s="250" t="s">
        <v>279</v>
      </c>
      <c r="C56" s="251" t="s">
        <v>280</v>
      </c>
      <c r="D56" s="252" t="s">
        <v>281</v>
      </c>
      <c r="E56" s="253">
        <v>2125.0700000000002</v>
      </c>
      <c r="F56" s="253"/>
      <c r="G56" s="253"/>
      <c r="H56" s="253"/>
      <c r="I56" s="253"/>
      <c r="J56" s="253">
        <v>2125.0700000000002</v>
      </c>
      <c r="K56" s="213"/>
    </row>
    <row r="57" spans="1:11" ht="13.05" customHeight="1" x14ac:dyDescent="0.3">
      <c r="A57" s="213"/>
      <c r="B57" s="246" t="s">
        <v>259</v>
      </c>
      <c r="C57" s="247" t="s">
        <v>282</v>
      </c>
      <c r="D57" s="248" t="s">
        <v>238</v>
      </c>
      <c r="E57" s="249">
        <v>152775.81</v>
      </c>
      <c r="F57" s="249"/>
      <c r="G57" s="249"/>
      <c r="H57" s="249"/>
      <c r="I57" s="249"/>
      <c r="J57" s="249">
        <v>152775.81</v>
      </c>
      <c r="K57" s="213"/>
    </row>
    <row r="58" spans="1:11" ht="13.05" customHeight="1" x14ac:dyDescent="0.3">
      <c r="A58" s="213"/>
      <c r="B58" s="250" t="s">
        <v>213</v>
      </c>
      <c r="C58" s="251" t="s">
        <v>283</v>
      </c>
      <c r="D58" s="252" t="s">
        <v>238</v>
      </c>
      <c r="E58" s="253">
        <v>517.79999999999995</v>
      </c>
      <c r="F58" s="253"/>
      <c r="G58" s="253"/>
      <c r="H58" s="253"/>
      <c r="I58" s="253"/>
      <c r="J58" s="253">
        <v>517.79999999999995</v>
      </c>
      <c r="K58" s="213"/>
    </row>
    <row r="59" spans="1:11" ht="13.05" customHeight="1" x14ac:dyDescent="0.3">
      <c r="A59" s="213"/>
      <c r="B59" s="246" t="s">
        <v>284</v>
      </c>
      <c r="C59" s="247" t="s">
        <v>285</v>
      </c>
      <c r="D59" s="248" t="s">
        <v>238</v>
      </c>
      <c r="E59" s="249">
        <v>262723.21999999997</v>
      </c>
      <c r="F59" s="249"/>
      <c r="G59" s="249"/>
      <c r="H59" s="249"/>
      <c r="I59" s="249"/>
      <c r="J59" s="249">
        <v>262723.21999999997</v>
      </c>
      <c r="K59" s="213"/>
    </row>
    <row r="60" spans="1:11" ht="13.05" customHeight="1" x14ac:dyDescent="0.3">
      <c r="A60" s="213"/>
      <c r="B60" s="250" t="s">
        <v>213</v>
      </c>
      <c r="C60" s="251" t="s">
        <v>286</v>
      </c>
      <c r="D60" s="252" t="s">
        <v>287</v>
      </c>
      <c r="E60" s="253">
        <v>46824</v>
      </c>
      <c r="F60" s="253"/>
      <c r="G60" s="253"/>
      <c r="H60" s="253"/>
      <c r="I60" s="253"/>
      <c r="J60" s="253">
        <v>46824</v>
      </c>
      <c r="K60" s="213"/>
    </row>
    <row r="61" spans="1:11" ht="13.05" customHeight="1" x14ac:dyDescent="0.3">
      <c r="A61" s="213"/>
      <c r="B61" s="246" t="s">
        <v>288</v>
      </c>
      <c r="C61" s="247" t="s">
        <v>289</v>
      </c>
      <c r="D61" s="248" t="s">
        <v>290</v>
      </c>
      <c r="E61" s="249"/>
      <c r="F61" s="249">
        <v>129800</v>
      </c>
      <c r="G61" s="249"/>
      <c r="H61" s="249"/>
      <c r="I61" s="249"/>
      <c r="J61" s="249">
        <v>129800</v>
      </c>
      <c r="K61" s="213"/>
    </row>
    <row r="62" spans="1:11" ht="13.05" customHeight="1" x14ac:dyDescent="0.3">
      <c r="A62" s="213"/>
      <c r="B62" s="250" t="s">
        <v>224</v>
      </c>
      <c r="C62" s="251" t="s">
        <v>291</v>
      </c>
      <c r="D62" s="252" t="s">
        <v>292</v>
      </c>
      <c r="E62" s="253">
        <v>194443.61</v>
      </c>
      <c r="F62" s="253"/>
      <c r="G62" s="253"/>
      <c r="H62" s="253"/>
      <c r="I62" s="253"/>
      <c r="J62" s="253">
        <v>194443.61</v>
      </c>
      <c r="K62" s="213"/>
    </row>
    <row r="63" spans="1:11" ht="13.05" customHeight="1" x14ac:dyDescent="0.3">
      <c r="A63" s="213"/>
      <c r="B63" s="246" t="s">
        <v>224</v>
      </c>
      <c r="C63" s="247" t="s">
        <v>293</v>
      </c>
      <c r="D63" s="248" t="s">
        <v>292</v>
      </c>
      <c r="E63" s="249">
        <v>577531.74</v>
      </c>
      <c r="F63" s="249"/>
      <c r="G63" s="249"/>
      <c r="H63" s="249"/>
      <c r="I63" s="249"/>
      <c r="J63" s="249">
        <v>577531.74</v>
      </c>
      <c r="K63" s="213"/>
    </row>
    <row r="64" spans="1:11" ht="13.05" customHeight="1" x14ac:dyDescent="0.3">
      <c r="A64" s="213"/>
      <c r="B64" s="250" t="s">
        <v>294</v>
      </c>
      <c r="C64" s="251" t="s">
        <v>295</v>
      </c>
      <c r="D64" s="252" t="s">
        <v>296</v>
      </c>
      <c r="E64" s="253">
        <v>715000</v>
      </c>
      <c r="F64" s="253"/>
      <c r="G64" s="253"/>
      <c r="H64" s="253"/>
      <c r="I64" s="253"/>
      <c r="J64" s="253">
        <v>715000</v>
      </c>
      <c r="K64" s="213"/>
    </row>
    <row r="65" spans="1:11" ht="13.05" customHeight="1" x14ac:dyDescent="0.3">
      <c r="A65" s="213"/>
      <c r="B65" s="246" t="s">
        <v>249</v>
      </c>
      <c r="C65" s="247" t="s">
        <v>297</v>
      </c>
      <c r="D65" s="248" t="s">
        <v>292</v>
      </c>
      <c r="E65" s="249">
        <v>146911.49</v>
      </c>
      <c r="F65" s="249"/>
      <c r="G65" s="249"/>
      <c r="H65" s="249"/>
      <c r="I65" s="249"/>
      <c r="J65" s="249">
        <v>146911.49</v>
      </c>
      <c r="K65" s="213"/>
    </row>
    <row r="66" spans="1:11" ht="13.05" customHeight="1" x14ac:dyDescent="0.3">
      <c r="A66" s="213"/>
      <c r="B66" s="250" t="s">
        <v>298</v>
      </c>
      <c r="C66" s="251" t="s">
        <v>299</v>
      </c>
      <c r="D66" s="252" t="s">
        <v>220</v>
      </c>
      <c r="E66" s="253"/>
      <c r="F66" s="253">
        <v>645239.26</v>
      </c>
      <c r="G66" s="253"/>
      <c r="H66" s="253"/>
      <c r="I66" s="253"/>
      <c r="J66" s="253">
        <v>645239.26</v>
      </c>
      <c r="K66" s="213"/>
    </row>
    <row r="67" spans="1:11" ht="13.05" customHeight="1" x14ac:dyDescent="0.3">
      <c r="A67" s="213"/>
      <c r="B67" s="246" t="s">
        <v>300</v>
      </c>
      <c r="C67" s="247" t="s">
        <v>301</v>
      </c>
      <c r="D67" s="248" t="s">
        <v>302</v>
      </c>
      <c r="E67" s="249">
        <v>124100</v>
      </c>
      <c r="F67" s="249"/>
      <c r="G67" s="249"/>
      <c r="H67" s="249"/>
      <c r="I67" s="249"/>
      <c r="J67" s="249">
        <v>124100</v>
      </c>
      <c r="K67" s="213"/>
    </row>
    <row r="68" spans="1:11" ht="13.05" customHeight="1" x14ac:dyDescent="0.3">
      <c r="A68" s="213"/>
      <c r="B68" s="250" t="s">
        <v>213</v>
      </c>
      <c r="C68" s="251" t="s">
        <v>303</v>
      </c>
      <c r="D68" s="252" t="s">
        <v>241</v>
      </c>
      <c r="E68" s="253">
        <v>43560</v>
      </c>
      <c r="F68" s="253"/>
      <c r="G68" s="253"/>
      <c r="H68" s="253"/>
      <c r="I68" s="253"/>
      <c r="J68" s="253">
        <v>43560</v>
      </c>
      <c r="K68" s="213"/>
    </row>
    <row r="69" spans="1:11" ht="13.05" customHeight="1" x14ac:dyDescent="0.3">
      <c r="A69" s="213"/>
      <c r="B69" s="246" t="s">
        <v>304</v>
      </c>
      <c r="C69" s="247" t="s">
        <v>305</v>
      </c>
      <c r="D69" s="248" t="s">
        <v>220</v>
      </c>
      <c r="E69" s="249"/>
      <c r="F69" s="249">
        <v>34220</v>
      </c>
      <c r="G69" s="249"/>
      <c r="H69" s="249"/>
      <c r="I69" s="249"/>
      <c r="J69" s="249">
        <v>34220</v>
      </c>
      <c r="K69" s="213"/>
    </row>
    <row r="70" spans="1:11" ht="13.05" customHeight="1" x14ac:dyDescent="0.3">
      <c r="A70" s="213"/>
      <c r="B70" s="250" t="s">
        <v>306</v>
      </c>
      <c r="C70" s="251" t="s">
        <v>307</v>
      </c>
      <c r="D70" s="252" t="s">
        <v>233</v>
      </c>
      <c r="E70" s="253">
        <v>33100</v>
      </c>
      <c r="F70" s="253"/>
      <c r="G70" s="253"/>
      <c r="H70" s="253"/>
      <c r="I70" s="253"/>
      <c r="J70" s="253">
        <v>33100</v>
      </c>
      <c r="K70" s="213"/>
    </row>
    <row r="71" spans="1:11" ht="13.05" customHeight="1" x14ac:dyDescent="0.3">
      <c r="A71" s="213"/>
      <c r="B71" s="246" t="s">
        <v>213</v>
      </c>
      <c r="C71" s="247" t="s">
        <v>308</v>
      </c>
      <c r="D71" s="248" t="s">
        <v>309</v>
      </c>
      <c r="E71" s="249">
        <v>15115</v>
      </c>
      <c r="F71" s="249"/>
      <c r="G71" s="249"/>
      <c r="H71" s="249"/>
      <c r="I71" s="249"/>
      <c r="J71" s="249">
        <v>15115</v>
      </c>
      <c r="K71" s="213"/>
    </row>
    <row r="72" spans="1:11" ht="15" customHeight="1" x14ac:dyDescent="0.3">
      <c r="A72" s="213"/>
      <c r="B72" s="243" t="s">
        <v>310</v>
      </c>
      <c r="C72" s="244"/>
      <c r="D72" s="244"/>
      <c r="E72" s="245"/>
      <c r="F72" s="245">
        <v>806796.06</v>
      </c>
      <c r="G72" s="245"/>
      <c r="H72" s="245"/>
      <c r="I72" s="245"/>
      <c r="J72" s="245">
        <v>806796.06</v>
      </c>
      <c r="K72" s="213"/>
    </row>
    <row r="73" spans="1:11" ht="13.05" customHeight="1" x14ac:dyDescent="0.3">
      <c r="A73" s="213"/>
      <c r="B73" s="246" t="s">
        <v>298</v>
      </c>
      <c r="C73" s="247" t="s">
        <v>311</v>
      </c>
      <c r="D73" s="248" t="s">
        <v>312</v>
      </c>
      <c r="E73" s="249"/>
      <c r="F73" s="249">
        <v>806796.06</v>
      </c>
      <c r="G73" s="249"/>
      <c r="H73" s="249"/>
      <c r="I73" s="249"/>
      <c r="J73" s="249">
        <v>806796.06</v>
      </c>
      <c r="K73" s="213"/>
    </row>
    <row r="74" spans="1:11" ht="15" customHeight="1" x14ac:dyDescent="0.3">
      <c r="A74" s="213"/>
      <c r="B74" s="243" t="s">
        <v>313</v>
      </c>
      <c r="C74" s="244"/>
      <c r="D74" s="244"/>
      <c r="E74" s="245">
        <v>90246.399999999994</v>
      </c>
      <c r="F74" s="245"/>
      <c r="G74" s="245"/>
      <c r="H74" s="245"/>
      <c r="I74" s="245"/>
      <c r="J74" s="245">
        <v>90246.399999999994</v>
      </c>
      <c r="K74" s="213"/>
    </row>
    <row r="75" spans="1:11" ht="13.05" customHeight="1" x14ac:dyDescent="0.3">
      <c r="A75" s="213"/>
      <c r="B75" s="246" t="s">
        <v>314</v>
      </c>
      <c r="C75" s="247" t="s">
        <v>315</v>
      </c>
      <c r="D75" s="248" t="s">
        <v>309</v>
      </c>
      <c r="E75" s="249">
        <v>90246.399999999994</v>
      </c>
      <c r="F75" s="249"/>
      <c r="G75" s="249"/>
      <c r="H75" s="249"/>
      <c r="I75" s="249"/>
      <c r="J75" s="249">
        <v>90246.399999999994</v>
      </c>
      <c r="K75" s="213"/>
    </row>
    <row r="76" spans="1:11" ht="15" customHeight="1" x14ac:dyDescent="0.3">
      <c r="A76" s="213"/>
      <c r="B76" s="243" t="s">
        <v>316</v>
      </c>
      <c r="C76" s="244"/>
      <c r="D76" s="244"/>
      <c r="E76" s="245"/>
      <c r="F76" s="245">
        <v>506964.3</v>
      </c>
      <c r="G76" s="245"/>
      <c r="H76" s="245"/>
      <c r="I76" s="245"/>
      <c r="J76" s="245">
        <v>506964.3</v>
      </c>
      <c r="K76" s="213"/>
    </row>
    <row r="77" spans="1:11" ht="13.05" customHeight="1" x14ac:dyDescent="0.3">
      <c r="A77" s="213"/>
      <c r="B77" s="246" t="s">
        <v>317</v>
      </c>
      <c r="C77" s="247" t="s">
        <v>318</v>
      </c>
      <c r="D77" s="248" t="s">
        <v>290</v>
      </c>
      <c r="E77" s="249"/>
      <c r="F77" s="249">
        <v>506964.3</v>
      </c>
      <c r="G77" s="249"/>
      <c r="H77" s="249"/>
      <c r="I77" s="249"/>
      <c r="J77" s="249">
        <v>506964.3</v>
      </c>
      <c r="K77" s="213"/>
    </row>
    <row r="78" spans="1:11" ht="15" customHeight="1" x14ac:dyDescent="0.3">
      <c r="A78" s="213"/>
      <c r="B78" s="243" t="s">
        <v>319</v>
      </c>
      <c r="C78" s="244"/>
      <c r="D78" s="244"/>
      <c r="E78" s="245">
        <v>2351087.39</v>
      </c>
      <c r="F78" s="245">
        <v>1660134.98</v>
      </c>
      <c r="G78" s="245"/>
      <c r="H78" s="245"/>
      <c r="I78" s="245"/>
      <c r="J78" s="245">
        <v>4011222.37</v>
      </c>
      <c r="K78" s="213"/>
    </row>
    <row r="79" spans="1:11" ht="13.05" customHeight="1" x14ac:dyDescent="0.3">
      <c r="A79" s="213"/>
      <c r="B79" s="246" t="s">
        <v>320</v>
      </c>
      <c r="C79" s="247" t="s">
        <v>321</v>
      </c>
      <c r="D79" s="248" t="s">
        <v>257</v>
      </c>
      <c r="E79" s="249">
        <v>704746.92</v>
      </c>
      <c r="F79" s="249"/>
      <c r="G79" s="249"/>
      <c r="H79" s="249"/>
      <c r="I79" s="249"/>
      <c r="J79" s="249">
        <v>704746.92</v>
      </c>
      <c r="K79" s="213"/>
    </row>
    <row r="80" spans="1:11" ht="13.05" customHeight="1" x14ac:dyDescent="0.3">
      <c r="A80" s="213"/>
      <c r="B80" s="250" t="s">
        <v>322</v>
      </c>
      <c r="C80" s="251" t="s">
        <v>323</v>
      </c>
      <c r="D80" s="252" t="s">
        <v>220</v>
      </c>
      <c r="E80" s="253"/>
      <c r="F80" s="253">
        <v>581828.5</v>
      </c>
      <c r="G80" s="253"/>
      <c r="H80" s="253"/>
      <c r="I80" s="253"/>
      <c r="J80" s="253">
        <v>581828.5</v>
      </c>
      <c r="K80" s="213"/>
    </row>
    <row r="81" spans="1:11" ht="13.05" customHeight="1" x14ac:dyDescent="0.3">
      <c r="A81" s="213"/>
      <c r="B81" s="246" t="s">
        <v>324</v>
      </c>
      <c r="C81" s="247" t="s">
        <v>325</v>
      </c>
      <c r="D81" s="248" t="s">
        <v>220</v>
      </c>
      <c r="E81" s="249"/>
      <c r="F81" s="249">
        <v>468623.25</v>
      </c>
      <c r="G81" s="249"/>
      <c r="H81" s="249"/>
      <c r="I81" s="249"/>
      <c r="J81" s="249">
        <v>468623.25</v>
      </c>
      <c r="K81" s="213"/>
    </row>
    <row r="82" spans="1:11" ht="13.05" customHeight="1" x14ac:dyDescent="0.3">
      <c r="A82" s="213"/>
      <c r="B82" s="250" t="s">
        <v>324</v>
      </c>
      <c r="C82" s="251" t="s">
        <v>326</v>
      </c>
      <c r="D82" s="252" t="s">
        <v>220</v>
      </c>
      <c r="E82" s="253"/>
      <c r="F82" s="253">
        <v>609683.23</v>
      </c>
      <c r="G82" s="253"/>
      <c r="H82" s="253"/>
      <c r="I82" s="253"/>
      <c r="J82" s="253">
        <v>609683.23</v>
      </c>
      <c r="K82" s="213"/>
    </row>
    <row r="83" spans="1:11" ht="13.05" customHeight="1" x14ac:dyDescent="0.3">
      <c r="A83" s="213"/>
      <c r="B83" s="246" t="s">
        <v>320</v>
      </c>
      <c r="C83" s="247" t="s">
        <v>327</v>
      </c>
      <c r="D83" s="248" t="s">
        <v>257</v>
      </c>
      <c r="E83" s="249">
        <v>628777.80000000005</v>
      </c>
      <c r="F83" s="249"/>
      <c r="G83" s="249"/>
      <c r="H83" s="249"/>
      <c r="I83" s="249"/>
      <c r="J83" s="249">
        <v>628777.80000000005</v>
      </c>
      <c r="K83" s="213"/>
    </row>
    <row r="84" spans="1:11" ht="13.05" customHeight="1" x14ac:dyDescent="0.3">
      <c r="A84" s="213"/>
      <c r="B84" s="250" t="s">
        <v>328</v>
      </c>
      <c r="C84" s="251" t="s">
        <v>329</v>
      </c>
      <c r="D84" s="252" t="s">
        <v>233</v>
      </c>
      <c r="E84" s="253">
        <v>530812.67000000004</v>
      </c>
      <c r="F84" s="253"/>
      <c r="G84" s="253"/>
      <c r="H84" s="253"/>
      <c r="I84" s="253"/>
      <c r="J84" s="253">
        <v>530812.67000000004</v>
      </c>
      <c r="K84" s="213"/>
    </row>
    <row r="85" spans="1:11" ht="13.05" customHeight="1" x14ac:dyDescent="0.3">
      <c r="A85" s="213"/>
      <c r="B85" s="246" t="s">
        <v>330</v>
      </c>
      <c r="C85" s="247" t="s">
        <v>331</v>
      </c>
      <c r="D85" s="248" t="s">
        <v>233</v>
      </c>
      <c r="E85" s="249">
        <v>486750</v>
      </c>
      <c r="F85" s="249"/>
      <c r="G85" s="249"/>
      <c r="H85" s="249"/>
      <c r="I85" s="249"/>
      <c r="J85" s="249">
        <v>486750</v>
      </c>
      <c r="K85" s="213"/>
    </row>
    <row r="86" spans="1:11" ht="15" customHeight="1" x14ac:dyDescent="0.3">
      <c r="A86" s="213"/>
      <c r="B86" s="243" t="s">
        <v>332</v>
      </c>
      <c r="C86" s="244"/>
      <c r="D86" s="244"/>
      <c r="E86" s="245">
        <v>82528.34</v>
      </c>
      <c r="F86" s="245">
        <v>119716.19</v>
      </c>
      <c r="G86" s="245"/>
      <c r="H86" s="245"/>
      <c r="I86" s="245"/>
      <c r="J86" s="245">
        <v>202244.53</v>
      </c>
      <c r="K86" s="213"/>
    </row>
    <row r="87" spans="1:11" ht="13.05" customHeight="1" x14ac:dyDescent="0.3">
      <c r="A87" s="213"/>
      <c r="B87" s="246" t="s">
        <v>314</v>
      </c>
      <c r="C87" s="247" t="s">
        <v>333</v>
      </c>
      <c r="D87" s="248" t="s">
        <v>290</v>
      </c>
      <c r="E87" s="249"/>
      <c r="F87" s="249">
        <v>70233.600000000006</v>
      </c>
      <c r="G87" s="249"/>
      <c r="H87" s="249"/>
      <c r="I87" s="249"/>
      <c r="J87" s="249">
        <v>70233.600000000006</v>
      </c>
      <c r="K87" s="213"/>
    </row>
    <row r="88" spans="1:11" ht="13.05" customHeight="1" x14ac:dyDescent="0.3">
      <c r="A88" s="213"/>
      <c r="B88" s="250" t="s">
        <v>268</v>
      </c>
      <c r="C88" s="251" t="s">
        <v>334</v>
      </c>
      <c r="D88" s="252" t="s">
        <v>270</v>
      </c>
      <c r="E88" s="253"/>
      <c r="F88" s="253">
        <v>26928.31</v>
      </c>
      <c r="G88" s="253"/>
      <c r="H88" s="253"/>
      <c r="I88" s="253"/>
      <c r="J88" s="253">
        <v>26928.31</v>
      </c>
      <c r="K88" s="213"/>
    </row>
    <row r="89" spans="1:11" ht="13.05" customHeight="1" x14ac:dyDescent="0.3">
      <c r="A89" s="213"/>
      <c r="B89" s="246" t="s">
        <v>268</v>
      </c>
      <c r="C89" s="247" t="s">
        <v>335</v>
      </c>
      <c r="D89" s="248" t="s">
        <v>274</v>
      </c>
      <c r="E89" s="249"/>
      <c r="F89" s="249">
        <v>22554.28</v>
      </c>
      <c r="G89" s="249"/>
      <c r="H89" s="249"/>
      <c r="I89" s="249"/>
      <c r="J89" s="249">
        <v>22554.28</v>
      </c>
      <c r="K89" s="213"/>
    </row>
    <row r="90" spans="1:11" ht="13.05" customHeight="1" x14ac:dyDescent="0.3">
      <c r="A90" s="213"/>
      <c r="B90" s="250" t="s">
        <v>336</v>
      </c>
      <c r="C90" s="251" t="s">
        <v>337</v>
      </c>
      <c r="D90" s="252" t="s">
        <v>281</v>
      </c>
      <c r="E90" s="253">
        <v>14560.34</v>
      </c>
      <c r="F90" s="253"/>
      <c r="G90" s="253"/>
      <c r="H90" s="253"/>
      <c r="I90" s="253"/>
      <c r="J90" s="253">
        <v>14560.34</v>
      </c>
      <c r="K90" s="213"/>
    </row>
    <row r="91" spans="1:11" ht="13.05" customHeight="1" x14ac:dyDescent="0.3">
      <c r="A91" s="213"/>
      <c r="B91" s="246" t="s">
        <v>314</v>
      </c>
      <c r="C91" s="247" t="s">
        <v>338</v>
      </c>
      <c r="D91" s="248" t="s">
        <v>309</v>
      </c>
      <c r="E91" s="249">
        <v>67968</v>
      </c>
      <c r="F91" s="249"/>
      <c r="G91" s="249"/>
      <c r="H91" s="249"/>
      <c r="I91" s="249"/>
      <c r="J91" s="249">
        <v>67968</v>
      </c>
      <c r="K91" s="213"/>
    </row>
    <row r="92" spans="1:11" ht="15" customHeight="1" x14ac:dyDescent="0.3">
      <c r="A92" s="213"/>
      <c r="B92" s="243" t="s">
        <v>339</v>
      </c>
      <c r="C92" s="244"/>
      <c r="D92" s="244"/>
      <c r="E92" s="245"/>
      <c r="F92" s="245">
        <v>293802.58</v>
      </c>
      <c r="G92" s="245"/>
      <c r="H92" s="245"/>
      <c r="I92" s="245"/>
      <c r="J92" s="245">
        <v>293802.58</v>
      </c>
      <c r="K92" s="213"/>
    </row>
    <row r="93" spans="1:11" ht="13.05" customHeight="1" x14ac:dyDescent="0.3">
      <c r="A93" s="213"/>
      <c r="B93" s="246" t="s">
        <v>340</v>
      </c>
      <c r="C93" s="247" t="s">
        <v>341</v>
      </c>
      <c r="D93" s="248" t="s">
        <v>220</v>
      </c>
      <c r="E93" s="249"/>
      <c r="F93" s="249">
        <v>293802.58</v>
      </c>
      <c r="G93" s="249"/>
      <c r="H93" s="249"/>
      <c r="I93" s="249"/>
      <c r="J93" s="249">
        <v>293802.58</v>
      </c>
      <c r="K93" s="213"/>
    </row>
    <row r="94" spans="1:11" ht="15" customHeight="1" x14ac:dyDescent="0.3">
      <c r="A94" s="213"/>
      <c r="B94" s="243" t="s">
        <v>342</v>
      </c>
      <c r="C94" s="244"/>
      <c r="D94" s="244"/>
      <c r="E94" s="245"/>
      <c r="F94" s="245"/>
      <c r="G94" s="245"/>
      <c r="H94" s="245"/>
      <c r="I94" s="245"/>
      <c r="J94" s="245">
        <v>-14760.54</v>
      </c>
      <c r="K94" s="213"/>
    </row>
    <row r="95" spans="1:11" ht="13.05" customHeight="1" x14ac:dyDescent="0.3">
      <c r="A95" s="213"/>
      <c r="B95" s="246" t="s">
        <v>343</v>
      </c>
      <c r="C95" s="247" t="s">
        <v>344</v>
      </c>
      <c r="D95" s="248" t="s">
        <v>345</v>
      </c>
      <c r="E95" s="249"/>
      <c r="F95" s="249"/>
      <c r="G95" s="249"/>
      <c r="H95" s="249"/>
      <c r="I95" s="249"/>
      <c r="J95" s="249">
        <v>-14760.54</v>
      </c>
      <c r="K95" s="213"/>
    </row>
    <row r="96" spans="1:11" ht="15" customHeight="1" x14ac:dyDescent="0.3">
      <c r="A96" s="213"/>
      <c r="B96" s="243" t="s">
        <v>346</v>
      </c>
      <c r="C96" s="244"/>
      <c r="D96" s="244"/>
      <c r="E96" s="245"/>
      <c r="F96" s="245">
        <v>99358.92</v>
      </c>
      <c r="G96" s="245"/>
      <c r="H96" s="245"/>
      <c r="I96" s="245"/>
      <c r="J96" s="245">
        <v>99358.92</v>
      </c>
      <c r="K96" s="213"/>
    </row>
    <row r="97" spans="1:11" ht="13.05" customHeight="1" x14ac:dyDescent="0.3">
      <c r="A97" s="213"/>
      <c r="B97" s="246" t="s">
        <v>347</v>
      </c>
      <c r="C97" s="247" t="s">
        <v>348</v>
      </c>
      <c r="D97" s="248" t="s">
        <v>349</v>
      </c>
      <c r="E97" s="249"/>
      <c r="F97" s="249">
        <v>99358.92</v>
      </c>
      <c r="G97" s="249"/>
      <c r="H97" s="249"/>
      <c r="I97" s="249"/>
      <c r="J97" s="249">
        <v>99358.92</v>
      </c>
      <c r="K97" s="213"/>
    </row>
    <row r="98" spans="1:11" ht="15" customHeight="1" x14ac:dyDescent="0.3">
      <c r="A98" s="213"/>
      <c r="B98" s="243" t="s">
        <v>350</v>
      </c>
      <c r="C98" s="244"/>
      <c r="D98" s="244"/>
      <c r="E98" s="245">
        <v>229197</v>
      </c>
      <c r="F98" s="245">
        <v>70800</v>
      </c>
      <c r="G98" s="245"/>
      <c r="H98" s="245"/>
      <c r="I98" s="245"/>
      <c r="J98" s="245">
        <v>299997</v>
      </c>
      <c r="K98" s="213"/>
    </row>
    <row r="99" spans="1:11" ht="13.05" customHeight="1" x14ac:dyDescent="0.3">
      <c r="A99" s="213"/>
      <c r="B99" s="246" t="s">
        <v>351</v>
      </c>
      <c r="C99" s="247" t="s">
        <v>352</v>
      </c>
      <c r="D99" s="248" t="s">
        <v>290</v>
      </c>
      <c r="E99" s="249"/>
      <c r="F99" s="249">
        <v>70800</v>
      </c>
      <c r="G99" s="249"/>
      <c r="H99" s="249"/>
      <c r="I99" s="249"/>
      <c r="J99" s="249">
        <v>70800</v>
      </c>
      <c r="K99" s="213"/>
    </row>
    <row r="100" spans="1:11" ht="13.05" customHeight="1" x14ac:dyDescent="0.3">
      <c r="A100" s="213"/>
      <c r="B100" s="250" t="s">
        <v>353</v>
      </c>
      <c r="C100" s="251" t="s">
        <v>354</v>
      </c>
      <c r="D100" s="252" t="s">
        <v>226</v>
      </c>
      <c r="E100" s="253">
        <v>94400</v>
      </c>
      <c r="F100" s="253"/>
      <c r="G100" s="253"/>
      <c r="H100" s="253"/>
      <c r="I100" s="253"/>
      <c r="J100" s="253">
        <v>94400</v>
      </c>
      <c r="K100" s="213"/>
    </row>
    <row r="101" spans="1:11" ht="13.05" customHeight="1" x14ac:dyDescent="0.3">
      <c r="A101" s="213"/>
      <c r="B101" s="246" t="s">
        <v>355</v>
      </c>
      <c r="C101" s="247" t="s">
        <v>356</v>
      </c>
      <c r="D101" s="248" t="s">
        <v>257</v>
      </c>
      <c r="E101" s="249">
        <v>65000</v>
      </c>
      <c r="F101" s="249"/>
      <c r="G101" s="249"/>
      <c r="H101" s="249"/>
      <c r="I101" s="249"/>
      <c r="J101" s="249">
        <v>65000</v>
      </c>
      <c r="K101" s="213"/>
    </row>
    <row r="102" spans="1:11" ht="13.05" customHeight="1" x14ac:dyDescent="0.3">
      <c r="A102" s="213"/>
      <c r="B102" s="250" t="s">
        <v>357</v>
      </c>
      <c r="C102" s="251" t="s">
        <v>358</v>
      </c>
      <c r="D102" s="252" t="s">
        <v>248</v>
      </c>
      <c r="E102" s="253">
        <v>69797</v>
      </c>
      <c r="F102" s="253"/>
      <c r="G102" s="253"/>
      <c r="H102" s="253"/>
      <c r="I102" s="253"/>
      <c r="J102" s="253">
        <v>69797</v>
      </c>
      <c r="K102" s="213"/>
    </row>
    <row r="103" spans="1:11" ht="15" customHeight="1" x14ac:dyDescent="0.3">
      <c r="A103" s="213"/>
      <c r="B103" s="243" t="s">
        <v>359</v>
      </c>
      <c r="C103" s="244"/>
      <c r="D103" s="244"/>
      <c r="E103" s="245">
        <v>232709.5</v>
      </c>
      <c r="F103" s="245"/>
      <c r="G103" s="245"/>
      <c r="H103" s="245"/>
      <c r="I103" s="245"/>
      <c r="J103" s="245">
        <v>232709.5</v>
      </c>
      <c r="K103" s="213"/>
    </row>
    <row r="104" spans="1:11" ht="13.05" customHeight="1" x14ac:dyDescent="0.3">
      <c r="A104" s="213"/>
      <c r="B104" s="246" t="s">
        <v>360</v>
      </c>
      <c r="C104" s="247" t="s">
        <v>361</v>
      </c>
      <c r="D104" s="248" t="s">
        <v>231</v>
      </c>
      <c r="E104" s="249">
        <v>88269.5</v>
      </c>
      <c r="F104" s="249"/>
      <c r="G104" s="249"/>
      <c r="H104" s="249"/>
      <c r="I104" s="249"/>
      <c r="J104" s="249">
        <v>88269.5</v>
      </c>
      <c r="K104" s="213"/>
    </row>
    <row r="105" spans="1:11" ht="13.05" customHeight="1" x14ac:dyDescent="0.3">
      <c r="A105" s="213"/>
      <c r="B105" s="250" t="s">
        <v>362</v>
      </c>
      <c r="C105" s="251" t="s">
        <v>363</v>
      </c>
      <c r="D105" s="252" t="s">
        <v>233</v>
      </c>
      <c r="E105" s="253">
        <v>21240</v>
      </c>
      <c r="F105" s="253"/>
      <c r="G105" s="253"/>
      <c r="H105" s="253"/>
      <c r="I105" s="253"/>
      <c r="J105" s="253">
        <v>21240</v>
      </c>
      <c r="K105" s="213"/>
    </row>
    <row r="106" spans="1:11" ht="13.05" customHeight="1" x14ac:dyDescent="0.3">
      <c r="A106" s="213"/>
      <c r="B106" s="246" t="s">
        <v>362</v>
      </c>
      <c r="C106" s="247" t="s">
        <v>364</v>
      </c>
      <c r="D106" s="248" t="s">
        <v>233</v>
      </c>
      <c r="E106" s="249">
        <v>21240</v>
      </c>
      <c r="F106" s="249"/>
      <c r="G106" s="249"/>
      <c r="H106" s="249"/>
      <c r="I106" s="249"/>
      <c r="J106" s="249">
        <v>21240</v>
      </c>
      <c r="K106" s="213"/>
    </row>
    <row r="107" spans="1:11" ht="13.05" customHeight="1" x14ac:dyDescent="0.3">
      <c r="A107" s="213"/>
      <c r="B107" s="250" t="s">
        <v>365</v>
      </c>
      <c r="C107" s="251" t="s">
        <v>366</v>
      </c>
      <c r="D107" s="252" t="s">
        <v>217</v>
      </c>
      <c r="E107" s="253">
        <v>101960</v>
      </c>
      <c r="F107" s="253"/>
      <c r="G107" s="253"/>
      <c r="H107" s="253"/>
      <c r="I107" s="253"/>
      <c r="J107" s="253">
        <v>101960</v>
      </c>
      <c r="K107" s="213"/>
    </row>
    <row r="108" spans="1:11" ht="15" customHeight="1" x14ac:dyDescent="0.3">
      <c r="A108" s="213"/>
      <c r="B108" s="243" t="s">
        <v>367</v>
      </c>
      <c r="C108" s="244"/>
      <c r="D108" s="244"/>
      <c r="E108" s="245"/>
      <c r="F108" s="245">
        <v>207262.07</v>
      </c>
      <c r="G108" s="245">
        <v>31860</v>
      </c>
      <c r="H108" s="245"/>
      <c r="I108" s="245"/>
      <c r="J108" s="245">
        <v>239122.07</v>
      </c>
      <c r="K108" s="213"/>
    </row>
    <row r="109" spans="1:11" ht="13.05" customHeight="1" x14ac:dyDescent="0.3">
      <c r="A109" s="213"/>
      <c r="B109" s="246" t="s">
        <v>368</v>
      </c>
      <c r="C109" s="247" t="s">
        <v>369</v>
      </c>
      <c r="D109" s="248" t="s">
        <v>370</v>
      </c>
      <c r="E109" s="249"/>
      <c r="F109" s="249"/>
      <c r="G109" s="249">
        <v>31860</v>
      </c>
      <c r="H109" s="249"/>
      <c r="I109" s="249"/>
      <c r="J109" s="249">
        <v>31860</v>
      </c>
      <c r="K109" s="213"/>
    </row>
    <row r="110" spans="1:11" ht="13.05" customHeight="1" x14ac:dyDescent="0.3">
      <c r="A110" s="213"/>
      <c r="B110" s="250" t="s">
        <v>371</v>
      </c>
      <c r="C110" s="251" t="s">
        <v>372</v>
      </c>
      <c r="D110" s="252" t="s">
        <v>373</v>
      </c>
      <c r="E110" s="253"/>
      <c r="F110" s="253">
        <v>207262.07</v>
      </c>
      <c r="G110" s="253"/>
      <c r="H110" s="253"/>
      <c r="I110" s="253"/>
      <c r="J110" s="253">
        <v>207262.07</v>
      </c>
      <c r="K110" s="213"/>
    </row>
    <row r="111" spans="1:11" ht="15" customHeight="1" x14ac:dyDescent="0.3">
      <c r="A111" s="213"/>
      <c r="B111" s="243" t="s">
        <v>374</v>
      </c>
      <c r="C111" s="244"/>
      <c r="D111" s="244"/>
      <c r="E111" s="245"/>
      <c r="F111" s="245">
        <v>98333.33</v>
      </c>
      <c r="G111" s="245">
        <v>101730.75</v>
      </c>
      <c r="H111" s="245"/>
      <c r="I111" s="245">
        <v>111300.56</v>
      </c>
      <c r="J111" s="245">
        <v>311364.64</v>
      </c>
      <c r="K111" s="213"/>
    </row>
    <row r="112" spans="1:11" ht="13.05" customHeight="1" x14ac:dyDescent="0.3">
      <c r="A112" s="213"/>
      <c r="B112" s="246" t="s">
        <v>375</v>
      </c>
      <c r="C112" s="247" t="s">
        <v>376</v>
      </c>
      <c r="D112" s="248" t="s">
        <v>377</v>
      </c>
      <c r="E112" s="249"/>
      <c r="F112" s="249"/>
      <c r="G112" s="249"/>
      <c r="H112" s="249"/>
      <c r="I112" s="255">
        <v>111300.56</v>
      </c>
      <c r="J112" s="249">
        <v>111300.56</v>
      </c>
      <c r="K112" s="213"/>
    </row>
    <row r="113" spans="1:11" ht="13.05" customHeight="1" x14ac:dyDescent="0.3">
      <c r="A113" s="213"/>
      <c r="B113" s="250" t="s">
        <v>378</v>
      </c>
      <c r="C113" s="251" t="s">
        <v>379</v>
      </c>
      <c r="D113" s="252" t="s">
        <v>380</v>
      </c>
      <c r="E113" s="253"/>
      <c r="F113" s="253"/>
      <c r="G113" s="253">
        <v>101730.75</v>
      </c>
      <c r="H113" s="253"/>
      <c r="I113" s="253"/>
      <c r="J113" s="253">
        <v>101730.75</v>
      </c>
      <c r="K113" s="213"/>
    </row>
    <row r="114" spans="1:11" ht="13.05" customHeight="1" x14ac:dyDescent="0.3">
      <c r="A114" s="213"/>
      <c r="B114" s="246" t="s">
        <v>381</v>
      </c>
      <c r="C114" s="247" t="s">
        <v>382</v>
      </c>
      <c r="D114" s="248" t="s">
        <v>220</v>
      </c>
      <c r="E114" s="249"/>
      <c r="F114" s="249">
        <v>98333.33</v>
      </c>
      <c r="G114" s="249"/>
      <c r="H114" s="249"/>
      <c r="I114" s="249"/>
      <c r="J114" s="249">
        <v>98333.33</v>
      </c>
      <c r="K114" s="213"/>
    </row>
    <row r="115" spans="1:11" ht="16.05" customHeight="1" x14ac:dyDescent="0.3">
      <c r="A115" s="213"/>
      <c r="B115" s="256" t="s">
        <v>383</v>
      </c>
      <c r="C115" s="219"/>
      <c r="D115" s="219"/>
      <c r="E115" s="257">
        <v>11183495.34</v>
      </c>
      <c r="F115" s="257">
        <v>7140113.04</v>
      </c>
      <c r="G115" s="257">
        <v>147770.75</v>
      </c>
      <c r="H115" s="257">
        <v>126110.4999999991</v>
      </c>
      <c r="I115" s="257"/>
      <c r="J115" s="257">
        <v>18597489.629999999</v>
      </c>
      <c r="K115" s="213"/>
    </row>
    <row r="116" spans="1:11" x14ac:dyDescent="0.3">
      <c r="A116" s="213"/>
      <c r="K116" s="213"/>
    </row>
  </sheetData>
  <mergeCells count="1">
    <mergeCell ref="B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J45"/>
  <sheetViews>
    <sheetView showGridLines="0" workbookViewId="0">
      <selection activeCell="Z39" sqref="Z39:AE39"/>
    </sheetView>
  </sheetViews>
  <sheetFormatPr baseColWidth="10" defaultColWidth="11.44140625" defaultRowHeight="14.4" x14ac:dyDescent="0.3"/>
  <cols>
    <col min="1" max="1" width="24" style="5" customWidth="1"/>
    <col min="2" max="2" width="11.5546875" style="5" hidden="1" customWidth="1"/>
    <col min="3" max="3" width="14.6640625" style="5" bestFit="1" customWidth="1"/>
    <col min="4" max="4" width="14.33203125" style="5" customWidth="1"/>
    <col min="5" max="5" width="14.6640625" style="5" bestFit="1" customWidth="1"/>
    <col min="6" max="6" width="8.44140625" style="33" customWidth="1"/>
    <col min="7" max="8" width="11.5546875" style="5" hidden="1" customWidth="1"/>
    <col min="9" max="9" width="10.5546875" style="5" customWidth="1"/>
    <col min="10" max="10" width="13.109375" style="5" hidden="1" customWidth="1"/>
    <col min="11" max="11" width="4.6640625" style="5" hidden="1" customWidth="1"/>
    <col min="12" max="16" width="8.88671875" style="5" hidden="1" customWidth="1"/>
    <col min="17" max="17" width="10.44140625" style="5" hidden="1" customWidth="1"/>
    <col min="18" max="18" width="10.33203125" style="5" hidden="1" customWidth="1"/>
    <col min="19" max="20" width="10.44140625" style="5" hidden="1" customWidth="1"/>
    <col min="21" max="25" width="10.6640625" style="5" hidden="1" customWidth="1"/>
    <col min="26" max="28" width="10.6640625" style="5" customWidth="1"/>
    <col min="29" max="29" width="10.5546875" style="5" bestFit="1" customWidth="1"/>
    <col min="30" max="31" width="10.44140625" style="5" bestFit="1" customWidth="1"/>
    <col min="32" max="32" width="11.44140625" style="5" bestFit="1" customWidth="1"/>
    <col min="33" max="33" width="13" style="5" customWidth="1"/>
    <col min="34" max="36" width="11.44140625" style="5" customWidth="1"/>
    <col min="37" max="16384" width="11.44140625" style="5"/>
  </cols>
  <sheetData>
    <row r="3" spans="1:36" ht="15.6" customHeight="1" x14ac:dyDescent="0.3">
      <c r="A3" s="2" t="s">
        <v>384</v>
      </c>
      <c r="B3" s="3"/>
      <c r="C3" s="3"/>
      <c r="D3" s="3"/>
      <c r="E3" s="3"/>
      <c r="F3" s="4"/>
      <c r="G3" s="3"/>
      <c r="H3" s="3"/>
      <c r="I3" s="3"/>
      <c r="J3" s="3"/>
      <c r="K3" s="3"/>
      <c r="L3" s="3"/>
      <c r="AG3" s="6"/>
    </row>
    <row r="4" spans="1:36" x14ac:dyDescent="0.3">
      <c r="A4" s="7"/>
      <c r="B4" s="8"/>
      <c r="C4" s="8"/>
      <c r="D4" s="8"/>
      <c r="E4" s="8"/>
      <c r="F4" s="9"/>
      <c r="G4" s="8"/>
      <c r="H4" s="8"/>
      <c r="I4" s="8"/>
      <c r="J4" s="8"/>
      <c r="K4" s="8"/>
      <c r="L4" s="8"/>
      <c r="AG4" s="6"/>
    </row>
    <row r="5" spans="1:36" ht="15" customHeight="1" thickBot="1" x14ac:dyDescent="0.35">
      <c r="A5" s="10"/>
      <c r="B5" s="8"/>
      <c r="C5" s="8"/>
      <c r="D5" s="8"/>
      <c r="E5" s="8"/>
      <c r="F5" s="9"/>
      <c r="G5" s="8"/>
      <c r="H5" s="8"/>
      <c r="I5" s="8"/>
      <c r="J5" s="8"/>
      <c r="K5" s="8"/>
      <c r="L5" s="8"/>
      <c r="AG5" s="11"/>
    </row>
    <row r="6" spans="1:36" s="20" customFormat="1" ht="28.8" customHeight="1" x14ac:dyDescent="0.3">
      <c r="A6" s="12" t="s">
        <v>385</v>
      </c>
      <c r="B6" s="13" t="s">
        <v>386</v>
      </c>
      <c r="C6" s="14" t="s">
        <v>387</v>
      </c>
      <c r="D6" s="14" t="s">
        <v>388</v>
      </c>
      <c r="E6" s="14" t="s">
        <v>389</v>
      </c>
      <c r="F6" s="13" t="s">
        <v>390</v>
      </c>
      <c r="G6" s="13" t="s">
        <v>391</v>
      </c>
      <c r="H6" s="13" t="s">
        <v>392</v>
      </c>
      <c r="I6" s="15" t="s">
        <v>393</v>
      </c>
      <c r="J6" s="13" t="s">
        <v>394</v>
      </c>
      <c r="K6" s="13" t="s">
        <v>395</v>
      </c>
      <c r="L6" s="16">
        <v>45748</v>
      </c>
      <c r="M6" s="16">
        <v>45778</v>
      </c>
      <c r="N6" s="16">
        <v>45809</v>
      </c>
      <c r="O6" s="16">
        <v>45839</v>
      </c>
      <c r="P6" s="16">
        <v>45870</v>
      </c>
      <c r="Q6" s="16">
        <v>45901</v>
      </c>
      <c r="R6" s="16">
        <v>45931</v>
      </c>
      <c r="S6" s="16">
        <v>45962</v>
      </c>
      <c r="T6" s="16">
        <v>45992</v>
      </c>
      <c r="U6" s="17" t="s">
        <v>396</v>
      </c>
      <c r="V6" s="16">
        <v>46023</v>
      </c>
      <c r="W6" s="16">
        <v>46054</v>
      </c>
      <c r="X6" s="16">
        <v>46082</v>
      </c>
      <c r="Y6" s="16">
        <v>46143</v>
      </c>
      <c r="Z6" s="16">
        <v>46204</v>
      </c>
      <c r="AA6" s="16">
        <v>46235</v>
      </c>
      <c r="AB6" s="16">
        <v>46266</v>
      </c>
      <c r="AC6" s="16">
        <v>46296</v>
      </c>
      <c r="AD6" s="16">
        <v>46327</v>
      </c>
      <c r="AE6" s="16">
        <v>46357</v>
      </c>
      <c r="AF6" s="18" t="s">
        <v>397</v>
      </c>
      <c r="AG6" s="19" t="s">
        <v>398</v>
      </c>
    </row>
    <row r="7" spans="1:36" s="20" customFormat="1" hidden="1" x14ac:dyDescent="0.3">
      <c r="A7" s="21" t="s">
        <v>399</v>
      </c>
      <c r="B7" s="319" t="s">
        <v>400</v>
      </c>
      <c r="C7" s="320">
        <v>15000000</v>
      </c>
      <c r="D7" s="320">
        <v>15000000</v>
      </c>
      <c r="E7" s="320">
        <v>0</v>
      </c>
      <c r="F7" s="321">
        <v>0.1595</v>
      </c>
      <c r="G7" s="322">
        <f t="shared" ref="G7:G12" si="0">+E7*F7/360*30</f>
        <v>0</v>
      </c>
      <c r="H7" s="323">
        <v>45757</v>
      </c>
      <c r="I7" s="323">
        <v>45761</v>
      </c>
      <c r="J7" s="323">
        <v>45777</v>
      </c>
      <c r="K7" s="320">
        <f t="shared" ref="K7:K12" si="1">+J7-I7</f>
        <v>16</v>
      </c>
      <c r="L7" s="320">
        <f>+E7*F7/360*K7</f>
        <v>0</v>
      </c>
      <c r="M7" s="22">
        <f>+G7</f>
        <v>0</v>
      </c>
      <c r="N7" s="22">
        <f>+M7</f>
        <v>0</v>
      </c>
      <c r="O7" s="22">
        <f>+N7</f>
        <v>0</v>
      </c>
      <c r="P7" s="22">
        <f>+O7</f>
        <v>0</v>
      </c>
      <c r="Q7" s="22">
        <f>+P7</f>
        <v>0</v>
      </c>
      <c r="R7" s="22">
        <f>+Q7</f>
        <v>0</v>
      </c>
      <c r="S7" s="22">
        <v>199375</v>
      </c>
      <c r="T7" s="324">
        <f t="shared" ref="T7:T12" si="2">((+(E7*F7)/12)/30)*22</f>
        <v>0</v>
      </c>
      <c r="U7" s="22">
        <f t="shared" ref="U7:U12" si="3">SUM(L7:T7)</f>
        <v>199375</v>
      </c>
      <c r="V7" s="22"/>
      <c r="W7" s="22"/>
      <c r="X7" s="22"/>
      <c r="Y7" s="22"/>
      <c r="Z7" s="22"/>
      <c r="AA7" s="22"/>
      <c r="AB7" s="22"/>
      <c r="AC7" s="22"/>
      <c r="AD7" s="22"/>
      <c r="AE7" s="22"/>
      <c r="AF7" s="23">
        <f t="shared" ref="AF7:AF12" si="4">SUM(U7:X7)</f>
        <v>199375</v>
      </c>
      <c r="AG7" s="24">
        <v>45939</v>
      </c>
    </row>
    <row r="8" spans="1:36" s="20" customFormat="1" hidden="1" x14ac:dyDescent="0.3">
      <c r="A8" s="21" t="s">
        <v>399</v>
      </c>
      <c r="B8" s="319" t="s">
        <v>400</v>
      </c>
      <c r="C8" s="320">
        <v>7200000</v>
      </c>
      <c r="D8" s="320">
        <v>7200000</v>
      </c>
      <c r="E8" s="320">
        <v>0</v>
      </c>
      <c r="F8" s="321">
        <v>0.1595</v>
      </c>
      <c r="G8" s="322">
        <f t="shared" si="0"/>
        <v>0</v>
      </c>
      <c r="H8" s="323">
        <v>45792</v>
      </c>
      <c r="I8" s="323">
        <v>45792</v>
      </c>
      <c r="J8" s="323">
        <v>45808</v>
      </c>
      <c r="K8" s="320">
        <f t="shared" si="1"/>
        <v>16</v>
      </c>
      <c r="L8" s="320"/>
      <c r="M8" s="22">
        <f>+E8*F8/360*K8</f>
        <v>0</v>
      </c>
      <c r="N8" s="22">
        <f>+G8</f>
        <v>0</v>
      </c>
      <c r="O8" s="22">
        <f>+G8</f>
        <v>0</v>
      </c>
      <c r="P8" s="22">
        <f>+G8</f>
        <v>0</v>
      </c>
      <c r="Q8" s="22">
        <f>+P8</f>
        <v>0</v>
      </c>
      <c r="R8" s="22">
        <f>+Q8</f>
        <v>0</v>
      </c>
      <c r="S8" s="22">
        <v>95700</v>
      </c>
      <c r="T8" s="324">
        <f t="shared" si="2"/>
        <v>0</v>
      </c>
      <c r="U8" s="22">
        <f t="shared" si="3"/>
        <v>95700</v>
      </c>
      <c r="V8" s="22"/>
      <c r="W8" s="22"/>
      <c r="X8" s="22"/>
      <c r="Y8" s="22"/>
      <c r="Z8" s="22"/>
      <c r="AA8" s="22"/>
      <c r="AB8" s="22"/>
      <c r="AC8" s="22"/>
      <c r="AD8" s="22"/>
      <c r="AE8" s="22"/>
      <c r="AF8" s="23">
        <f t="shared" si="4"/>
        <v>95700</v>
      </c>
      <c r="AG8" s="24">
        <v>45939</v>
      </c>
      <c r="AJ8" s="20">
        <f>250-85</f>
        <v>165</v>
      </c>
    </row>
    <row r="9" spans="1:36" s="20" customFormat="1" hidden="1" x14ac:dyDescent="0.3">
      <c r="A9" s="21" t="s">
        <v>399</v>
      </c>
      <c r="B9" s="319" t="s">
        <v>400</v>
      </c>
      <c r="C9" s="320">
        <v>12000000</v>
      </c>
      <c r="D9" s="320">
        <v>12000000</v>
      </c>
      <c r="E9" s="320">
        <v>0</v>
      </c>
      <c r="F9" s="321">
        <v>0.1595</v>
      </c>
      <c r="G9" s="322">
        <f t="shared" si="0"/>
        <v>0</v>
      </c>
      <c r="H9" s="323">
        <v>45820</v>
      </c>
      <c r="I9" s="323">
        <v>45820</v>
      </c>
      <c r="J9" s="323">
        <v>45838</v>
      </c>
      <c r="K9" s="320">
        <f t="shared" si="1"/>
        <v>18</v>
      </c>
      <c r="L9" s="320"/>
      <c r="M9" s="22"/>
      <c r="N9" s="22">
        <f>+E9*F9/360*K9</f>
        <v>0</v>
      </c>
      <c r="O9" s="22">
        <f>+E9*F9/360*31</f>
        <v>0</v>
      </c>
      <c r="P9" s="22">
        <f>+O9</f>
        <v>0</v>
      </c>
      <c r="Q9" s="22">
        <f>+P9</f>
        <v>0</v>
      </c>
      <c r="R9" s="22">
        <f>+Q9</f>
        <v>0</v>
      </c>
      <c r="S9" s="22">
        <v>164816.66666666669</v>
      </c>
      <c r="T9" s="324">
        <f t="shared" si="2"/>
        <v>0</v>
      </c>
      <c r="U9" s="22">
        <f t="shared" si="3"/>
        <v>164816.66666666669</v>
      </c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 t="shared" si="4"/>
        <v>164816.66666666669</v>
      </c>
      <c r="AG9" s="24">
        <v>45939</v>
      </c>
      <c r="AJ9" s="20">
        <f>320-160</f>
        <v>160</v>
      </c>
    </row>
    <row r="10" spans="1:36" s="20" customFormat="1" hidden="1" x14ac:dyDescent="0.3">
      <c r="A10" s="21" t="s">
        <v>399</v>
      </c>
      <c r="B10" s="319" t="s">
        <v>401</v>
      </c>
      <c r="C10" s="320">
        <f>11000000</f>
        <v>11000000</v>
      </c>
      <c r="D10" s="320">
        <v>11000000</v>
      </c>
      <c r="E10" s="320">
        <v>0</v>
      </c>
      <c r="F10" s="321">
        <v>0.19</v>
      </c>
      <c r="G10" s="322">
        <f t="shared" si="0"/>
        <v>0</v>
      </c>
      <c r="H10" s="323">
        <v>45847</v>
      </c>
      <c r="I10" s="323">
        <v>45854</v>
      </c>
      <c r="J10" s="323">
        <v>45869</v>
      </c>
      <c r="K10" s="320">
        <f t="shared" si="1"/>
        <v>15</v>
      </c>
      <c r="L10" s="320"/>
      <c r="M10" s="22"/>
      <c r="N10" s="22"/>
      <c r="O10" s="22">
        <v>87083.33</v>
      </c>
      <c r="P10" s="22">
        <v>174166.67</v>
      </c>
      <c r="Q10" s="22">
        <v>174166.67</v>
      </c>
      <c r="R10" s="22">
        <f>((11000000*19%)/360)*7+((6000000*19%)/360)*23</f>
        <v>113472.22222222222</v>
      </c>
      <c r="S10" s="22">
        <f>+E10*F10/12</f>
        <v>0</v>
      </c>
      <c r="T10" s="324">
        <f t="shared" si="2"/>
        <v>0</v>
      </c>
      <c r="U10" s="22">
        <f t="shared" si="3"/>
        <v>548888.89222222229</v>
      </c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si="4"/>
        <v>548888.89222222229</v>
      </c>
      <c r="AG10" s="24">
        <v>45923</v>
      </c>
      <c r="AJ10" s="20">
        <f>250-85</f>
        <v>165</v>
      </c>
    </row>
    <row r="11" spans="1:36" s="20" customFormat="1" hidden="1" x14ac:dyDescent="0.3">
      <c r="A11" s="21" t="s">
        <v>399</v>
      </c>
      <c r="B11" s="319" t="s">
        <v>401</v>
      </c>
      <c r="C11" s="320">
        <v>2815000</v>
      </c>
      <c r="D11" s="320">
        <v>2815000</v>
      </c>
      <c r="E11" s="320">
        <v>0</v>
      </c>
      <c r="F11" s="321">
        <v>0.19</v>
      </c>
      <c r="G11" s="322">
        <f t="shared" si="0"/>
        <v>0</v>
      </c>
      <c r="H11" s="323">
        <v>45847</v>
      </c>
      <c r="I11" s="323">
        <v>45862</v>
      </c>
      <c r="J11" s="323">
        <v>45869</v>
      </c>
      <c r="K11" s="320">
        <f t="shared" si="1"/>
        <v>7</v>
      </c>
      <c r="L11" s="320"/>
      <c r="M11" s="22"/>
      <c r="N11" s="22"/>
      <c r="O11" s="22">
        <f>+E11*F11/360*K11</f>
        <v>0</v>
      </c>
      <c r="P11" s="22">
        <f>+G11</f>
        <v>0</v>
      </c>
      <c r="Q11" s="22">
        <f>+P11</f>
        <v>0</v>
      </c>
      <c r="R11" s="22">
        <f>+Q11</f>
        <v>0</v>
      </c>
      <c r="S11" s="22">
        <v>44570.833333333328</v>
      </c>
      <c r="T11" s="324">
        <f t="shared" si="2"/>
        <v>0</v>
      </c>
      <c r="U11" s="22">
        <f t="shared" si="3"/>
        <v>44570.833333333328</v>
      </c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4"/>
        <v>44570.833333333328</v>
      </c>
      <c r="AG11" s="24">
        <v>45923</v>
      </c>
    </row>
    <row r="12" spans="1:36" s="20" customFormat="1" hidden="1" x14ac:dyDescent="0.3">
      <c r="A12" s="21" t="s">
        <v>399</v>
      </c>
      <c r="B12" s="319" t="s">
        <v>401</v>
      </c>
      <c r="C12" s="320">
        <v>1185000</v>
      </c>
      <c r="D12" s="320">
        <v>1185000</v>
      </c>
      <c r="E12" s="320">
        <v>0</v>
      </c>
      <c r="F12" s="321">
        <v>0.19</v>
      </c>
      <c r="G12" s="322">
        <f t="shared" si="0"/>
        <v>0</v>
      </c>
      <c r="H12" s="323">
        <v>45847</v>
      </c>
      <c r="I12" s="323">
        <v>45862</v>
      </c>
      <c r="J12" s="323">
        <v>45869</v>
      </c>
      <c r="K12" s="320">
        <f t="shared" si="1"/>
        <v>7</v>
      </c>
      <c r="L12" s="320"/>
      <c r="M12" s="22"/>
      <c r="N12" s="22"/>
      <c r="O12" s="22">
        <f>+E12*F12/360*K12</f>
        <v>0</v>
      </c>
      <c r="P12" s="22">
        <f>+G12</f>
        <v>0</v>
      </c>
      <c r="Q12" s="22">
        <f>+P12</f>
        <v>0</v>
      </c>
      <c r="R12" s="22">
        <f>+Q12</f>
        <v>0</v>
      </c>
      <c r="S12" s="22">
        <v>18762.5</v>
      </c>
      <c r="T12" s="324">
        <f t="shared" si="2"/>
        <v>0</v>
      </c>
      <c r="U12" s="22">
        <f t="shared" si="3"/>
        <v>18762.5</v>
      </c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4"/>
        <v>18762.5</v>
      </c>
      <c r="AG12" s="24"/>
    </row>
    <row r="13" spans="1:36" s="31" customFormat="1" ht="18" hidden="1" customHeight="1" thickBot="1" x14ac:dyDescent="0.35">
      <c r="A13" s="25" t="s">
        <v>402</v>
      </c>
      <c r="B13" s="26"/>
      <c r="C13" s="27">
        <f>SUM(C7:C12)</f>
        <v>49200000</v>
      </c>
      <c r="D13" s="27">
        <f>SUM(D7:D12)</f>
        <v>49200000</v>
      </c>
      <c r="E13" s="27">
        <f>SUM(E7:E12)</f>
        <v>0</v>
      </c>
      <c r="F13" s="28"/>
      <c r="G13" s="29">
        <f>SUM(G7:G12)</f>
        <v>0</v>
      </c>
      <c r="H13" s="26"/>
      <c r="I13" s="26"/>
      <c r="J13" s="26"/>
      <c r="K13" s="26"/>
      <c r="L13" s="27">
        <f t="shared" ref="L13:T13" si="5">SUM(L7:L12)</f>
        <v>0</v>
      </c>
      <c r="M13" s="27">
        <f t="shared" si="5"/>
        <v>0</v>
      </c>
      <c r="N13" s="27">
        <f t="shared" si="5"/>
        <v>0</v>
      </c>
      <c r="O13" s="27">
        <f t="shared" si="5"/>
        <v>87083.33</v>
      </c>
      <c r="P13" s="27">
        <f t="shared" si="5"/>
        <v>174166.67</v>
      </c>
      <c r="Q13" s="27">
        <f t="shared" si="5"/>
        <v>174166.67</v>
      </c>
      <c r="R13" s="27">
        <f t="shared" si="5"/>
        <v>113472.22222222222</v>
      </c>
      <c r="S13" s="27">
        <f t="shared" si="5"/>
        <v>523225</v>
      </c>
      <c r="T13" s="27">
        <f t="shared" si="5"/>
        <v>0</v>
      </c>
      <c r="U13" s="27"/>
      <c r="V13" s="27">
        <f t="shared" ref="V13:AE13" si="6">SUM(V7:V12)</f>
        <v>0</v>
      </c>
      <c r="W13" s="27">
        <f t="shared" si="6"/>
        <v>0</v>
      </c>
      <c r="X13" s="27">
        <f t="shared" si="6"/>
        <v>0</v>
      </c>
      <c r="Y13" s="27">
        <f t="shared" si="6"/>
        <v>0</v>
      </c>
      <c r="Z13" s="27">
        <f t="shared" si="6"/>
        <v>0</v>
      </c>
      <c r="AA13" s="27">
        <f t="shared" si="6"/>
        <v>0</v>
      </c>
      <c r="AB13" s="27">
        <f t="shared" si="6"/>
        <v>0</v>
      </c>
      <c r="AC13" s="27">
        <f t="shared" si="6"/>
        <v>0</v>
      </c>
      <c r="AD13" s="27">
        <f t="shared" si="6"/>
        <v>0</v>
      </c>
      <c r="AE13" s="27">
        <f t="shared" si="6"/>
        <v>0</v>
      </c>
      <c r="AF13" s="30"/>
    </row>
    <row r="14" spans="1:36" s="20" customFormat="1" hidden="1" x14ac:dyDescent="0.3">
      <c r="A14" s="21" t="s">
        <v>403</v>
      </c>
      <c r="B14" s="319"/>
      <c r="C14" s="325">
        <v>25000000</v>
      </c>
      <c r="D14" s="325"/>
      <c r="E14" s="325">
        <f>+C14-D14</f>
        <v>25000000</v>
      </c>
      <c r="F14" s="321">
        <v>0.18</v>
      </c>
      <c r="G14" s="322"/>
      <c r="H14" s="323"/>
      <c r="I14" s="323">
        <v>45905</v>
      </c>
      <c r="J14" s="323"/>
      <c r="K14" s="320"/>
      <c r="L14" s="320"/>
      <c r="M14" s="22"/>
      <c r="N14" s="22"/>
      <c r="O14" s="22"/>
      <c r="P14" s="22"/>
      <c r="Q14" s="22">
        <f>(($C14*$F14)/360)*25</f>
        <v>312500</v>
      </c>
      <c r="R14" s="22">
        <f t="shared" ref="R14:T15" si="7">(($C14*$F14)/360)*30</f>
        <v>375000</v>
      </c>
      <c r="S14" s="22">
        <f t="shared" si="7"/>
        <v>375000</v>
      </c>
      <c r="T14" s="22">
        <f t="shared" si="7"/>
        <v>375000</v>
      </c>
      <c r="U14" s="22">
        <f>SUM(Q14:T14)</f>
        <v>1437500</v>
      </c>
      <c r="V14" s="22">
        <f>(($C14*$F14)/360)*31</f>
        <v>387500</v>
      </c>
      <c r="W14" s="22">
        <f>(($C14*$F14)/360)*30</f>
        <v>375000</v>
      </c>
      <c r="X14" s="22">
        <f>(($C14*$F14)/360)*5</f>
        <v>62500</v>
      </c>
      <c r="Y14" s="22"/>
      <c r="Z14" s="22"/>
      <c r="AA14" s="22"/>
      <c r="AB14" s="22"/>
      <c r="AC14" s="22"/>
      <c r="AD14" s="22"/>
      <c r="AE14" s="22"/>
      <c r="AF14" s="23">
        <f t="shared" ref="AF14:AF20" si="8">SUM(U14:AA14)</f>
        <v>2262500</v>
      </c>
      <c r="AG14" s="24"/>
    </row>
    <row r="15" spans="1:36" s="20" customFormat="1" hidden="1" x14ac:dyDescent="0.3">
      <c r="A15" s="21" t="s">
        <v>403</v>
      </c>
      <c r="B15" s="319"/>
      <c r="C15" s="325">
        <v>30184227.399999999</v>
      </c>
      <c r="D15" s="325"/>
      <c r="E15" s="325">
        <f>+C15-D15</f>
        <v>30184227.399999999</v>
      </c>
      <c r="F15" s="321">
        <v>0.18</v>
      </c>
      <c r="G15" s="322"/>
      <c r="H15" s="323"/>
      <c r="I15" s="323">
        <v>45926</v>
      </c>
      <c r="J15" s="323"/>
      <c r="K15" s="320"/>
      <c r="L15" s="320"/>
      <c r="M15" s="22"/>
      <c r="N15" s="22"/>
      <c r="O15" s="22"/>
      <c r="P15" s="22"/>
      <c r="Q15" s="22">
        <f>(($C15*$F15)/360)*4</f>
        <v>60368.454799999992</v>
      </c>
      <c r="R15" s="22">
        <f t="shared" si="7"/>
        <v>452763.41099999996</v>
      </c>
      <c r="S15" s="22">
        <f t="shared" si="7"/>
        <v>452763.41099999996</v>
      </c>
      <c r="T15" s="22">
        <f t="shared" si="7"/>
        <v>452763.41099999996</v>
      </c>
      <c r="U15" s="22">
        <f>SUM(Q15:T15)</f>
        <v>1418658.6878</v>
      </c>
      <c r="V15" s="22">
        <f>(($C15*$F15)/360)*31</f>
        <v>467855.52469999995</v>
      </c>
      <c r="W15" s="22">
        <f>(($C15*$F15)/360)*30</f>
        <v>452763.41099999996</v>
      </c>
      <c r="X15" s="22">
        <f>(($C15*$F15)/360)*21</f>
        <v>316934.38769999996</v>
      </c>
      <c r="Y15" s="22"/>
      <c r="Z15" s="22"/>
      <c r="AA15" s="22"/>
      <c r="AB15" s="22"/>
      <c r="AC15" s="22"/>
      <c r="AD15" s="22"/>
      <c r="AE15" s="22"/>
      <c r="AF15" s="23">
        <f t="shared" si="8"/>
        <v>2656212.0111999996</v>
      </c>
      <c r="AG15" s="24"/>
    </row>
    <row r="16" spans="1:36" s="20" customFormat="1" hidden="1" x14ac:dyDescent="0.3">
      <c r="A16" s="21"/>
      <c r="B16" s="319"/>
      <c r="C16" s="325"/>
      <c r="D16" s="325"/>
      <c r="E16" s="325"/>
      <c r="F16" s="321"/>
      <c r="G16" s="322"/>
      <c r="H16" s="323"/>
      <c r="I16" s="323"/>
      <c r="J16" s="323"/>
      <c r="K16" s="320"/>
      <c r="L16" s="320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8"/>
        <v>0</v>
      </c>
      <c r="AG16" s="24"/>
      <c r="AH16" s="20" t="s">
        <v>404</v>
      </c>
    </row>
    <row r="17" spans="1:34" hidden="1" x14ac:dyDescent="0.3">
      <c r="A17" s="32"/>
      <c r="C17" s="326"/>
      <c r="D17" s="326"/>
      <c r="E17" s="326"/>
      <c r="AF17" s="23">
        <f t="shared" si="8"/>
        <v>0</v>
      </c>
    </row>
    <row r="18" spans="1:34" s="20" customFormat="1" hidden="1" x14ac:dyDescent="0.3">
      <c r="A18" s="21" t="s">
        <v>403</v>
      </c>
      <c r="B18" s="327"/>
      <c r="C18" s="325">
        <v>22000000</v>
      </c>
      <c r="D18" s="325"/>
      <c r="E18" s="325">
        <f>+C18-D18</f>
        <v>22000000</v>
      </c>
      <c r="F18" s="321">
        <v>0.18</v>
      </c>
      <c r="G18" s="322"/>
      <c r="H18" s="323"/>
      <c r="I18" s="323">
        <v>45966</v>
      </c>
      <c r="J18" s="323"/>
      <c r="K18" s="320"/>
      <c r="L18" s="320"/>
      <c r="M18" s="22"/>
      <c r="N18" s="22"/>
      <c r="O18" s="22"/>
      <c r="P18" s="22"/>
      <c r="Q18" s="22"/>
      <c r="R18" s="22"/>
      <c r="S18" s="22">
        <f>(($C18*$F18)/360)*25</f>
        <v>275000</v>
      </c>
      <c r="T18" s="22">
        <f>(($C18*$F18)/360)*30</f>
        <v>330000</v>
      </c>
      <c r="U18" s="22">
        <f>SUM(Q18:T18)</f>
        <v>605000</v>
      </c>
      <c r="V18" s="22">
        <f>(($C18*$F18)/360)*31</f>
        <v>341000</v>
      </c>
      <c r="W18" s="22">
        <f>(($C18*$F18)/360)*30</f>
        <v>330000</v>
      </c>
      <c r="X18" s="22">
        <f>(($C18*$F18)/360)*21</f>
        <v>231000</v>
      </c>
      <c r="Y18" s="22"/>
      <c r="Z18" s="22"/>
      <c r="AA18" s="22"/>
      <c r="AB18" s="22"/>
      <c r="AC18" s="22"/>
      <c r="AD18" s="22"/>
      <c r="AE18" s="22"/>
      <c r="AF18" s="23">
        <f t="shared" si="8"/>
        <v>1507000</v>
      </c>
      <c r="AG18" s="24"/>
    </row>
    <row r="19" spans="1:34" s="20" customFormat="1" hidden="1" x14ac:dyDescent="0.3">
      <c r="A19" s="21" t="s">
        <v>403</v>
      </c>
      <c r="B19" s="327"/>
      <c r="C19" s="325">
        <v>22815773</v>
      </c>
      <c r="D19" s="325"/>
      <c r="E19" s="325">
        <f>+C19-D19</f>
        <v>22815773</v>
      </c>
      <c r="F19" s="321">
        <v>0.18</v>
      </c>
      <c r="G19" s="322"/>
      <c r="H19" s="323"/>
      <c r="I19" s="323">
        <v>45989</v>
      </c>
      <c r="J19" s="323"/>
      <c r="K19" s="320"/>
      <c r="L19" s="320"/>
      <c r="M19" s="22"/>
      <c r="N19" s="22"/>
      <c r="O19" s="22"/>
      <c r="P19" s="22"/>
      <c r="Q19" s="22"/>
      <c r="R19" s="22"/>
      <c r="S19" s="22">
        <f>(($C19*$F19)/360)*2</f>
        <v>22815.772999999997</v>
      </c>
      <c r="T19" s="22">
        <f>(($C19*$F19)/360)*30</f>
        <v>342236.59499999997</v>
      </c>
      <c r="U19" s="22">
        <f>SUM(Q19:T19)</f>
        <v>365052.36799999996</v>
      </c>
      <c r="V19" s="22">
        <f>(($C19*$F19)/360)*31</f>
        <v>353644.48149999994</v>
      </c>
      <c r="W19" s="22">
        <f>(($C19*$F19)/360)*30</f>
        <v>342236.59499999997</v>
      </c>
      <c r="X19" s="22">
        <f>(($C19*$F19)/360)*20.712867</f>
        <v>236290.03582559546</v>
      </c>
      <c r="Y19" s="22"/>
      <c r="Z19" s="22"/>
      <c r="AA19" s="22"/>
      <c r="AB19" s="22"/>
      <c r="AC19" s="22"/>
      <c r="AD19" s="22"/>
      <c r="AE19" s="22"/>
      <c r="AF19" s="23">
        <f t="shared" si="8"/>
        <v>1297223.4803255952</v>
      </c>
      <c r="AG19" s="22"/>
    </row>
    <row r="20" spans="1:34" s="20" customFormat="1" hidden="1" x14ac:dyDescent="0.3">
      <c r="A20" s="21" t="s">
        <v>403</v>
      </c>
      <c r="B20" s="327"/>
      <c r="C20" s="325"/>
      <c r="D20" s="325"/>
      <c r="E20" s="325">
        <f>+C20-D20</f>
        <v>0</v>
      </c>
      <c r="F20" s="321"/>
      <c r="G20" s="322"/>
      <c r="H20" s="323"/>
      <c r="I20" s="323"/>
      <c r="J20" s="323"/>
      <c r="K20" s="320"/>
      <c r="L20" s="320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8"/>
        <v>0</v>
      </c>
      <c r="AG20" s="24"/>
      <c r="AH20" s="20" t="s">
        <v>404</v>
      </c>
    </row>
    <row r="21" spans="1:34" s="20" customFormat="1" x14ac:dyDescent="0.3">
      <c r="A21" s="34" t="s">
        <v>403</v>
      </c>
      <c r="B21" s="328"/>
      <c r="C21" s="329">
        <v>100000000</v>
      </c>
      <c r="D21" s="329"/>
      <c r="E21" s="329">
        <f>+C21-D21</f>
        <v>100000000</v>
      </c>
      <c r="F21" s="321">
        <v>0.18</v>
      </c>
      <c r="G21" s="322"/>
      <c r="H21" s="323"/>
      <c r="I21" s="323">
        <v>46223</v>
      </c>
      <c r="J21" s="323"/>
      <c r="K21" s="320"/>
      <c r="L21" s="320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>
        <f>(($C21*$F21)/360)*30/30*10</f>
        <v>500000</v>
      </c>
      <c r="AA21" s="22">
        <f t="shared" ref="AA21:AC21" si="9">(($C21*$F21)/360)*30</f>
        <v>1500000</v>
      </c>
      <c r="AB21" s="22">
        <f t="shared" si="9"/>
        <v>1500000</v>
      </c>
      <c r="AC21" s="22">
        <f t="shared" si="9"/>
        <v>1500000</v>
      </c>
      <c r="AD21" s="22"/>
      <c r="AE21" s="22"/>
      <c r="AF21" s="23">
        <f>SUM(Z21:AE21)</f>
        <v>5000000</v>
      </c>
      <c r="AG21" s="35"/>
    </row>
    <row r="22" spans="1:34" s="20" customFormat="1" x14ac:dyDescent="0.3">
      <c r="A22" s="34" t="s">
        <v>403</v>
      </c>
      <c r="B22" s="328"/>
      <c r="C22" s="329"/>
      <c r="D22" s="330">
        <v>-100000000</v>
      </c>
      <c r="E22" s="331">
        <f>+C22+D22</f>
        <v>-100000000</v>
      </c>
      <c r="F22" s="332">
        <v>0.18</v>
      </c>
      <c r="G22" s="333"/>
      <c r="H22" s="334"/>
      <c r="I22" s="334">
        <v>46295</v>
      </c>
      <c r="J22" s="334"/>
      <c r="K22" s="335"/>
      <c r="L22" s="335"/>
      <c r="M22" s="336"/>
      <c r="N22" s="336"/>
      <c r="O22" s="336"/>
      <c r="P22" s="336"/>
      <c r="Q22" s="336"/>
      <c r="R22" s="336"/>
      <c r="S22" s="336"/>
      <c r="T22" s="336"/>
      <c r="U22" s="336"/>
      <c r="V22" s="336"/>
      <c r="W22" s="336"/>
      <c r="X22" s="336"/>
      <c r="Y22" s="336"/>
      <c r="Z22" s="336"/>
      <c r="AA22" s="336">
        <f>(($C22*$F22)/360)*30</f>
        <v>0</v>
      </c>
      <c r="AB22" s="306"/>
      <c r="AC22" s="306">
        <f>(($E22*$F22)/360)*30</f>
        <v>-1500000</v>
      </c>
      <c r="AD22" s="336">
        <f>(($C22*$F22)/360)*30</f>
        <v>0</v>
      </c>
      <c r="AE22" s="336">
        <f>(($C22*$F22)/360)*30</f>
        <v>0</v>
      </c>
      <c r="AF22" s="23">
        <f>SUM(Z22:AE22)</f>
        <v>-1500000</v>
      </c>
      <c r="AG22" s="35"/>
    </row>
    <row r="23" spans="1:34" s="31" customFormat="1" x14ac:dyDescent="0.3">
      <c r="A23" s="36" t="s">
        <v>405</v>
      </c>
      <c r="B23" s="37"/>
      <c r="C23" s="38">
        <f>+C21+C22</f>
        <v>100000000</v>
      </c>
      <c r="D23" s="38">
        <f t="shared" ref="D23:E23" si="10">+D21+D22</f>
        <v>-100000000</v>
      </c>
      <c r="E23" s="38">
        <f t="shared" si="10"/>
        <v>0</v>
      </c>
      <c r="F23" s="39"/>
      <c r="G23" s="40">
        <f>SUM(G14:G21)</f>
        <v>0</v>
      </c>
      <c r="H23" s="40">
        <f>SUM(H14:H21)</f>
        <v>0</v>
      </c>
      <c r="I23" s="40"/>
      <c r="J23" s="40">
        <f t="shared" ref="J23:T23" si="11">SUM(J14:J21)</f>
        <v>0</v>
      </c>
      <c r="K23" s="40">
        <f t="shared" si="11"/>
        <v>0</v>
      </c>
      <c r="L23" s="40">
        <f t="shared" si="11"/>
        <v>0</v>
      </c>
      <c r="M23" s="40">
        <f t="shared" si="11"/>
        <v>0</v>
      </c>
      <c r="N23" s="40">
        <f t="shared" si="11"/>
        <v>0</v>
      </c>
      <c r="O23" s="40">
        <f t="shared" si="11"/>
        <v>0</v>
      </c>
      <c r="P23" s="40">
        <f t="shared" si="11"/>
        <v>0</v>
      </c>
      <c r="Q23" s="40">
        <f t="shared" si="11"/>
        <v>372868.45480000001</v>
      </c>
      <c r="R23" s="40">
        <f t="shared" si="11"/>
        <v>827763.41099999996</v>
      </c>
      <c r="S23" s="40">
        <f t="shared" si="11"/>
        <v>1125579.1839999999</v>
      </c>
      <c r="T23" s="40">
        <f t="shared" si="11"/>
        <v>1500000.0059999998</v>
      </c>
      <c r="U23" s="40">
        <f t="shared" ref="U23:AE23" si="12">SUM(U14:U22)</f>
        <v>3826211.0557999997</v>
      </c>
      <c r="V23" s="40">
        <f t="shared" si="12"/>
        <v>1550000.0061999999</v>
      </c>
      <c r="W23" s="40">
        <f t="shared" si="12"/>
        <v>1500000.0059999998</v>
      </c>
      <c r="X23" s="40">
        <f t="shared" si="12"/>
        <v>846724.42352559546</v>
      </c>
      <c r="Y23" s="40">
        <f t="shared" si="12"/>
        <v>0</v>
      </c>
      <c r="Z23" s="40">
        <f t="shared" si="12"/>
        <v>500000</v>
      </c>
      <c r="AA23" s="40">
        <f t="shared" si="12"/>
        <v>1500000</v>
      </c>
      <c r="AB23" s="40">
        <f t="shared" si="12"/>
        <v>1500000</v>
      </c>
      <c r="AC23" s="40">
        <f t="shared" si="12"/>
        <v>0</v>
      </c>
      <c r="AD23" s="40">
        <f t="shared" si="12"/>
        <v>0</v>
      </c>
      <c r="AE23" s="40">
        <f t="shared" si="12"/>
        <v>0</v>
      </c>
      <c r="AF23" s="30">
        <f>+AF21+AF22</f>
        <v>3500000</v>
      </c>
    </row>
    <row r="24" spans="1:34" s="20" customFormat="1" x14ac:dyDescent="0.3">
      <c r="A24" s="21"/>
      <c r="B24" s="327"/>
      <c r="C24" s="325"/>
      <c r="D24" s="325"/>
      <c r="E24" s="325"/>
      <c r="F24" s="321"/>
      <c r="G24" s="322"/>
      <c r="H24" s="323"/>
      <c r="I24" s="323"/>
      <c r="J24" s="323"/>
      <c r="K24" s="320"/>
      <c r="L24" s="320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41"/>
      <c r="AG24" s="35"/>
    </row>
    <row r="25" spans="1:34" s="20" customFormat="1" x14ac:dyDescent="0.3">
      <c r="A25" s="21" t="s">
        <v>406</v>
      </c>
      <c r="B25" s="327"/>
      <c r="C25" s="337">
        <v>100000000</v>
      </c>
      <c r="D25" s="337"/>
      <c r="E25" s="337">
        <f>+C25-D25</f>
        <v>100000000</v>
      </c>
      <c r="F25" s="321">
        <v>0.13750000000000001</v>
      </c>
      <c r="G25" s="322"/>
      <c r="H25" s="323"/>
      <c r="I25" s="323">
        <v>46087</v>
      </c>
      <c r="J25" s="323"/>
      <c r="K25" s="320"/>
      <c r="L25" s="320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>
        <f>(($C25*$F25)/360)*19</f>
        <v>725694.44444444461</v>
      </c>
      <c r="Y25" s="338">
        <f>(($C25*$F25)/360)*30*2</f>
        <v>2291666.666666667</v>
      </c>
      <c r="Z25" s="338">
        <f>(($C25*$F25)/360)*31</f>
        <v>1184027.777777778</v>
      </c>
      <c r="AA25" s="338">
        <f t="shared" ref="AA25:AE26" si="13">(($C25*$F25)/360)*30</f>
        <v>1145833.3333333335</v>
      </c>
      <c r="AB25" s="338">
        <f t="shared" si="13"/>
        <v>1145833.3333333335</v>
      </c>
      <c r="AC25" s="338">
        <f t="shared" si="13"/>
        <v>1145833.3333333335</v>
      </c>
      <c r="AD25" s="338">
        <f t="shared" si="13"/>
        <v>1145833.3333333335</v>
      </c>
      <c r="AE25" s="338">
        <f t="shared" si="13"/>
        <v>1145833.3333333335</v>
      </c>
      <c r="AF25" s="42">
        <f>SUM(X25:AE25)</f>
        <v>9930555.5555555597</v>
      </c>
      <c r="AG25" s="35"/>
    </row>
    <row r="26" spans="1:34" s="20" customFormat="1" x14ac:dyDescent="0.3">
      <c r="A26" s="34" t="s">
        <v>406</v>
      </c>
      <c r="B26" s="328"/>
      <c r="C26" s="339">
        <f>+'[1]FLUJO 03-26'!D26</f>
        <v>40000000</v>
      </c>
      <c r="D26" s="339"/>
      <c r="E26" s="339">
        <f>+C26-D26</f>
        <v>40000000</v>
      </c>
      <c r="F26" s="340">
        <v>0.13750000000000001</v>
      </c>
      <c r="G26" s="341"/>
      <c r="H26" s="342"/>
      <c r="I26" s="342">
        <v>46113</v>
      </c>
      <c r="J26" s="342"/>
      <c r="K26" s="343"/>
      <c r="L26" s="343"/>
      <c r="M26" s="344"/>
      <c r="N26" s="344"/>
      <c r="O26" s="344"/>
      <c r="P26" s="344"/>
      <c r="Q26" s="344"/>
      <c r="R26" s="344"/>
      <c r="S26" s="344"/>
      <c r="T26" s="344"/>
      <c r="U26" s="344"/>
      <c r="V26" s="344"/>
      <c r="W26" s="344"/>
      <c r="X26" s="344"/>
      <c r="Y26" s="310">
        <f>(($C26*$F26)/360)*30</f>
        <v>458333.33333333331</v>
      </c>
      <c r="Z26" s="310">
        <f>(($C26*$F26)/360)*30</f>
        <v>458333.33333333331</v>
      </c>
      <c r="AA26" s="310">
        <f t="shared" si="13"/>
        <v>458333.33333333331</v>
      </c>
      <c r="AB26" s="310">
        <f t="shared" si="13"/>
        <v>458333.33333333331</v>
      </c>
      <c r="AC26" s="310">
        <f t="shared" si="13"/>
        <v>458333.33333333331</v>
      </c>
      <c r="AD26" s="310">
        <f t="shared" si="13"/>
        <v>458333.33333333331</v>
      </c>
      <c r="AE26" s="310">
        <f t="shared" si="13"/>
        <v>458333.33333333331</v>
      </c>
      <c r="AF26" s="42">
        <f t="shared" ref="AF26:AF32" si="14">SUM(X26:AE26)</f>
        <v>3208333.3333333335</v>
      </c>
      <c r="AG26" s="35"/>
    </row>
    <row r="27" spans="1:34" s="20" customFormat="1" x14ac:dyDescent="0.3">
      <c r="A27" s="34" t="s">
        <v>406</v>
      </c>
      <c r="B27" s="328"/>
      <c r="C27" s="339">
        <v>20000000</v>
      </c>
      <c r="D27" s="339"/>
      <c r="E27" s="339">
        <f>+C27-D27</f>
        <v>20000000</v>
      </c>
      <c r="F27" s="340">
        <v>0.13750000000000001</v>
      </c>
      <c r="G27" s="341"/>
      <c r="H27" s="342"/>
      <c r="I27" s="342">
        <v>46143</v>
      </c>
      <c r="J27" s="342"/>
      <c r="K27" s="343"/>
      <c r="L27" s="343"/>
      <c r="M27" s="344"/>
      <c r="N27" s="344"/>
      <c r="O27" s="344"/>
      <c r="P27" s="344"/>
      <c r="Q27" s="344"/>
      <c r="R27" s="344"/>
      <c r="S27" s="344"/>
      <c r="T27" s="344"/>
      <c r="U27" s="344"/>
      <c r="V27" s="344"/>
      <c r="W27" s="344"/>
      <c r="X27" s="344"/>
      <c r="Y27" s="310">
        <f>(($E27*$F27)/360)*15</f>
        <v>114583.33333333333</v>
      </c>
      <c r="Z27" s="310">
        <f t="shared" ref="Z27:AE28" si="15">(($E27*$F27)/360)*30</f>
        <v>229166.66666666666</v>
      </c>
      <c r="AA27" s="310">
        <f t="shared" si="15"/>
        <v>229166.66666666666</v>
      </c>
      <c r="AB27" s="310">
        <f t="shared" si="15"/>
        <v>229166.66666666666</v>
      </c>
      <c r="AC27" s="310">
        <f t="shared" si="15"/>
        <v>229166.66666666666</v>
      </c>
      <c r="AD27" s="310">
        <f t="shared" si="15"/>
        <v>229166.66666666666</v>
      </c>
      <c r="AE27" s="310">
        <f t="shared" si="15"/>
        <v>229166.66666666666</v>
      </c>
      <c r="AF27" s="42">
        <f t="shared" si="14"/>
        <v>1489583.3333333333</v>
      </c>
      <c r="AG27" s="24"/>
    </row>
    <row r="28" spans="1:34" s="20" customFormat="1" x14ac:dyDescent="0.3">
      <c r="A28" s="34" t="s">
        <v>406</v>
      </c>
      <c r="B28" s="328"/>
      <c r="C28" s="339">
        <f>+'1. RESUMEN EJECUTIVO'!AB20</f>
        <v>40000000</v>
      </c>
      <c r="D28" s="339"/>
      <c r="E28" s="345">
        <f>+C28-D28</f>
        <v>40000000</v>
      </c>
      <c r="F28" s="340">
        <v>0.13750000000000001</v>
      </c>
      <c r="G28" s="341"/>
      <c r="H28" s="342"/>
      <c r="I28" s="342">
        <v>46174</v>
      </c>
      <c r="J28" s="342"/>
      <c r="K28" s="343"/>
      <c r="L28" s="343"/>
      <c r="M28" s="344"/>
      <c r="N28" s="344"/>
      <c r="O28" s="344"/>
      <c r="P28" s="344"/>
      <c r="Q28" s="344"/>
      <c r="R28" s="344"/>
      <c r="S28" s="344"/>
      <c r="T28" s="344"/>
      <c r="U28" s="344"/>
      <c r="V28" s="344"/>
      <c r="W28" s="344"/>
      <c r="X28" s="344"/>
      <c r="Y28" s="310"/>
      <c r="Z28" s="310">
        <f>(($E28*$F28)/360)*30/(30)*5</f>
        <v>76388.888888888891</v>
      </c>
      <c r="AA28" s="310">
        <f t="shared" si="15"/>
        <v>458333.33333333331</v>
      </c>
      <c r="AB28" s="310">
        <f t="shared" si="15"/>
        <v>458333.33333333331</v>
      </c>
      <c r="AC28" s="310">
        <f t="shared" si="15"/>
        <v>458333.33333333331</v>
      </c>
      <c r="AD28" s="310">
        <f t="shared" si="15"/>
        <v>458333.33333333331</v>
      </c>
      <c r="AE28" s="310">
        <f t="shared" si="15"/>
        <v>458333.33333333331</v>
      </c>
      <c r="AF28" s="42">
        <f t="shared" si="14"/>
        <v>2368055.5555555555</v>
      </c>
      <c r="AG28" s="24"/>
    </row>
    <row r="29" spans="1:34" s="20" customFormat="1" hidden="1" x14ac:dyDescent="0.3">
      <c r="A29" s="34" t="s">
        <v>406</v>
      </c>
      <c r="B29" s="328"/>
      <c r="C29" s="339"/>
      <c r="D29" s="339"/>
      <c r="E29" s="345">
        <f>+C29-D29</f>
        <v>0</v>
      </c>
      <c r="F29" s="340">
        <v>0.13750000000000001</v>
      </c>
      <c r="G29" s="341"/>
      <c r="H29" s="342"/>
      <c r="I29" s="342">
        <v>46204</v>
      </c>
      <c r="J29" s="342"/>
      <c r="K29" s="343"/>
      <c r="L29" s="343"/>
      <c r="M29" s="344"/>
      <c r="N29" s="344"/>
      <c r="O29" s="344"/>
      <c r="P29" s="344"/>
      <c r="Q29" s="344"/>
      <c r="R29" s="344"/>
      <c r="S29" s="344"/>
      <c r="T29" s="344"/>
      <c r="U29" s="344"/>
      <c r="V29" s="344"/>
      <c r="W29" s="344"/>
      <c r="X29" s="344"/>
      <c r="Y29" s="310"/>
      <c r="Z29" s="310"/>
      <c r="AA29" s="310">
        <f t="shared" ref="AA29:AE30" si="16">(($E29*$F29)/360)*30</f>
        <v>0</v>
      </c>
      <c r="AB29" s="310">
        <f t="shared" si="16"/>
        <v>0</v>
      </c>
      <c r="AC29" s="310">
        <f t="shared" si="16"/>
        <v>0</v>
      </c>
      <c r="AD29" s="310">
        <f t="shared" si="16"/>
        <v>0</v>
      </c>
      <c r="AE29" s="310">
        <f t="shared" si="16"/>
        <v>0</v>
      </c>
      <c r="AF29" s="42">
        <f t="shared" si="14"/>
        <v>0</v>
      </c>
      <c r="AG29" s="24"/>
    </row>
    <row r="30" spans="1:34" s="20" customFormat="1" x14ac:dyDescent="0.3">
      <c r="A30" s="34" t="s">
        <v>406</v>
      </c>
      <c r="B30" s="328"/>
      <c r="C30" s="339">
        <v>100000000</v>
      </c>
      <c r="D30" s="345">
        <f>+'1. RESUMEN EJECUTIVO'!AC20</f>
        <v>0</v>
      </c>
      <c r="E30" s="345">
        <f>+C30+D30</f>
        <v>100000000</v>
      </c>
      <c r="F30" s="340">
        <v>0.13750000000000001</v>
      </c>
      <c r="G30" s="341"/>
      <c r="H30" s="342"/>
      <c r="I30" s="342">
        <v>46235</v>
      </c>
      <c r="J30" s="342"/>
      <c r="K30" s="343"/>
      <c r="L30" s="343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  <c r="Y30" s="310"/>
      <c r="Z30" s="310"/>
      <c r="AA30" s="310">
        <f t="shared" si="16"/>
        <v>1145833.3333333335</v>
      </c>
      <c r="AB30" s="310">
        <f t="shared" si="16"/>
        <v>1145833.3333333335</v>
      </c>
      <c r="AC30" s="310">
        <f t="shared" si="16"/>
        <v>1145833.3333333335</v>
      </c>
      <c r="AD30" s="310">
        <f t="shared" si="16"/>
        <v>1145833.3333333335</v>
      </c>
      <c r="AE30" s="310">
        <f t="shared" si="16"/>
        <v>1145833.3333333335</v>
      </c>
      <c r="AF30" s="42">
        <f t="shared" si="14"/>
        <v>5729166.6666666679</v>
      </c>
      <c r="AG30" s="24"/>
    </row>
    <row r="31" spans="1:34" s="20" customFormat="1" x14ac:dyDescent="0.3">
      <c r="A31" s="34" t="s">
        <v>406</v>
      </c>
      <c r="B31" s="328"/>
      <c r="C31" s="339"/>
      <c r="D31" s="339">
        <f>+'1. RESUMEN EJECUTIVO'!AE20</f>
        <v>-150000000</v>
      </c>
      <c r="E31" s="331">
        <f>+C31+D31</f>
        <v>-150000000</v>
      </c>
      <c r="F31" s="340">
        <v>0.13750000000000001</v>
      </c>
      <c r="G31" s="341"/>
      <c r="H31" s="342"/>
      <c r="I31" s="342">
        <v>46266</v>
      </c>
      <c r="J31" s="342"/>
      <c r="K31" s="343"/>
      <c r="L31" s="343"/>
      <c r="M31" s="344"/>
      <c r="N31" s="34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10"/>
      <c r="Z31" s="310"/>
      <c r="AA31" s="310"/>
      <c r="AB31" s="310"/>
      <c r="AC31" s="310">
        <f>(($E31*$F31)/360)*30</f>
        <v>-1718750</v>
      </c>
      <c r="AD31" s="310">
        <f>(($E31*$F31)/360)*30</f>
        <v>-1718750</v>
      </c>
      <c r="AE31" s="310">
        <f>(($E31*$F31)/360)*30</f>
        <v>-1718750</v>
      </c>
      <c r="AF31" s="42">
        <f t="shared" si="14"/>
        <v>-5156250</v>
      </c>
      <c r="AG31" s="24"/>
    </row>
    <row r="32" spans="1:34" s="20" customFormat="1" x14ac:dyDescent="0.3">
      <c r="A32" s="34" t="s">
        <v>406</v>
      </c>
      <c r="B32" s="328"/>
      <c r="C32" s="339"/>
      <c r="D32" s="339">
        <f>+'1. RESUMEN EJECUTIVO'!AG20</f>
        <v>-20000000</v>
      </c>
      <c r="E32" s="331">
        <f>+C32+D32</f>
        <v>-20000000</v>
      </c>
      <c r="F32" s="340">
        <v>0.13750000000000001</v>
      </c>
      <c r="G32" s="341"/>
      <c r="H32" s="342"/>
      <c r="I32" s="342">
        <v>46327</v>
      </c>
      <c r="J32" s="342"/>
      <c r="K32" s="343"/>
      <c r="L32" s="343"/>
      <c r="M32" s="344"/>
      <c r="N32" s="344"/>
      <c r="O32" s="344"/>
      <c r="P32" s="344"/>
      <c r="Q32" s="344"/>
      <c r="R32" s="344"/>
      <c r="S32" s="344"/>
      <c r="T32" s="344"/>
      <c r="U32" s="344"/>
      <c r="V32" s="344"/>
      <c r="W32" s="344"/>
      <c r="X32" s="344"/>
      <c r="Y32" s="310"/>
      <c r="Z32" s="310"/>
      <c r="AA32" s="310"/>
      <c r="AB32" s="310"/>
      <c r="AC32" s="310"/>
      <c r="AD32" s="310">
        <f>(($E32*$F32)/360)*30</f>
        <v>-229166.66666666666</v>
      </c>
      <c r="AE32" s="310">
        <f>(($E32*$F32)/360)*30</f>
        <v>-229166.66666666666</v>
      </c>
      <c r="AF32" s="42">
        <f t="shared" si="14"/>
        <v>-458333.33333333331</v>
      </c>
      <c r="AG32" s="24"/>
    </row>
    <row r="33" spans="1:33" s="20" customFormat="1" x14ac:dyDescent="0.3">
      <c r="A33" s="36" t="s">
        <v>407</v>
      </c>
      <c r="B33" s="37"/>
      <c r="C33" s="43">
        <f>SUM(C25:C31)</f>
        <v>300000000</v>
      </c>
      <c r="D33" s="43">
        <f t="shared" ref="D33:E33" si="17">SUM(D25:D31)</f>
        <v>-150000000</v>
      </c>
      <c r="E33" s="43">
        <f t="shared" si="17"/>
        <v>150000000</v>
      </c>
      <c r="F33" s="44"/>
      <c r="G33" s="44"/>
      <c r="H33" s="44"/>
      <c r="I33" s="45"/>
      <c r="J33" s="44"/>
      <c r="K33" s="44"/>
      <c r="L33" s="40"/>
      <c r="M33" s="40"/>
      <c r="N33" s="40"/>
      <c r="O33" s="40"/>
      <c r="P33" s="40"/>
      <c r="Q33" s="40"/>
      <c r="R33" s="40"/>
      <c r="S33" s="40"/>
      <c r="T33" s="40"/>
      <c r="U33" s="40">
        <f>SUM(U25:U27)</f>
        <v>0</v>
      </c>
      <c r="V33" s="40">
        <f>SUM(V25:V27)</f>
        <v>0</v>
      </c>
      <c r="W33" s="40">
        <f>SUM(W25:W27)</f>
        <v>0</v>
      </c>
      <c r="X33" s="40">
        <f>SUM(X25:X27)</f>
        <v>725694.44444444461</v>
      </c>
      <c r="Y33" s="46">
        <f t="shared" ref="Y33" si="18">SUM(Y25:Y31)</f>
        <v>2864583.333333334</v>
      </c>
      <c r="Z33" s="46">
        <f>SUM(Z25:Z32)</f>
        <v>1947916.666666667</v>
      </c>
      <c r="AA33" s="46">
        <f t="shared" ref="AA33:AE33" si="19">SUM(AA25:AA32)</f>
        <v>3437500.0000000005</v>
      </c>
      <c r="AB33" s="46">
        <f t="shared" si="19"/>
        <v>3437500.0000000005</v>
      </c>
      <c r="AC33" s="46">
        <f t="shared" si="19"/>
        <v>1718750.0000000005</v>
      </c>
      <c r="AD33" s="46">
        <f t="shared" si="19"/>
        <v>1489583.3333333337</v>
      </c>
      <c r="AE33" s="46">
        <f t="shared" si="19"/>
        <v>1489583.3333333337</v>
      </c>
      <c r="AF33" s="47">
        <f>SUM(AF25:AF32)</f>
        <v>17111111.111111119</v>
      </c>
      <c r="AG33" s="24"/>
    </row>
    <row r="34" spans="1:33" s="20" customFormat="1" x14ac:dyDescent="0.3">
      <c r="A34" s="21"/>
      <c r="B34" s="327"/>
      <c r="C34" s="337"/>
      <c r="D34" s="337"/>
      <c r="E34" s="337"/>
      <c r="F34" s="321"/>
      <c r="G34" s="322"/>
      <c r="H34" s="323"/>
      <c r="I34" s="323"/>
      <c r="J34" s="323"/>
      <c r="K34" s="320"/>
      <c r="L34" s="320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338"/>
      <c r="Z34" s="338"/>
      <c r="AA34" s="338"/>
      <c r="AB34" s="338"/>
      <c r="AC34" s="338"/>
      <c r="AD34" s="338"/>
      <c r="AE34" s="338"/>
      <c r="AF34" s="48"/>
      <c r="AG34" s="24"/>
    </row>
    <row r="35" spans="1:33" s="20" customFormat="1" x14ac:dyDescent="0.3">
      <c r="A35" s="34" t="s">
        <v>408</v>
      </c>
      <c r="B35" s="328"/>
      <c r="C35" s="339">
        <f>+'1. RESUMEN EJECUTIVO'!AE21</f>
        <v>240000000</v>
      </c>
      <c r="D35" s="339"/>
      <c r="E35" s="339">
        <f>+C35-D35</f>
        <v>240000000</v>
      </c>
      <c r="F35" s="340">
        <v>0.1</v>
      </c>
      <c r="G35" s="341"/>
      <c r="H35" s="342"/>
      <c r="I35" s="342">
        <v>46266</v>
      </c>
      <c r="J35" s="342"/>
      <c r="K35" s="343"/>
      <c r="L35" s="343"/>
      <c r="M35" s="344"/>
      <c r="N35" s="344"/>
      <c r="O35" s="344"/>
      <c r="P35" s="344"/>
      <c r="Q35" s="344"/>
      <c r="R35" s="344"/>
      <c r="S35" s="344"/>
      <c r="T35" s="344"/>
      <c r="U35" s="344"/>
      <c r="V35" s="344"/>
      <c r="W35" s="344"/>
      <c r="X35" s="344"/>
      <c r="Y35" s="310"/>
      <c r="Z35" s="310"/>
      <c r="AA35" s="310"/>
      <c r="AB35" s="311">
        <f>(($C35*$F35)/360)*30</f>
        <v>2000000.0000000002</v>
      </c>
      <c r="AC35" s="311">
        <f>(($C35*$F35)/360)*30</f>
        <v>2000000.0000000002</v>
      </c>
      <c r="AD35" s="311">
        <f>(($C35*$F35)/360)*30</f>
        <v>2000000.0000000002</v>
      </c>
      <c r="AE35" s="311">
        <f>(($C35*$F35)/360)*30</f>
        <v>2000000.0000000002</v>
      </c>
      <c r="AF35" s="346">
        <f>SUM(Z35:AE35)</f>
        <v>8000000.0000000009</v>
      </c>
      <c r="AG35" s="24"/>
    </row>
    <row r="36" spans="1:33" s="20" customFormat="1" x14ac:dyDescent="0.3">
      <c r="A36" s="34" t="s">
        <v>408</v>
      </c>
      <c r="B36" s="328"/>
      <c r="C36" s="339">
        <v>180000000</v>
      </c>
      <c r="D36" s="339"/>
      <c r="E36" s="339">
        <f>+C36-D36</f>
        <v>180000000</v>
      </c>
      <c r="F36" s="340">
        <v>0.1</v>
      </c>
      <c r="G36" s="341"/>
      <c r="H36" s="342"/>
      <c r="I36" s="316">
        <v>46327</v>
      </c>
      <c r="J36" s="316"/>
      <c r="K36" s="317"/>
      <c r="L36" s="317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07"/>
      <c r="Z36" s="307"/>
      <c r="AA36" s="307"/>
      <c r="AB36" s="309"/>
      <c r="AC36" s="309"/>
      <c r="AD36" s="309">
        <f>(($C36*$F36)/360)*30</f>
        <v>1500000</v>
      </c>
      <c r="AE36" s="309">
        <f>(($C36*$F36)/360)*30</f>
        <v>1500000</v>
      </c>
      <c r="AF36" s="347">
        <f>SUM(Z36:AE36)</f>
        <v>3000000</v>
      </c>
      <c r="AG36" s="24"/>
    </row>
    <row r="37" spans="1:33" s="20" customFormat="1" x14ac:dyDescent="0.3">
      <c r="A37" s="36" t="s">
        <v>409</v>
      </c>
      <c r="B37" s="37"/>
      <c r="C37" s="43">
        <f>SUM(C35:C35)</f>
        <v>240000000</v>
      </c>
      <c r="D37" s="46">
        <f>SUM(D35:D35)</f>
        <v>0</v>
      </c>
      <c r="E37" s="43">
        <f>SUM(E35:E35)</f>
        <v>240000000</v>
      </c>
      <c r="F37" s="44"/>
      <c r="G37" s="44"/>
      <c r="H37" s="44"/>
      <c r="I37" s="312"/>
      <c r="J37" s="313"/>
      <c r="K37" s="313"/>
      <c r="L37" s="314"/>
      <c r="M37" s="314"/>
      <c r="N37" s="314"/>
      <c r="O37" s="314"/>
      <c r="P37" s="314"/>
      <c r="Q37" s="314"/>
      <c r="R37" s="314"/>
      <c r="S37" s="314"/>
      <c r="T37" s="314"/>
      <c r="U37" s="314" t="e">
        <f>SUM(#REF!)</f>
        <v>#REF!</v>
      </c>
      <c r="V37" s="314" t="e">
        <f>SUM(#REF!)</f>
        <v>#REF!</v>
      </c>
      <c r="W37" s="314" t="e">
        <f>SUM(#REF!)</f>
        <v>#REF!</v>
      </c>
      <c r="X37" s="314">
        <f t="shared" ref="X37:Y37" si="20">SUM(X35:X35)</f>
        <v>0</v>
      </c>
      <c r="Y37" s="315">
        <f t="shared" si="20"/>
        <v>0</v>
      </c>
      <c r="Z37" s="308">
        <f t="shared" ref="Z37:AD37" si="21">SUM(Z35:Z36)</f>
        <v>0</v>
      </c>
      <c r="AA37" s="308">
        <f t="shared" si="21"/>
        <v>0</v>
      </c>
      <c r="AB37" s="308">
        <f t="shared" si="21"/>
        <v>2000000.0000000002</v>
      </c>
      <c r="AC37" s="308">
        <f t="shared" si="21"/>
        <v>2000000.0000000002</v>
      </c>
      <c r="AD37" s="308">
        <f t="shared" si="21"/>
        <v>3500000</v>
      </c>
      <c r="AE37" s="308">
        <f>SUM(AE35:AE36)</f>
        <v>3500000</v>
      </c>
      <c r="AF37" s="348">
        <f>SUM(AF35:AF36)</f>
        <v>11000000</v>
      </c>
      <c r="AG37" s="24"/>
    </row>
    <row r="38" spans="1:33" s="20" customFormat="1" x14ac:dyDescent="0.3">
      <c r="A38" s="21"/>
      <c r="B38" s="327"/>
      <c r="C38" s="337"/>
      <c r="D38" s="337"/>
      <c r="E38" s="337"/>
      <c r="F38" s="321"/>
      <c r="G38" s="322"/>
      <c r="H38" s="323"/>
      <c r="I38" s="323"/>
      <c r="J38" s="323"/>
      <c r="K38" s="320"/>
      <c r="L38" s="320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338"/>
      <c r="Z38" s="338"/>
      <c r="AA38" s="338"/>
      <c r="AB38" s="338"/>
      <c r="AC38" s="338"/>
      <c r="AD38" s="338"/>
      <c r="AE38" s="338"/>
      <c r="AF38" s="48"/>
      <c r="AG38" s="24"/>
    </row>
    <row r="39" spans="1:33" s="31" customFormat="1" ht="29.4" customHeight="1" thickBot="1" x14ac:dyDescent="0.35">
      <c r="A39" s="49" t="s">
        <v>410</v>
      </c>
      <c r="B39" s="50"/>
      <c r="C39" s="51">
        <f>+C23+C33+C37</f>
        <v>640000000</v>
      </c>
      <c r="D39" s="51">
        <f t="shared" ref="D39:E39" si="22">+D23+D33+D37</f>
        <v>-250000000</v>
      </c>
      <c r="E39" s="51">
        <f t="shared" si="22"/>
        <v>390000000</v>
      </c>
      <c r="F39" s="52"/>
      <c r="G39" s="52">
        <f>+G13+G23</f>
        <v>0</v>
      </c>
      <c r="H39" s="52">
        <f>+H13+H23</f>
        <v>0</v>
      </c>
      <c r="I39" s="52"/>
      <c r="J39" s="52">
        <f t="shared" ref="J39:T39" si="23">+J13+J23</f>
        <v>0</v>
      </c>
      <c r="K39" s="52">
        <f t="shared" si="23"/>
        <v>0</v>
      </c>
      <c r="L39" s="53">
        <f t="shared" si="23"/>
        <v>0</v>
      </c>
      <c r="M39" s="53">
        <f t="shared" si="23"/>
        <v>0</v>
      </c>
      <c r="N39" s="53">
        <f t="shared" si="23"/>
        <v>0</v>
      </c>
      <c r="O39" s="53">
        <f t="shared" si="23"/>
        <v>87083.33</v>
      </c>
      <c r="P39" s="53">
        <f t="shared" si="23"/>
        <v>174166.67</v>
      </c>
      <c r="Q39" s="53">
        <f t="shared" si="23"/>
        <v>547035.12479999999</v>
      </c>
      <c r="R39" s="53">
        <f t="shared" si="23"/>
        <v>941235.63322222221</v>
      </c>
      <c r="S39" s="53">
        <f t="shared" si="23"/>
        <v>1648804.1839999999</v>
      </c>
      <c r="T39" s="53">
        <f t="shared" si="23"/>
        <v>1500000.0059999998</v>
      </c>
      <c r="U39" s="53">
        <f>+U13+U23+U33</f>
        <v>3826211.0557999997</v>
      </c>
      <c r="V39" s="53">
        <f>+V13+V23+V33</f>
        <v>1550000.0061999999</v>
      </c>
      <c r="W39" s="53">
        <f>+W13+W23+W33</f>
        <v>1500000.0059999998</v>
      </c>
      <c r="X39" s="53">
        <f>+X13+X23+X33</f>
        <v>1572418.8679700401</v>
      </c>
      <c r="Y39" s="54">
        <f>+Y33+Y37</f>
        <v>2864583.333333334</v>
      </c>
      <c r="Z39" s="54">
        <f>+Z23+Z33+Z37</f>
        <v>2447916.666666667</v>
      </c>
      <c r="AA39" s="54">
        <f t="shared" ref="AA39:AE39" si="24">+AA23+AA33+AA37</f>
        <v>4937500</v>
      </c>
      <c r="AB39" s="54">
        <f t="shared" si="24"/>
        <v>6937500</v>
      </c>
      <c r="AC39" s="54">
        <f t="shared" si="24"/>
        <v>3718750.0000000009</v>
      </c>
      <c r="AD39" s="54">
        <f t="shared" si="24"/>
        <v>4989583.333333334</v>
      </c>
      <c r="AE39" s="54">
        <f t="shared" si="24"/>
        <v>4989583.333333334</v>
      </c>
      <c r="AF39" s="55">
        <f>+AF23+AF33+AF37</f>
        <v>31611111.111111119</v>
      </c>
    </row>
    <row r="42" spans="1:33" x14ac:dyDescent="0.3">
      <c r="X42" s="56"/>
    </row>
    <row r="43" spans="1:33" x14ac:dyDescent="0.3">
      <c r="X43" s="56"/>
    </row>
    <row r="44" spans="1:33" x14ac:dyDescent="0.3">
      <c r="X44" s="56"/>
    </row>
    <row r="45" spans="1:33" x14ac:dyDescent="0.3">
      <c r="X45" s="57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showGridLines="0" workbookViewId="0">
      <selection activeCell="F29" sqref="F29"/>
    </sheetView>
  </sheetViews>
  <sheetFormatPr baseColWidth="10" defaultColWidth="8.88671875" defaultRowHeight="14.4" x14ac:dyDescent="0.3"/>
  <cols>
    <col min="1" max="1" width="3" customWidth="1"/>
    <col min="2" max="2" width="30" customWidth="1"/>
    <col min="3" max="3" width="22" customWidth="1"/>
    <col min="4" max="4" width="11" customWidth="1"/>
    <col min="5" max="7" width="14" customWidth="1"/>
    <col min="8" max="8" width="22" customWidth="1"/>
    <col min="9" max="9" width="3" customWidth="1"/>
  </cols>
  <sheetData>
    <row r="1" spans="1:9" ht="25.95" customHeight="1" x14ac:dyDescent="0.3">
      <c r="A1" s="213"/>
      <c r="B1" s="358" t="s">
        <v>411</v>
      </c>
      <c r="C1" s="357"/>
      <c r="D1" s="357"/>
      <c r="E1" s="357"/>
      <c r="F1" s="357"/>
      <c r="G1" s="357"/>
      <c r="H1" s="357"/>
      <c r="I1" s="213"/>
    </row>
    <row r="2" spans="1:9" ht="19.95" customHeight="1" x14ac:dyDescent="0.3">
      <c r="A2" s="213"/>
      <c r="B2" s="258" t="s">
        <v>412</v>
      </c>
      <c r="C2" s="258" t="s">
        <v>199</v>
      </c>
      <c r="D2" s="258" t="s">
        <v>413</v>
      </c>
      <c r="E2" s="258" t="s">
        <v>414</v>
      </c>
      <c r="F2" s="258" t="s">
        <v>415</v>
      </c>
      <c r="G2" s="258" t="s">
        <v>416</v>
      </c>
      <c r="H2" s="258" t="s">
        <v>417</v>
      </c>
      <c r="I2" s="213"/>
    </row>
    <row r="3" spans="1:9" ht="13.05" customHeight="1" x14ac:dyDescent="0.3">
      <c r="A3" s="213"/>
      <c r="B3" s="259" t="s">
        <v>418</v>
      </c>
      <c r="C3" s="260" t="s">
        <v>419</v>
      </c>
      <c r="D3" s="261" t="s">
        <v>420</v>
      </c>
      <c r="E3" s="262">
        <v>273000</v>
      </c>
      <c r="F3" s="263">
        <v>273000</v>
      </c>
      <c r="G3" s="264" t="s">
        <v>421</v>
      </c>
      <c r="H3" s="265" t="s">
        <v>422</v>
      </c>
      <c r="I3" s="213"/>
    </row>
    <row r="4" spans="1:9" ht="13.05" customHeight="1" x14ac:dyDescent="0.3">
      <c r="A4" s="213"/>
      <c r="B4" s="266" t="s">
        <v>423</v>
      </c>
      <c r="C4" s="267" t="s">
        <v>424</v>
      </c>
      <c r="D4" s="268" t="s">
        <v>425</v>
      </c>
      <c r="E4" s="269">
        <v>567718.80000000005</v>
      </c>
      <c r="F4" s="270">
        <v>567718.80000000005</v>
      </c>
      <c r="G4" s="271" t="s">
        <v>162</v>
      </c>
      <c r="H4" s="272" t="s">
        <v>426</v>
      </c>
      <c r="I4" s="213"/>
    </row>
    <row r="5" spans="1:9" ht="13.05" customHeight="1" x14ac:dyDescent="0.3">
      <c r="A5" s="213"/>
      <c r="B5" s="259" t="s">
        <v>427</v>
      </c>
      <c r="C5" s="260" t="s">
        <v>428</v>
      </c>
      <c r="D5" s="261" t="s">
        <v>429</v>
      </c>
      <c r="E5" s="262">
        <v>27010.57</v>
      </c>
      <c r="F5" s="263">
        <v>27010.57</v>
      </c>
      <c r="G5" s="264" t="s">
        <v>162</v>
      </c>
      <c r="H5" s="265" t="s">
        <v>430</v>
      </c>
      <c r="I5" s="213"/>
    </row>
    <row r="6" spans="1:9" ht="13.05" customHeight="1" x14ac:dyDescent="0.3">
      <c r="A6" s="213"/>
      <c r="B6" s="266" t="s">
        <v>423</v>
      </c>
      <c r="C6" s="267" t="s">
        <v>431</v>
      </c>
      <c r="D6" s="268" t="s">
        <v>425</v>
      </c>
      <c r="E6" s="269">
        <v>625800</v>
      </c>
      <c r="F6" s="270">
        <v>625800</v>
      </c>
      <c r="G6" s="271" t="s">
        <v>162</v>
      </c>
      <c r="H6" s="272" t="s">
        <v>432</v>
      </c>
      <c r="I6" s="213"/>
    </row>
    <row r="7" spans="1:9" ht="13.05" customHeight="1" x14ac:dyDescent="0.3">
      <c r="A7" s="213"/>
      <c r="B7" s="259" t="s">
        <v>433</v>
      </c>
      <c r="C7" s="260" t="s">
        <v>434</v>
      </c>
      <c r="D7" s="261" t="s">
        <v>435</v>
      </c>
      <c r="E7" s="262">
        <v>2351900.84</v>
      </c>
      <c r="F7" s="263">
        <v>1532228.98</v>
      </c>
      <c r="G7" s="264" t="s">
        <v>162</v>
      </c>
      <c r="H7" s="265" t="s">
        <v>436</v>
      </c>
      <c r="I7" s="213"/>
    </row>
    <row r="8" spans="1:9" ht="13.05" customHeight="1" x14ac:dyDescent="0.3">
      <c r="A8" s="213"/>
      <c r="B8" s="266" t="s">
        <v>437</v>
      </c>
      <c r="C8" s="267" t="s">
        <v>438</v>
      </c>
      <c r="D8" s="268" t="s">
        <v>439</v>
      </c>
      <c r="E8" s="269">
        <v>64000</v>
      </c>
      <c r="F8" s="270">
        <v>64000</v>
      </c>
      <c r="G8" s="271" t="s">
        <v>162</v>
      </c>
      <c r="H8" s="272" t="s">
        <v>440</v>
      </c>
      <c r="I8" s="213"/>
    </row>
    <row r="9" spans="1:9" ht="13.05" customHeight="1" x14ac:dyDescent="0.3">
      <c r="A9" s="213"/>
      <c r="B9" s="259" t="s">
        <v>441</v>
      </c>
      <c r="C9" s="260" t="s">
        <v>442</v>
      </c>
      <c r="D9" s="261" t="s">
        <v>443</v>
      </c>
      <c r="E9" s="262">
        <v>111300</v>
      </c>
      <c r="F9" s="263">
        <v>111300</v>
      </c>
      <c r="G9" s="264" t="s">
        <v>162</v>
      </c>
      <c r="H9" s="265" t="s">
        <v>444</v>
      </c>
      <c r="I9" s="213"/>
    </row>
    <row r="10" spans="1:9" ht="13.05" customHeight="1" x14ac:dyDescent="0.3">
      <c r="A10" s="213"/>
      <c r="B10" s="266" t="s">
        <v>445</v>
      </c>
      <c r="C10" s="267" t="s">
        <v>446</v>
      </c>
      <c r="D10" s="268" t="s">
        <v>447</v>
      </c>
      <c r="E10" s="269">
        <v>26350</v>
      </c>
      <c r="F10" s="270">
        <v>26350</v>
      </c>
      <c r="G10" s="271" t="s">
        <v>162</v>
      </c>
      <c r="H10" s="272" t="s">
        <v>448</v>
      </c>
      <c r="I10" s="213"/>
    </row>
    <row r="11" spans="1:9" ht="13.05" customHeight="1" x14ac:dyDescent="0.3">
      <c r="A11" s="213"/>
      <c r="B11" s="259" t="s">
        <v>449</v>
      </c>
      <c r="C11" s="260" t="s">
        <v>450</v>
      </c>
      <c r="D11" s="261" t="s">
        <v>425</v>
      </c>
      <c r="E11" s="262">
        <v>160430</v>
      </c>
      <c r="F11" s="263">
        <v>160430</v>
      </c>
      <c r="G11" s="264" t="s">
        <v>162</v>
      </c>
      <c r="H11" s="265" t="s">
        <v>451</v>
      </c>
      <c r="I11" s="213"/>
    </row>
    <row r="12" spans="1:9" ht="13.05" customHeight="1" x14ac:dyDescent="0.3">
      <c r="A12" s="213"/>
      <c r="B12" s="266" t="s">
        <v>452</v>
      </c>
      <c r="C12" s="267" t="s">
        <v>453</v>
      </c>
      <c r="D12" s="268" t="s">
        <v>454</v>
      </c>
      <c r="E12" s="269">
        <v>86453.88</v>
      </c>
      <c r="F12" s="270">
        <v>86453.88</v>
      </c>
      <c r="G12" s="271" t="s">
        <v>162</v>
      </c>
      <c r="H12" s="272" t="s">
        <v>455</v>
      </c>
      <c r="I12" s="213"/>
    </row>
    <row r="13" spans="1:9" ht="13.05" customHeight="1" x14ac:dyDescent="0.3">
      <c r="A13" s="213"/>
      <c r="B13" s="259" t="s">
        <v>456</v>
      </c>
      <c r="C13" s="260" t="s">
        <v>457</v>
      </c>
      <c r="D13" s="261" t="s">
        <v>458</v>
      </c>
      <c r="E13" s="262">
        <v>13216</v>
      </c>
      <c r="F13" s="263">
        <v>13216</v>
      </c>
      <c r="G13" s="264" t="s">
        <v>163</v>
      </c>
      <c r="H13" s="265" t="s">
        <v>459</v>
      </c>
      <c r="I13" s="213"/>
    </row>
    <row r="14" spans="1:9" ht="13.05" customHeight="1" x14ac:dyDescent="0.3">
      <c r="A14" s="213"/>
      <c r="B14" s="266" t="s">
        <v>460</v>
      </c>
      <c r="C14" s="267" t="s">
        <v>461</v>
      </c>
      <c r="D14" s="268" t="s">
        <v>425</v>
      </c>
      <c r="E14" s="269">
        <v>51587.64</v>
      </c>
      <c r="F14" s="270">
        <v>51587.64</v>
      </c>
      <c r="G14" s="271" t="s">
        <v>163</v>
      </c>
      <c r="H14" s="272" t="s">
        <v>462</v>
      </c>
      <c r="I14" s="213"/>
    </row>
    <row r="15" spans="1:9" ht="13.05" customHeight="1" x14ac:dyDescent="0.3">
      <c r="A15" s="213"/>
      <c r="B15" s="259" t="s">
        <v>441</v>
      </c>
      <c r="C15" s="260" t="s">
        <v>463</v>
      </c>
      <c r="D15" s="261" t="s">
        <v>464</v>
      </c>
      <c r="E15" s="262">
        <v>455200</v>
      </c>
      <c r="F15" s="263">
        <v>455200</v>
      </c>
      <c r="G15" s="264" t="s">
        <v>163</v>
      </c>
      <c r="H15" s="265" t="s">
        <v>465</v>
      </c>
      <c r="I15" s="213"/>
    </row>
    <row r="16" spans="1:9" ht="13.05" customHeight="1" x14ac:dyDescent="0.3">
      <c r="A16" s="213"/>
      <c r="B16" s="266" t="s">
        <v>460</v>
      </c>
      <c r="C16" s="267" t="s">
        <v>466</v>
      </c>
      <c r="D16" s="268" t="s">
        <v>467</v>
      </c>
      <c r="E16" s="269">
        <v>51587.64</v>
      </c>
      <c r="F16" s="270">
        <v>51587.64</v>
      </c>
      <c r="G16" s="271" t="s">
        <v>163</v>
      </c>
      <c r="H16" s="272" t="s">
        <v>468</v>
      </c>
      <c r="I16" s="213"/>
    </row>
    <row r="17" spans="1:9" ht="13.05" customHeight="1" x14ac:dyDescent="0.3">
      <c r="A17" s="213"/>
      <c r="B17" s="259" t="s">
        <v>427</v>
      </c>
      <c r="C17" s="260" t="s">
        <v>469</v>
      </c>
      <c r="D17" s="261" t="s">
        <v>429</v>
      </c>
      <c r="E17" s="262">
        <v>2195930.65</v>
      </c>
      <c r="F17" s="263">
        <v>2195930.65</v>
      </c>
      <c r="G17" s="264" t="s">
        <v>163</v>
      </c>
      <c r="H17" s="265" t="s">
        <v>470</v>
      </c>
      <c r="I17" s="213"/>
    </row>
    <row r="18" spans="1:9" ht="13.05" customHeight="1" x14ac:dyDescent="0.3">
      <c r="A18" s="213"/>
      <c r="B18" s="266" t="s">
        <v>456</v>
      </c>
      <c r="C18" s="267" t="s">
        <v>471</v>
      </c>
      <c r="D18" s="268" t="s">
        <v>458</v>
      </c>
      <c r="E18" s="269">
        <v>5268</v>
      </c>
      <c r="F18" s="270">
        <v>5268</v>
      </c>
      <c r="G18" s="271" t="s">
        <v>163</v>
      </c>
      <c r="H18" s="272" t="s">
        <v>472</v>
      </c>
      <c r="I18" s="213"/>
    </row>
    <row r="19" spans="1:9" ht="13.05" customHeight="1" x14ac:dyDescent="0.3">
      <c r="A19" s="213"/>
      <c r="B19" s="259" t="s">
        <v>473</v>
      </c>
      <c r="C19" s="260" t="s">
        <v>474</v>
      </c>
      <c r="D19" s="261" t="s">
        <v>475</v>
      </c>
      <c r="E19" s="262">
        <v>60180</v>
      </c>
      <c r="F19" s="263">
        <v>60180</v>
      </c>
      <c r="G19" s="264" t="s">
        <v>163</v>
      </c>
      <c r="H19" s="265" t="s">
        <v>476</v>
      </c>
      <c r="I19" s="213"/>
    </row>
    <row r="20" spans="1:9" ht="13.05" customHeight="1" x14ac:dyDescent="0.3">
      <c r="A20" s="213"/>
      <c r="B20" s="266" t="s">
        <v>477</v>
      </c>
      <c r="C20" s="267" t="s">
        <v>478</v>
      </c>
      <c r="D20" s="268" t="s">
        <v>425</v>
      </c>
      <c r="E20" s="269">
        <v>689910.09</v>
      </c>
      <c r="F20" s="270">
        <v>689910.09</v>
      </c>
      <c r="G20" s="271" t="s">
        <v>163</v>
      </c>
      <c r="H20" s="272" t="s">
        <v>479</v>
      </c>
      <c r="I20" s="213"/>
    </row>
    <row r="21" spans="1:9" ht="13.05" customHeight="1" x14ac:dyDescent="0.3">
      <c r="A21" s="213"/>
      <c r="B21" s="259" t="s">
        <v>480</v>
      </c>
      <c r="C21" s="260" t="s">
        <v>481</v>
      </c>
      <c r="D21" s="261" t="s">
        <v>425</v>
      </c>
      <c r="E21" s="262">
        <v>57388.78</v>
      </c>
      <c r="F21" s="263">
        <v>57388.78</v>
      </c>
      <c r="G21" s="264" t="s">
        <v>163</v>
      </c>
      <c r="H21" s="265" t="s">
        <v>482</v>
      </c>
      <c r="I21" s="213"/>
    </row>
    <row r="22" spans="1:9" ht="13.05" customHeight="1" x14ac:dyDescent="0.3">
      <c r="A22" s="213"/>
      <c r="B22" s="266" t="s">
        <v>483</v>
      </c>
      <c r="C22" s="267" t="s">
        <v>484</v>
      </c>
      <c r="D22" s="268" t="s">
        <v>443</v>
      </c>
      <c r="E22" s="269">
        <v>14124.6</v>
      </c>
      <c r="F22" s="270">
        <v>14124.6</v>
      </c>
      <c r="G22" s="271" t="s">
        <v>163</v>
      </c>
      <c r="H22" s="272" t="s">
        <v>485</v>
      </c>
      <c r="I22" s="213"/>
    </row>
    <row r="23" spans="1:9" ht="13.05" customHeight="1" x14ac:dyDescent="0.3">
      <c r="A23" s="213"/>
      <c r="B23" s="259" t="s">
        <v>486</v>
      </c>
      <c r="C23" s="260" t="s">
        <v>487</v>
      </c>
      <c r="D23" s="261" t="s">
        <v>488</v>
      </c>
      <c r="E23" s="262">
        <v>449858.6</v>
      </c>
      <c r="F23" s="263">
        <v>449858.6</v>
      </c>
      <c r="G23" s="264" t="s">
        <v>163</v>
      </c>
      <c r="H23" s="265" t="s">
        <v>489</v>
      </c>
      <c r="I23" s="213"/>
    </row>
    <row r="24" spans="1:9" ht="13.05" customHeight="1" x14ac:dyDescent="0.3">
      <c r="A24" s="213"/>
      <c r="B24" s="266" t="s">
        <v>490</v>
      </c>
      <c r="C24" s="267" t="s">
        <v>491</v>
      </c>
      <c r="D24" s="268" t="s">
        <v>492</v>
      </c>
      <c r="E24" s="269">
        <v>47500</v>
      </c>
      <c r="F24" s="270">
        <v>47500</v>
      </c>
      <c r="G24" s="271" t="s">
        <v>493</v>
      </c>
      <c r="H24" s="272" t="s">
        <v>494</v>
      </c>
      <c r="I24" s="213"/>
    </row>
    <row r="25" spans="1:9" ht="13.05" customHeight="1" x14ac:dyDescent="0.3">
      <c r="A25" s="213"/>
      <c r="B25" s="259" t="s">
        <v>495</v>
      </c>
      <c r="C25" s="260" t="s">
        <v>496</v>
      </c>
      <c r="D25" s="261" t="s">
        <v>435</v>
      </c>
      <c r="E25" s="262">
        <v>5700</v>
      </c>
      <c r="F25" s="263">
        <v>700</v>
      </c>
      <c r="G25" s="264" t="s">
        <v>493</v>
      </c>
      <c r="H25" s="265" t="s">
        <v>497</v>
      </c>
      <c r="I25" s="213"/>
    </row>
    <row r="26" spans="1:9" ht="13.05" customHeight="1" x14ac:dyDescent="0.3">
      <c r="A26" s="213"/>
      <c r="B26" s="266" t="s">
        <v>498</v>
      </c>
      <c r="C26" s="267" t="s">
        <v>499</v>
      </c>
      <c r="D26" s="268" t="s">
        <v>500</v>
      </c>
      <c r="E26" s="269">
        <v>8500</v>
      </c>
      <c r="F26" s="270">
        <v>8500</v>
      </c>
      <c r="G26" s="271" t="s">
        <v>493</v>
      </c>
      <c r="H26" s="272" t="s">
        <v>501</v>
      </c>
      <c r="I26" s="213"/>
    </row>
    <row r="27" spans="1:9" ht="13.05" customHeight="1" x14ac:dyDescent="0.3">
      <c r="A27" s="213"/>
      <c r="B27" s="259" t="s">
        <v>502</v>
      </c>
      <c r="C27" s="260" t="s">
        <v>503</v>
      </c>
      <c r="D27" s="261" t="s">
        <v>504</v>
      </c>
      <c r="E27" s="262">
        <v>1628532.75</v>
      </c>
      <c r="F27" s="263">
        <v>1628532.75</v>
      </c>
      <c r="G27" s="264" t="s">
        <v>493</v>
      </c>
      <c r="H27" s="265" t="s">
        <v>505</v>
      </c>
      <c r="I27" s="213"/>
    </row>
    <row r="28" spans="1:9" ht="13.05" customHeight="1" x14ac:dyDescent="0.3">
      <c r="A28" s="213"/>
      <c r="B28" s="266" t="s">
        <v>506</v>
      </c>
      <c r="C28" s="267" t="s">
        <v>507</v>
      </c>
      <c r="D28" s="268" t="s">
        <v>508</v>
      </c>
      <c r="E28" s="269">
        <v>6671.88</v>
      </c>
      <c r="F28" s="270">
        <v>6671.88</v>
      </c>
      <c r="G28" s="271" t="s">
        <v>493</v>
      </c>
      <c r="H28" s="272" t="s">
        <v>509</v>
      </c>
      <c r="I28" s="213"/>
    </row>
    <row r="29" spans="1:9" ht="16.05" customHeight="1" x14ac:dyDescent="0.3">
      <c r="A29" s="213"/>
      <c r="B29" s="359" t="s">
        <v>510</v>
      </c>
      <c r="C29" s="360"/>
      <c r="D29" s="361"/>
      <c r="E29" s="273">
        <f>SUM(E3:E28)</f>
        <v>10035120.720000001</v>
      </c>
      <c r="F29" s="274">
        <f>SUM(F3:F28)</f>
        <v>9210448.8600000013</v>
      </c>
      <c r="G29" s="219"/>
      <c r="H29" s="219"/>
      <c r="I29" s="213"/>
    </row>
    <row r="30" spans="1:9" x14ac:dyDescent="0.3">
      <c r="A30" s="213"/>
      <c r="I30" s="213"/>
    </row>
  </sheetData>
  <mergeCells count="2">
    <mergeCell ref="B1:H1"/>
    <mergeCell ref="B29:D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271E-6B65-4641-BCA8-045082B18554}">
  <dimension ref="A1:F63"/>
  <sheetViews>
    <sheetView showGridLines="0" topLeftCell="A9" zoomScaleNormal="100" workbookViewId="0">
      <selection activeCell="B18" sqref="B18:C20"/>
    </sheetView>
  </sheetViews>
  <sheetFormatPr baseColWidth="10" defaultColWidth="8" defaultRowHeight="11.4" x14ac:dyDescent="0.2"/>
  <cols>
    <col min="1" max="1" width="1.21875" style="284" customWidth="1"/>
    <col min="2" max="2" width="42.6640625" style="284" customWidth="1"/>
    <col min="3" max="3" width="13.33203125" style="284" customWidth="1"/>
    <col min="4" max="4" width="4.88671875" style="284" customWidth="1"/>
    <col min="5" max="5" width="13.5546875" style="284" bestFit="1" customWidth="1"/>
    <col min="6" max="6" width="10.6640625" style="284" bestFit="1" customWidth="1"/>
    <col min="7" max="16384" width="8" style="284"/>
  </cols>
  <sheetData>
    <row r="1" spans="1:4" s="281" customFormat="1" ht="16.649999999999999" customHeight="1" x14ac:dyDescent="0.3">
      <c r="A1" s="280" t="s">
        <v>516</v>
      </c>
      <c r="B1" s="280"/>
      <c r="C1" s="280"/>
      <c r="D1" s="280"/>
    </row>
    <row r="2" spans="1:4" s="283" customFormat="1" ht="14.4" customHeight="1" x14ac:dyDescent="0.25">
      <c r="A2" s="282" t="s">
        <v>517</v>
      </c>
      <c r="B2" s="282"/>
      <c r="C2" s="282"/>
      <c r="D2" s="282"/>
    </row>
    <row r="3" spans="1:4" s="283" customFormat="1" ht="14.4" customHeight="1" x14ac:dyDescent="0.25">
      <c r="A3" s="282" t="s">
        <v>518</v>
      </c>
      <c r="B3" s="282"/>
      <c r="C3" s="282"/>
      <c r="D3" s="282"/>
    </row>
    <row r="4" spans="1:4" ht="13.35" customHeight="1" x14ac:dyDescent="0.2"/>
    <row r="5" spans="1:4" s="288" customFormat="1" ht="12.15" customHeight="1" x14ac:dyDescent="0.25">
      <c r="A5" s="285"/>
      <c r="B5" s="286" t="s">
        <v>519</v>
      </c>
      <c r="C5" s="287" t="s">
        <v>520</v>
      </c>
      <c r="D5" s="287"/>
    </row>
    <row r="6" spans="1:4" ht="13.35" customHeight="1" x14ac:dyDescent="0.2"/>
    <row r="7" spans="1:4" s="288" customFormat="1" ht="12.15" customHeight="1" x14ac:dyDescent="0.25">
      <c r="A7" s="285" t="s">
        <v>521</v>
      </c>
      <c r="B7" s="285"/>
      <c r="C7" s="285"/>
      <c r="D7" s="285"/>
    </row>
    <row r="8" spans="1:4" ht="10.95" customHeight="1" x14ac:dyDescent="0.2">
      <c r="A8" s="289"/>
      <c r="B8" s="289" t="s">
        <v>522</v>
      </c>
      <c r="C8" s="289"/>
      <c r="D8" s="289"/>
    </row>
    <row r="9" spans="1:4" ht="10.95" customHeight="1" x14ac:dyDescent="0.2">
      <c r="B9" s="290" t="s">
        <v>523</v>
      </c>
      <c r="C9" s="291">
        <v>20485843.719999999</v>
      </c>
      <c r="D9" s="290"/>
    </row>
    <row r="10" spans="1:4" ht="10.95" customHeight="1" x14ac:dyDescent="0.2">
      <c r="B10" s="290" t="s">
        <v>524</v>
      </c>
      <c r="C10" s="291">
        <v>16604331.060000001</v>
      </c>
      <c r="D10" s="290"/>
    </row>
    <row r="11" spans="1:4" ht="10.95" customHeight="1" x14ac:dyDescent="0.2">
      <c r="B11" s="290" t="s">
        <v>525</v>
      </c>
      <c r="C11" s="291">
        <v>2615906</v>
      </c>
      <c r="D11" s="290" t="s">
        <v>526</v>
      </c>
    </row>
    <row r="12" spans="1:4" ht="10.95" customHeight="1" x14ac:dyDescent="0.2">
      <c r="B12" s="290" t="s">
        <v>527</v>
      </c>
      <c r="C12" s="291">
        <v>5003923.04</v>
      </c>
      <c r="D12" s="290" t="s">
        <v>526</v>
      </c>
    </row>
    <row r="13" spans="1:4" ht="10.95" customHeight="1" x14ac:dyDescent="0.2">
      <c r="B13" s="290" t="s">
        <v>528</v>
      </c>
      <c r="C13" s="291">
        <v>254058.85</v>
      </c>
      <c r="D13" s="290" t="s">
        <v>526</v>
      </c>
    </row>
    <row r="14" spans="1:4" ht="10.95" customHeight="1" x14ac:dyDescent="0.2">
      <c r="B14" s="290" t="s">
        <v>529</v>
      </c>
      <c r="C14" s="291">
        <v>23157.58</v>
      </c>
      <c r="D14" s="290"/>
    </row>
    <row r="15" spans="1:4" ht="10.95" customHeight="1" x14ac:dyDescent="0.2">
      <c r="B15" s="290" t="s">
        <v>530</v>
      </c>
      <c r="C15" s="291">
        <v>3207819.87</v>
      </c>
      <c r="D15" s="290" t="s">
        <v>526</v>
      </c>
    </row>
    <row r="16" spans="1:4" ht="10.95" customHeight="1" x14ac:dyDescent="0.2">
      <c r="B16" s="290" t="s">
        <v>531</v>
      </c>
      <c r="C16" s="291">
        <v>39249.18</v>
      </c>
      <c r="D16" s="290"/>
    </row>
    <row r="17" spans="1:6" ht="10.95" customHeight="1" x14ac:dyDescent="0.3">
      <c r="B17" s="292" t="s">
        <v>532</v>
      </c>
      <c r="C17" s="293">
        <f>SUM(C9:C16)</f>
        <v>48234289.299999997</v>
      </c>
      <c r="D17" s="292"/>
      <c r="E17" s="279"/>
      <c r="F17" s="349"/>
    </row>
    <row r="18" spans="1:6" ht="10.95" customHeight="1" x14ac:dyDescent="0.3">
      <c r="A18" s="289"/>
      <c r="B18" s="289" t="s">
        <v>533</v>
      </c>
      <c r="C18" s="289"/>
      <c r="D18" s="289"/>
      <c r="F18" s="279"/>
    </row>
    <row r="19" spans="1:6" ht="10.95" customHeight="1" x14ac:dyDescent="0.2">
      <c r="B19" s="290" t="s">
        <v>534</v>
      </c>
      <c r="C19" s="291">
        <v>9210448.9399999995</v>
      </c>
      <c r="D19" s="290"/>
    </row>
    <row r="20" spans="1:6" ht="10.95" customHeight="1" x14ac:dyDescent="0.2">
      <c r="B20" s="292" t="s">
        <v>535</v>
      </c>
      <c r="C20" s="293">
        <f>C19</f>
        <v>9210448.9399999995</v>
      </c>
      <c r="D20" s="292"/>
    </row>
    <row r="21" spans="1:6" ht="10.95" customHeight="1" x14ac:dyDescent="0.2">
      <c r="A21" s="289"/>
      <c r="B21" s="289" t="s">
        <v>536</v>
      </c>
      <c r="C21" s="289"/>
      <c r="D21" s="289"/>
    </row>
    <row r="22" spans="1:6" ht="10.95" customHeight="1" x14ac:dyDescent="0.2">
      <c r="B22" s="290" t="s">
        <v>537</v>
      </c>
      <c r="C22" s="291">
        <v>551</v>
      </c>
      <c r="D22" s="290"/>
    </row>
    <row r="23" spans="1:6" ht="10.95" customHeight="1" x14ac:dyDescent="0.2">
      <c r="B23" s="290" t="s">
        <v>538</v>
      </c>
      <c r="C23" s="291">
        <v>483466061.30000001</v>
      </c>
      <c r="D23" s="290"/>
    </row>
    <row r="24" spans="1:6" ht="10.95" customHeight="1" x14ac:dyDescent="0.2">
      <c r="B24" s="290" t="s">
        <v>539</v>
      </c>
      <c r="C24" s="291">
        <v>178249023.90000001</v>
      </c>
      <c r="D24" s="290"/>
    </row>
    <row r="25" spans="1:6" ht="10.95" customHeight="1" x14ac:dyDescent="0.2">
      <c r="B25" s="290" t="s">
        <v>540</v>
      </c>
      <c r="C25" s="291">
        <v>40554300.479999997</v>
      </c>
      <c r="D25" s="290"/>
    </row>
    <row r="26" spans="1:6" ht="10.95" customHeight="1" x14ac:dyDescent="0.2">
      <c r="B26" s="292" t="s">
        <v>541</v>
      </c>
      <c r="C26" s="293">
        <f>SUM(C22:C25)</f>
        <v>702269936.68000007</v>
      </c>
      <c r="D26" s="292"/>
    </row>
    <row r="27" spans="1:6" ht="10.95" customHeight="1" x14ac:dyDescent="0.2">
      <c r="A27" s="292" t="s">
        <v>542</v>
      </c>
      <c r="C27" s="293">
        <f>(0 + ((C17 + C20) + C26))</f>
        <v>759714674.92000008</v>
      </c>
      <c r="D27" s="292"/>
    </row>
    <row r="28" spans="1:6" ht="13.35" customHeight="1" x14ac:dyDescent="0.2"/>
    <row r="29" spans="1:6" s="288" customFormat="1" ht="12.15" customHeight="1" x14ac:dyDescent="0.25">
      <c r="A29" s="285" t="s">
        <v>543</v>
      </c>
      <c r="B29" s="285"/>
      <c r="C29" s="285"/>
      <c r="D29" s="285"/>
    </row>
    <row r="30" spans="1:6" ht="10.95" customHeight="1" x14ac:dyDescent="0.2">
      <c r="A30" s="289"/>
      <c r="B30" s="289" t="s">
        <v>544</v>
      </c>
      <c r="C30" s="289"/>
      <c r="D30" s="289"/>
    </row>
    <row r="31" spans="1:6" ht="10.95" customHeight="1" x14ac:dyDescent="0.2">
      <c r="B31" s="290" t="s">
        <v>545</v>
      </c>
      <c r="C31" s="291">
        <v>200000000</v>
      </c>
      <c r="D31" s="290"/>
    </row>
    <row r="32" spans="1:6" ht="10.95" customHeight="1" x14ac:dyDescent="0.2">
      <c r="B32" s="290" t="s">
        <v>546</v>
      </c>
      <c r="C32" s="291">
        <v>148022.39999999999</v>
      </c>
      <c r="D32" s="290" t="s">
        <v>526</v>
      </c>
    </row>
    <row r="33" spans="1:6" ht="10.95" customHeight="1" x14ac:dyDescent="0.2">
      <c r="B33" s="290" t="s">
        <v>547</v>
      </c>
      <c r="C33" s="291">
        <v>18612245.899999999</v>
      </c>
      <c r="D33" s="290" t="s">
        <v>526</v>
      </c>
    </row>
    <row r="34" spans="1:6" ht="10.95" customHeight="1" x14ac:dyDescent="0.2">
      <c r="B34" s="290" t="s">
        <v>548</v>
      </c>
      <c r="C34" s="291">
        <v>220997695.74000001</v>
      </c>
      <c r="D34" s="290"/>
    </row>
    <row r="35" spans="1:6" ht="10.95" customHeight="1" x14ac:dyDescent="0.2">
      <c r="B35" s="290" t="s">
        <v>549</v>
      </c>
      <c r="C35" s="291">
        <v>2021249.29</v>
      </c>
      <c r="D35" s="290"/>
      <c r="E35" s="294"/>
    </row>
    <row r="36" spans="1:6" ht="10.95" customHeight="1" x14ac:dyDescent="0.2">
      <c r="B36" s="290" t="s">
        <v>550</v>
      </c>
      <c r="C36" s="291">
        <v>56826</v>
      </c>
      <c r="D36" s="290"/>
    </row>
    <row r="37" spans="1:6" ht="10.95" customHeight="1" x14ac:dyDescent="0.2">
      <c r="B37" s="290" t="s">
        <v>551</v>
      </c>
      <c r="C37" s="291">
        <v>48349.66</v>
      </c>
      <c r="D37" s="290"/>
    </row>
    <row r="38" spans="1:6" ht="10.95" customHeight="1" x14ac:dyDescent="0.2">
      <c r="B38" s="290" t="s">
        <v>552</v>
      </c>
      <c r="C38" s="291">
        <v>93522.55</v>
      </c>
      <c r="D38" s="290"/>
    </row>
    <row r="39" spans="1:6" ht="10.95" customHeight="1" x14ac:dyDescent="0.2">
      <c r="B39" s="290" t="s">
        <v>553</v>
      </c>
      <c r="C39" s="291">
        <v>412309.11</v>
      </c>
      <c r="D39" s="290"/>
      <c r="F39" s="294"/>
    </row>
    <row r="40" spans="1:6" ht="10.95" customHeight="1" x14ac:dyDescent="0.2">
      <c r="B40" s="290" t="s">
        <v>554</v>
      </c>
      <c r="C40" s="291">
        <v>1107484.95</v>
      </c>
      <c r="D40" s="290"/>
      <c r="F40" s="294"/>
    </row>
    <row r="41" spans="1:6" ht="10.95" customHeight="1" x14ac:dyDescent="0.2">
      <c r="B41" s="290" t="s">
        <v>555</v>
      </c>
      <c r="C41" s="291">
        <v>706625.52</v>
      </c>
      <c r="D41" s="290"/>
    </row>
    <row r="42" spans="1:6" ht="10.95" customHeight="1" x14ac:dyDescent="0.2">
      <c r="B42" s="290" t="s">
        <v>556</v>
      </c>
      <c r="C42" s="291">
        <v>1411944.52</v>
      </c>
      <c r="D42" s="290"/>
    </row>
    <row r="43" spans="1:6" ht="10.95" customHeight="1" x14ac:dyDescent="0.2">
      <c r="B43" s="290" t="s">
        <v>557</v>
      </c>
      <c r="C43" s="291">
        <v>23983.14</v>
      </c>
      <c r="D43" s="290"/>
    </row>
    <row r="44" spans="1:6" ht="10.95" customHeight="1" x14ac:dyDescent="0.2">
      <c r="B44" s="290" t="s">
        <v>558</v>
      </c>
      <c r="C44" s="291">
        <v>138233.07999999999</v>
      </c>
      <c r="D44" s="290"/>
    </row>
    <row r="45" spans="1:6" ht="10.95" customHeight="1" x14ac:dyDescent="0.2">
      <c r="B45" s="290" t="s">
        <v>559</v>
      </c>
      <c r="C45" s="291">
        <v>3.41</v>
      </c>
      <c r="D45" s="290"/>
    </row>
    <row r="46" spans="1:6" ht="10.95" customHeight="1" x14ac:dyDescent="0.2">
      <c r="B46" s="292" t="s">
        <v>560</v>
      </c>
      <c r="C46" s="293">
        <f>SUM(C31:C45)</f>
        <v>445778495.27000004</v>
      </c>
      <c r="D46" s="292"/>
    </row>
    <row r="47" spans="1:6" ht="10.95" customHeight="1" x14ac:dyDescent="0.2">
      <c r="A47" s="289"/>
      <c r="B47" s="289" t="s">
        <v>561</v>
      </c>
      <c r="C47" s="289"/>
      <c r="D47" s="289"/>
    </row>
    <row r="48" spans="1:6" ht="10.95" customHeight="1" x14ac:dyDescent="0.2">
      <c r="B48" s="290" t="s">
        <v>562</v>
      </c>
      <c r="C48" s="291">
        <v>431409.34</v>
      </c>
      <c r="D48" s="290"/>
    </row>
    <row r="49" spans="1:4" ht="10.95" customHeight="1" x14ac:dyDescent="0.2">
      <c r="B49" s="292" t="s">
        <v>563</v>
      </c>
      <c r="C49" s="293">
        <f>C48</f>
        <v>431409.34</v>
      </c>
      <c r="D49" s="292"/>
    </row>
    <row r="50" spans="1:4" ht="10.95" customHeight="1" x14ac:dyDescent="0.2">
      <c r="A50" s="292" t="s">
        <v>564</v>
      </c>
      <c r="C50" s="293">
        <f>(0 + (C46 + C49))</f>
        <v>446209904.61000001</v>
      </c>
      <c r="D50" s="292"/>
    </row>
    <row r="51" spans="1:4" ht="13.35" customHeight="1" x14ac:dyDescent="0.2"/>
    <row r="52" spans="1:4" ht="10.95" customHeight="1" x14ac:dyDescent="0.2">
      <c r="B52" s="295" t="s">
        <v>565</v>
      </c>
      <c r="C52" s="296">
        <f>(C27 - C50)</f>
        <v>313504770.31000006</v>
      </c>
      <c r="D52" s="295"/>
    </row>
    <row r="53" spans="1:4" ht="13.35" customHeight="1" x14ac:dyDescent="0.2"/>
    <row r="54" spans="1:4" s="288" customFormat="1" ht="12.15" customHeight="1" x14ac:dyDescent="0.25">
      <c r="A54" s="285" t="s">
        <v>566</v>
      </c>
      <c r="B54" s="285"/>
      <c r="C54" s="285"/>
      <c r="D54" s="285"/>
    </row>
    <row r="55" spans="1:4" ht="10.95" customHeight="1" x14ac:dyDescent="0.2">
      <c r="B55" s="297" t="s">
        <v>567</v>
      </c>
      <c r="C55" s="298">
        <v>322917733.81</v>
      </c>
      <c r="D55" s="297"/>
    </row>
    <row r="56" spans="1:4" ht="10.95" customHeight="1" x14ac:dyDescent="0.2">
      <c r="B56" s="290" t="s">
        <v>568</v>
      </c>
      <c r="C56" s="291">
        <v>-5939941.9000000004</v>
      </c>
      <c r="D56" s="290"/>
    </row>
    <row r="57" spans="1:4" ht="10.95" customHeight="1" x14ac:dyDescent="0.2">
      <c r="B57" s="290" t="s">
        <v>569</v>
      </c>
      <c r="C57" s="291">
        <v>-3473021.6</v>
      </c>
      <c r="D57" s="290"/>
    </row>
    <row r="58" spans="1:4" ht="10.95" customHeight="1" x14ac:dyDescent="0.2">
      <c r="A58" s="292" t="s">
        <v>570</v>
      </c>
      <c r="C58" s="293">
        <f>SUM(C55:C57)</f>
        <v>313504770.31</v>
      </c>
      <c r="D58" s="292"/>
    </row>
    <row r="59" spans="1:4" ht="13.35" customHeight="1" x14ac:dyDescent="0.2"/>
    <row r="60" spans="1:4" ht="13.35" customHeight="1" x14ac:dyDescent="0.2"/>
    <row r="61" spans="1:4" ht="10.95" customHeight="1" x14ac:dyDescent="0.2">
      <c r="A61" s="299" t="s">
        <v>571</v>
      </c>
    </row>
    <row r="62" spans="1:4" ht="10.95" customHeight="1" x14ac:dyDescent="0.2">
      <c r="A62" s="300" t="s">
        <v>520</v>
      </c>
    </row>
    <row r="63" spans="1:4" ht="10.95" customHeight="1" x14ac:dyDescent="0.2">
      <c r="A63" s="299" t="s">
        <v>572</v>
      </c>
    </row>
  </sheetData>
  <pageMargins left="0.7" right="0.7" top="0.75" bottom="0.75" header="0.3" footer="0.3"/>
  <pageSetup paperSize="9" fitToWidth="0" fitToHeight="0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E0A0-019B-4875-A31D-3770959B3633}">
  <sheetPr>
    <outlinePr summaryBelow="0" summaryRight="0"/>
  </sheetPr>
  <dimension ref="A1:CE87"/>
  <sheetViews>
    <sheetView showGridLines="0" zoomScaleNormal="100" workbookViewId="0">
      <pane xSplit="8" ySplit="6" topLeftCell="I88" activePane="bottomRight" state="frozen"/>
      <selection pane="topRight" activeCell="I1" sqref="I1"/>
      <selection pane="bottomLeft" activeCell="A7" sqref="A7"/>
      <selection pane="bottomRight" activeCell="B92" sqref="B92"/>
    </sheetView>
  </sheetViews>
  <sheetFormatPr baseColWidth="10" defaultColWidth="8.6640625" defaultRowHeight="14.4" outlineLevelRow="1" outlineLevelCol="2" x14ac:dyDescent="0.3"/>
  <cols>
    <col min="1" max="1" width="3" style="1" customWidth="1"/>
    <col min="2" max="2" width="44.33203125" style="1" customWidth="1"/>
    <col min="3" max="3" width="15.21875" style="1" hidden="1" customWidth="1"/>
    <col min="4" max="4" width="13" style="1" hidden="1" customWidth="1"/>
    <col min="5" max="5" width="12.88671875" style="1" hidden="1" customWidth="1"/>
    <col min="6" max="6" width="10.21875" style="1" hidden="1" customWidth="1"/>
    <col min="7" max="7" width="9.77734375" style="1" hidden="1" customWidth="1"/>
    <col min="8" max="8" width="18.33203125" style="1" customWidth="1"/>
    <col min="9" max="9" width="9" style="174" customWidth="1"/>
    <col min="10" max="26" width="13" style="1" hidden="1" customWidth="1" outlineLevel="1"/>
    <col min="27" max="27" width="11.109375" style="1" hidden="1" customWidth="1" outlineLevel="2"/>
    <col min="28" max="28" width="11.44140625" style="1" hidden="1" customWidth="1" outlineLevel="2"/>
    <col min="29" max="29" width="12.109375" style="1" bestFit="1" customWidth="1" outlineLevel="2"/>
    <col min="30" max="30" width="11.44140625" style="1" bestFit="1" customWidth="1" outlineLevel="2"/>
    <col min="31" max="31" width="12.33203125" style="1" bestFit="1" customWidth="1" outlineLevel="2"/>
    <col min="32" max="32" width="13.109375" style="1" bestFit="1" customWidth="1" outlineLevel="2"/>
    <col min="33" max="33" width="12.33203125" style="1" bestFit="1" customWidth="1" outlineLevel="2"/>
    <col min="34" max="70" width="13" style="1" customWidth="1" outlineLevel="2"/>
    <col min="71" max="71" width="14.6640625" style="1" customWidth="1" outlineLevel="2"/>
    <col min="72" max="72" width="14.6640625" style="1" bestFit="1" customWidth="1" outlineLevel="2"/>
    <col min="73" max="73" width="14.6640625" style="1" bestFit="1" customWidth="1"/>
    <col min="74" max="74" width="16.44140625" style="1" customWidth="1"/>
    <col min="75" max="75" width="23.5546875" style="1" bestFit="1" customWidth="1"/>
    <col min="76" max="76" width="12.44140625" style="1" customWidth="1"/>
    <col min="77" max="77" width="12.33203125" style="1" customWidth="1"/>
    <col min="78" max="78" width="10.77734375" style="1" customWidth="1"/>
    <col min="79" max="79" width="14.6640625" style="1" customWidth="1" outlineLevel="2"/>
    <col min="80" max="80" width="14.5546875" style="1" bestFit="1" customWidth="1"/>
    <col min="81" max="81" width="13.5546875" style="1" bestFit="1" customWidth="1"/>
    <col min="82" max="82" width="9.88671875" style="1" bestFit="1" customWidth="1"/>
    <col min="83" max="83" width="18.21875" style="1" bestFit="1" customWidth="1"/>
    <col min="84" max="16384" width="8.6640625" style="1"/>
  </cols>
  <sheetData>
    <row r="1" spans="1:79" ht="6" customHeight="1" x14ac:dyDescent="0.3">
      <c r="A1" s="93"/>
      <c r="B1" s="93"/>
      <c r="C1" s="93"/>
      <c r="D1" s="94"/>
      <c r="E1" s="94"/>
      <c r="F1" s="94"/>
      <c r="G1" s="94"/>
      <c r="H1" s="94"/>
      <c r="I1" s="95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6"/>
      <c r="AD1" s="96"/>
      <c r="AE1" s="96"/>
      <c r="AF1" s="96"/>
      <c r="AG1" s="96"/>
      <c r="AH1" s="96"/>
      <c r="AI1" s="354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CA1" s="96"/>
    </row>
    <row r="2" spans="1:79" ht="21.6" customHeight="1" x14ac:dyDescent="0.3">
      <c r="A2" s="93"/>
      <c r="B2" s="58" t="s">
        <v>573</v>
      </c>
      <c r="C2" s="97"/>
      <c r="D2" s="97"/>
      <c r="E2" s="97"/>
      <c r="F2" s="97"/>
      <c r="G2" s="97"/>
      <c r="H2" s="97"/>
      <c r="I2" s="95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</row>
    <row r="3" spans="1:79" ht="18" hidden="1" customHeight="1" x14ac:dyDescent="0.3">
      <c r="A3" s="93"/>
      <c r="B3" s="59" t="s">
        <v>574</v>
      </c>
      <c r="C3" s="97"/>
      <c r="D3" s="97"/>
      <c r="E3" s="97"/>
      <c r="F3" s="97"/>
      <c r="G3" s="97"/>
      <c r="H3" s="97"/>
      <c r="I3" s="95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97"/>
      <c r="BN3" s="97"/>
      <c r="BO3" s="97"/>
      <c r="BP3" s="97"/>
      <c r="BQ3" s="97"/>
      <c r="BR3" s="97"/>
      <c r="BS3" s="97"/>
      <c r="BT3" s="97"/>
      <c r="BU3" s="97"/>
      <c r="BV3" s="97"/>
      <c r="BW3" s="97"/>
      <c r="BX3" s="97"/>
      <c r="BY3" s="97"/>
      <c r="BZ3" s="97"/>
      <c r="CA3" s="97"/>
    </row>
    <row r="4" spans="1:79" ht="6.6" hidden="1" customHeight="1" x14ac:dyDescent="0.3">
      <c r="A4" s="98"/>
      <c r="B4" s="98"/>
      <c r="C4" s="98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277"/>
      <c r="AD4" s="100"/>
      <c r="AE4" s="100"/>
      <c r="AF4" s="100"/>
      <c r="AG4" s="100"/>
      <c r="AH4" s="100"/>
      <c r="AI4" s="355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CA4" s="100"/>
    </row>
    <row r="5" spans="1:79" ht="16.05" hidden="1" customHeight="1" collapsed="1" x14ac:dyDescent="0.3">
      <c r="B5" s="60" t="s">
        <v>0</v>
      </c>
      <c r="C5" s="101"/>
      <c r="D5" s="101"/>
      <c r="E5" s="101"/>
      <c r="F5" s="101"/>
      <c r="G5" s="101"/>
      <c r="H5" s="101" t="s">
        <v>1</v>
      </c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3"/>
      <c r="BW5" s="104"/>
      <c r="BX5" s="104"/>
      <c r="BY5" s="104"/>
      <c r="BZ5" s="104"/>
      <c r="CA5" s="102"/>
    </row>
    <row r="6" spans="1:79" ht="10.8" customHeight="1" x14ac:dyDescent="0.3">
      <c r="B6" s="352" t="s">
        <v>0</v>
      </c>
      <c r="C6" s="61" t="s">
        <v>2</v>
      </c>
      <c r="D6" s="61" t="s">
        <v>3</v>
      </c>
      <c r="E6" s="61" t="s">
        <v>4</v>
      </c>
      <c r="F6" s="61"/>
      <c r="G6" s="61"/>
      <c r="H6" s="61" t="s">
        <v>5</v>
      </c>
      <c r="I6" s="90" t="s">
        <v>6</v>
      </c>
      <c r="J6" s="61" t="s">
        <v>7</v>
      </c>
      <c r="K6" s="61" t="s">
        <v>8</v>
      </c>
      <c r="L6" s="61" t="s">
        <v>9</v>
      </c>
      <c r="M6" s="61" t="s">
        <v>10</v>
      </c>
      <c r="N6" s="61" t="s">
        <v>11</v>
      </c>
      <c r="O6" s="61" t="s">
        <v>12</v>
      </c>
      <c r="P6" s="61" t="s">
        <v>13</v>
      </c>
      <c r="Q6" s="61" t="s">
        <v>14</v>
      </c>
      <c r="R6" s="61" t="s">
        <v>15</v>
      </c>
      <c r="S6" s="61" t="s">
        <v>16</v>
      </c>
      <c r="T6" s="61" t="s">
        <v>17</v>
      </c>
      <c r="U6" s="61" t="s">
        <v>18</v>
      </c>
      <c r="V6" s="61" t="s">
        <v>19</v>
      </c>
      <c r="W6" s="61" t="s">
        <v>20</v>
      </c>
      <c r="X6" s="61" t="s">
        <v>21</v>
      </c>
      <c r="Y6" s="61" t="s">
        <v>22</v>
      </c>
      <c r="Z6" s="62" t="s">
        <v>23</v>
      </c>
      <c r="AA6" s="62" t="s">
        <v>24</v>
      </c>
      <c r="AB6" s="62" t="s">
        <v>25</v>
      </c>
      <c r="AC6" s="82" t="s">
        <v>26</v>
      </c>
      <c r="AD6" s="82" t="s">
        <v>27</v>
      </c>
      <c r="AE6" s="82" t="s">
        <v>28</v>
      </c>
      <c r="AF6" s="82" t="s">
        <v>29</v>
      </c>
      <c r="AG6" s="82" t="s">
        <v>30</v>
      </c>
      <c r="AH6" s="83" t="s">
        <v>31</v>
      </c>
      <c r="AI6" s="83" t="s">
        <v>71</v>
      </c>
      <c r="AJ6" s="83" t="s">
        <v>32</v>
      </c>
      <c r="AK6" s="83" t="s">
        <v>33</v>
      </c>
      <c r="AL6" s="83" t="s">
        <v>34</v>
      </c>
      <c r="AM6" s="83" t="s">
        <v>35</v>
      </c>
      <c r="AN6" s="83" t="s">
        <v>36</v>
      </c>
      <c r="AO6" s="83" t="s">
        <v>37</v>
      </c>
      <c r="AP6" s="83" t="s">
        <v>38</v>
      </c>
      <c r="AQ6" s="83" t="s">
        <v>39</v>
      </c>
      <c r="AR6" s="83" t="s">
        <v>40</v>
      </c>
      <c r="AS6" s="83" t="s">
        <v>41</v>
      </c>
      <c r="AT6" s="83" t="s">
        <v>42</v>
      </c>
      <c r="AU6" s="83" t="s">
        <v>43</v>
      </c>
      <c r="AV6" s="83" t="s">
        <v>44</v>
      </c>
      <c r="AW6" s="83" t="s">
        <v>45</v>
      </c>
      <c r="AX6" s="83" t="s">
        <v>46</v>
      </c>
      <c r="AY6" s="83" t="s">
        <v>47</v>
      </c>
      <c r="AZ6" s="83" t="s">
        <v>48</v>
      </c>
      <c r="BA6" s="83" t="s">
        <v>49</v>
      </c>
      <c r="BB6" s="83" t="s">
        <v>50</v>
      </c>
      <c r="BC6" s="83" t="s">
        <v>51</v>
      </c>
      <c r="BD6" s="83" t="s">
        <v>52</v>
      </c>
      <c r="BE6" s="83" t="s">
        <v>53</v>
      </c>
      <c r="BF6" s="83" t="s">
        <v>54</v>
      </c>
      <c r="BG6" s="83" t="s">
        <v>55</v>
      </c>
      <c r="BH6" s="83" t="s">
        <v>56</v>
      </c>
      <c r="BI6" s="83" t="s">
        <v>57</v>
      </c>
      <c r="BJ6" s="83" t="s">
        <v>58</v>
      </c>
      <c r="BK6" s="83" t="s">
        <v>59</v>
      </c>
      <c r="BL6" s="83" t="s">
        <v>60</v>
      </c>
      <c r="BM6" s="83" t="s">
        <v>61</v>
      </c>
      <c r="BN6" s="83" t="s">
        <v>62</v>
      </c>
      <c r="BO6" s="83" t="s">
        <v>63</v>
      </c>
      <c r="BP6" s="83" t="s">
        <v>64</v>
      </c>
      <c r="BQ6" s="83" t="s">
        <v>65</v>
      </c>
      <c r="BR6" s="83" t="s">
        <v>66</v>
      </c>
      <c r="BS6" s="83" t="s">
        <v>67</v>
      </c>
      <c r="BT6" s="83" t="s">
        <v>68</v>
      </c>
      <c r="BU6" s="83" t="s">
        <v>69</v>
      </c>
      <c r="BV6" s="84" t="s">
        <v>70</v>
      </c>
      <c r="BW6" s="104"/>
      <c r="BX6" s="104"/>
      <c r="BY6" s="104"/>
      <c r="BZ6" s="104"/>
      <c r="CA6" s="82" t="s">
        <v>71</v>
      </c>
    </row>
    <row r="7" spans="1:79" s="179" customFormat="1" ht="16.05" customHeight="1" collapsed="1" x14ac:dyDescent="0.3">
      <c r="B7" s="180" t="s">
        <v>72</v>
      </c>
      <c r="C7" s="181">
        <f>+C13</f>
        <v>68213916</v>
      </c>
      <c r="D7" s="181">
        <f>+D13</f>
        <v>22621811</v>
      </c>
      <c r="E7" s="182">
        <f>+C7-D7</f>
        <v>45592105</v>
      </c>
      <c r="F7" s="183"/>
      <c r="G7" s="183"/>
      <c r="H7" s="184">
        <f>SUM(J7:AB7)</f>
        <v>220997695.74000001</v>
      </c>
      <c r="I7" s="106">
        <f>IF(D24=0,0,D7/D24)</f>
        <v>0</v>
      </c>
      <c r="J7" s="184">
        <f t="shared" ref="J7:AA7" si="0">SUM(J14)</f>
        <v>597566.75</v>
      </c>
      <c r="K7" s="184">
        <f t="shared" si="0"/>
        <v>303761.91999999998</v>
      </c>
      <c r="L7" s="184">
        <f t="shared" si="0"/>
        <v>0</v>
      </c>
      <c r="M7" s="184">
        <f t="shared" si="0"/>
        <v>61261.19</v>
      </c>
      <c r="N7" s="184">
        <f t="shared" si="0"/>
        <v>2943821.6</v>
      </c>
      <c r="O7" s="184">
        <f t="shared" si="0"/>
        <v>6287923.8600000003</v>
      </c>
      <c r="P7" s="184">
        <f t="shared" si="0"/>
        <v>12847852.380000001</v>
      </c>
      <c r="Q7" s="184">
        <f t="shared" si="0"/>
        <v>18376057.350000001</v>
      </c>
      <c r="R7" s="184">
        <f t="shared" si="0"/>
        <v>16465115.92</v>
      </c>
      <c r="S7" s="184">
        <f t="shared" si="0"/>
        <v>19518072.559999999</v>
      </c>
      <c r="T7" s="184">
        <f t="shared" si="0"/>
        <v>21677598.82</v>
      </c>
      <c r="U7" s="184">
        <f t="shared" si="0"/>
        <v>10776008.83</v>
      </c>
      <c r="V7" s="184">
        <f t="shared" si="0"/>
        <v>15186372.9</v>
      </c>
      <c r="W7" s="184">
        <f t="shared" si="0"/>
        <v>9131873.0800000001</v>
      </c>
      <c r="X7" s="184">
        <f t="shared" si="0"/>
        <v>16575280.09</v>
      </c>
      <c r="Y7" s="184">
        <f t="shared" si="0"/>
        <v>17317935.609999999</v>
      </c>
      <c r="Z7" s="184">
        <f t="shared" si="0"/>
        <v>17600190.359999999</v>
      </c>
      <c r="AA7" s="184">
        <f t="shared" si="0"/>
        <v>17029604.760000002</v>
      </c>
      <c r="AB7" s="184">
        <f t="shared" ref="AB7:BU7" si="1">+AB14</f>
        <v>18301397.759999998</v>
      </c>
      <c r="AC7" s="185">
        <f t="shared" si="1"/>
        <v>18000000</v>
      </c>
      <c r="AD7" s="185">
        <f t="shared" si="1"/>
        <v>18000000</v>
      </c>
      <c r="AE7" s="185">
        <f t="shared" si="1"/>
        <v>18000000</v>
      </c>
      <c r="AF7" s="185">
        <f t="shared" si="1"/>
        <v>18000000</v>
      </c>
      <c r="AG7" s="185">
        <f t="shared" si="1"/>
        <v>18000000</v>
      </c>
      <c r="AH7" s="186">
        <f t="shared" si="1"/>
        <v>18000000</v>
      </c>
      <c r="AI7" s="186">
        <f>SUM(AB7:AH7)+H7</f>
        <v>347299093.5</v>
      </c>
      <c r="AJ7" s="186">
        <f t="shared" si="1"/>
        <v>0</v>
      </c>
      <c r="AK7" s="186">
        <f t="shared" si="1"/>
        <v>0</v>
      </c>
      <c r="AL7" s="186">
        <f t="shared" si="1"/>
        <v>0</v>
      </c>
      <c r="AM7" s="186">
        <f t="shared" si="1"/>
        <v>0</v>
      </c>
      <c r="AN7" s="186">
        <f t="shared" si="1"/>
        <v>0</v>
      </c>
      <c r="AO7" s="186">
        <f t="shared" si="1"/>
        <v>0</v>
      </c>
      <c r="AP7" s="186">
        <f t="shared" si="1"/>
        <v>0</v>
      </c>
      <c r="AQ7" s="186">
        <f t="shared" si="1"/>
        <v>0</v>
      </c>
      <c r="AR7" s="186">
        <f t="shared" si="1"/>
        <v>0</v>
      </c>
      <c r="AS7" s="186">
        <f t="shared" si="1"/>
        <v>0</v>
      </c>
      <c r="AT7" s="186">
        <f t="shared" si="1"/>
        <v>0</v>
      </c>
      <c r="AU7" s="186">
        <f t="shared" si="1"/>
        <v>0</v>
      </c>
      <c r="AV7" s="186">
        <f t="shared" si="1"/>
        <v>0</v>
      </c>
      <c r="AW7" s="186">
        <f t="shared" si="1"/>
        <v>0</v>
      </c>
      <c r="AX7" s="186">
        <f t="shared" si="1"/>
        <v>0</v>
      </c>
      <c r="AY7" s="186">
        <f t="shared" si="1"/>
        <v>0</v>
      </c>
      <c r="AZ7" s="186">
        <f t="shared" si="1"/>
        <v>0</v>
      </c>
      <c r="BA7" s="186">
        <f t="shared" si="1"/>
        <v>0</v>
      </c>
      <c r="BB7" s="186">
        <f t="shared" si="1"/>
        <v>0</v>
      </c>
      <c r="BC7" s="186">
        <f t="shared" si="1"/>
        <v>0</v>
      </c>
      <c r="BD7" s="186">
        <f t="shared" si="1"/>
        <v>0</v>
      </c>
      <c r="BE7" s="186">
        <f t="shared" si="1"/>
        <v>0</v>
      </c>
      <c r="BF7" s="186">
        <f t="shared" si="1"/>
        <v>0</v>
      </c>
      <c r="BG7" s="186">
        <f t="shared" si="1"/>
        <v>0</v>
      </c>
      <c r="BH7" s="186">
        <f t="shared" si="1"/>
        <v>0</v>
      </c>
      <c r="BI7" s="186">
        <f t="shared" si="1"/>
        <v>0</v>
      </c>
      <c r="BJ7" s="186">
        <f t="shared" si="1"/>
        <v>0</v>
      </c>
      <c r="BK7" s="186">
        <f t="shared" si="1"/>
        <v>0</v>
      </c>
      <c r="BL7" s="186">
        <f t="shared" si="1"/>
        <v>0</v>
      </c>
      <c r="BM7" s="186">
        <f t="shared" si="1"/>
        <v>0</v>
      </c>
      <c r="BN7" s="186">
        <f t="shared" si="1"/>
        <v>0</v>
      </c>
      <c r="BO7" s="186">
        <f t="shared" si="1"/>
        <v>0</v>
      </c>
      <c r="BP7" s="186">
        <f t="shared" si="1"/>
        <v>0</v>
      </c>
      <c r="BQ7" s="186">
        <f t="shared" si="1"/>
        <v>0</v>
      </c>
      <c r="BR7" s="186">
        <f t="shared" si="1"/>
        <v>0</v>
      </c>
      <c r="BS7" s="186">
        <f t="shared" si="1"/>
        <v>0</v>
      </c>
      <c r="BT7" s="186">
        <f t="shared" si="1"/>
        <v>0</v>
      </c>
      <c r="BU7" s="186">
        <f t="shared" si="1"/>
        <v>0</v>
      </c>
      <c r="BV7" s="187"/>
      <c r="BW7" s="188"/>
      <c r="BX7" s="188"/>
      <c r="BY7" s="188"/>
      <c r="BZ7" s="188"/>
      <c r="CA7" s="185">
        <f>+H7+AB7+AC7+AD7+AE7+AF7+AG7</f>
        <v>329299093.5</v>
      </c>
    </row>
    <row r="8" spans="1:79" s="179" customFormat="1" ht="12.75" hidden="1" customHeight="1" outlineLevel="1" x14ac:dyDescent="0.3">
      <c r="B8" s="189" t="s">
        <v>73</v>
      </c>
      <c r="C8" s="190">
        <v>462</v>
      </c>
      <c r="D8" s="190">
        <f>+H8</f>
        <v>164</v>
      </c>
      <c r="E8" s="190">
        <f>+C8-D8</f>
        <v>298</v>
      </c>
      <c r="F8" s="191"/>
      <c r="G8" s="191"/>
      <c r="H8" s="275">
        <f>SUM(J8:AB8)</f>
        <v>164</v>
      </c>
      <c r="I8" s="192">
        <f>IF(D24=0,0,D8/D24)</f>
        <v>0</v>
      </c>
      <c r="J8" s="193"/>
      <c r="K8" s="193"/>
      <c r="L8" s="193"/>
      <c r="M8" s="193"/>
      <c r="N8" s="193"/>
      <c r="O8" s="193"/>
      <c r="P8" s="193">
        <v>3</v>
      </c>
      <c r="Q8" s="193">
        <v>29</v>
      </c>
      <c r="R8" s="193">
        <v>20</v>
      </c>
      <c r="S8" s="193">
        <v>24</v>
      </c>
      <c r="T8" s="193">
        <v>12</v>
      </c>
      <c r="U8" s="193">
        <v>9</v>
      </c>
      <c r="V8" s="193">
        <v>12</v>
      </c>
      <c r="W8" s="193">
        <v>2</v>
      </c>
      <c r="X8" s="193">
        <v>7</v>
      </c>
      <c r="Y8" s="193">
        <v>14</v>
      </c>
      <c r="Z8" s="193">
        <v>10</v>
      </c>
      <c r="AA8" s="193">
        <v>11</v>
      </c>
      <c r="AB8" s="193">
        <v>11</v>
      </c>
      <c r="AC8" s="116">
        <v>15</v>
      </c>
      <c r="AD8" s="116">
        <v>15</v>
      </c>
      <c r="AE8" s="116">
        <v>15</v>
      </c>
      <c r="AF8" s="116">
        <v>15</v>
      </c>
      <c r="AG8" s="116">
        <v>15</v>
      </c>
      <c r="AH8" s="116">
        <v>15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94"/>
      <c r="BW8" s="195"/>
      <c r="BX8" s="195"/>
      <c r="BY8" s="195"/>
      <c r="BZ8" s="195"/>
      <c r="CA8" s="116"/>
    </row>
    <row r="9" spans="1:79" s="179" customFormat="1" ht="12.75" hidden="1" customHeight="1" outlineLevel="1" x14ac:dyDescent="0.3">
      <c r="B9" s="189" t="s">
        <v>74</v>
      </c>
      <c r="C9" s="190"/>
      <c r="D9" s="190">
        <f>+H9</f>
        <v>-3</v>
      </c>
      <c r="E9" s="190">
        <f>+C9-D9</f>
        <v>3</v>
      </c>
      <c r="F9" s="191"/>
      <c r="G9" s="191"/>
      <c r="H9" s="275">
        <f>SUM(J9:AB9)</f>
        <v>-3</v>
      </c>
      <c r="I9" s="192">
        <f>IF(D24=0,0,D9/D24)</f>
        <v>0</v>
      </c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>
        <v>-2</v>
      </c>
      <c r="Y9" s="193"/>
      <c r="Z9" s="193"/>
      <c r="AA9" s="193">
        <v>-1</v>
      </c>
      <c r="AB9" s="193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94"/>
      <c r="BW9" s="195"/>
      <c r="BX9" s="195"/>
      <c r="BY9" s="195"/>
      <c r="BZ9" s="195"/>
      <c r="CA9" s="116"/>
    </row>
    <row r="10" spans="1:79" s="179" customFormat="1" ht="12.75" hidden="1" customHeight="1" outlineLevel="1" x14ac:dyDescent="0.3">
      <c r="B10" s="189" t="s">
        <v>75</v>
      </c>
      <c r="C10" s="190">
        <v>462</v>
      </c>
      <c r="D10" s="190">
        <f>+H10</f>
        <v>161</v>
      </c>
      <c r="E10" s="190">
        <f>SUM(E8:E9)</f>
        <v>301</v>
      </c>
      <c r="F10" s="191"/>
      <c r="G10" s="191"/>
      <c r="H10" s="275">
        <f>SUM(J10:AB10)</f>
        <v>161</v>
      </c>
      <c r="I10" s="192">
        <f>IF(D24=0,0,D10/D24)</f>
        <v>0</v>
      </c>
      <c r="J10" s="193">
        <f t="shared" ref="J10:AH10" si="2">+J8+J9</f>
        <v>0</v>
      </c>
      <c r="K10" s="193">
        <f t="shared" si="2"/>
        <v>0</v>
      </c>
      <c r="L10" s="193">
        <f t="shared" si="2"/>
        <v>0</v>
      </c>
      <c r="M10" s="193">
        <f t="shared" si="2"/>
        <v>0</v>
      </c>
      <c r="N10" s="193">
        <f t="shared" si="2"/>
        <v>0</v>
      </c>
      <c r="O10" s="193">
        <f t="shared" si="2"/>
        <v>0</v>
      </c>
      <c r="P10" s="193">
        <f t="shared" si="2"/>
        <v>3</v>
      </c>
      <c r="Q10" s="193">
        <f t="shared" si="2"/>
        <v>29</v>
      </c>
      <c r="R10" s="193">
        <f t="shared" si="2"/>
        <v>20</v>
      </c>
      <c r="S10" s="193">
        <f t="shared" si="2"/>
        <v>24</v>
      </c>
      <c r="T10" s="193">
        <f t="shared" si="2"/>
        <v>12</v>
      </c>
      <c r="U10" s="193">
        <f t="shared" si="2"/>
        <v>9</v>
      </c>
      <c r="V10" s="193">
        <f t="shared" si="2"/>
        <v>12</v>
      </c>
      <c r="W10" s="193">
        <f t="shared" si="2"/>
        <v>2</v>
      </c>
      <c r="X10" s="193">
        <f t="shared" si="2"/>
        <v>5</v>
      </c>
      <c r="Y10" s="193">
        <f t="shared" si="2"/>
        <v>14</v>
      </c>
      <c r="Z10" s="193">
        <f t="shared" si="2"/>
        <v>10</v>
      </c>
      <c r="AA10" s="193">
        <f t="shared" si="2"/>
        <v>10</v>
      </c>
      <c r="AB10" s="193">
        <f t="shared" si="2"/>
        <v>11</v>
      </c>
      <c r="AC10" s="116">
        <f t="shared" si="2"/>
        <v>15</v>
      </c>
      <c r="AD10" s="116">
        <f t="shared" si="2"/>
        <v>15</v>
      </c>
      <c r="AE10" s="116">
        <f t="shared" si="2"/>
        <v>15</v>
      </c>
      <c r="AF10" s="116">
        <f t="shared" si="2"/>
        <v>15</v>
      </c>
      <c r="AG10" s="116">
        <f t="shared" si="2"/>
        <v>15</v>
      </c>
      <c r="AH10" s="116">
        <f t="shared" si="2"/>
        <v>15</v>
      </c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94"/>
      <c r="BW10" s="195"/>
      <c r="BX10" s="195"/>
      <c r="BY10" s="195"/>
      <c r="BZ10" s="195"/>
      <c r="CA10" s="116"/>
    </row>
    <row r="11" spans="1:79" s="179" customFormat="1" ht="12.75" hidden="1" customHeight="1" outlineLevel="1" x14ac:dyDescent="0.3">
      <c r="B11" s="189" t="s">
        <v>76</v>
      </c>
      <c r="C11" s="196"/>
      <c r="D11" s="197">
        <f>SUM(J11:AB11)</f>
        <v>23071011</v>
      </c>
      <c r="E11" s="198"/>
      <c r="F11" s="198"/>
      <c r="G11" s="198"/>
      <c r="H11" s="197"/>
      <c r="I11" s="192">
        <f>IF(D24=0,0,D11/D24)</f>
        <v>0</v>
      </c>
      <c r="J11" s="199"/>
      <c r="K11" s="199"/>
      <c r="L11" s="199"/>
      <c r="M11" s="199"/>
      <c r="N11" s="199"/>
      <c r="O11" s="199"/>
      <c r="P11" s="199">
        <v>390100</v>
      </c>
      <c r="Q11" s="199">
        <v>3803830</v>
      </c>
      <c r="R11" s="199">
        <v>2530870</v>
      </c>
      <c r="S11" s="199">
        <v>3264350</v>
      </c>
      <c r="T11" s="199">
        <v>1674700</v>
      </c>
      <c r="U11" s="199">
        <v>1263361</v>
      </c>
      <c r="V11" s="199">
        <v>1596100</v>
      </c>
      <c r="W11" s="199">
        <v>145350</v>
      </c>
      <c r="X11" s="199">
        <v>1375650</v>
      </c>
      <c r="Y11" s="199">
        <v>2067350</v>
      </c>
      <c r="Z11" s="199">
        <v>1504150</v>
      </c>
      <c r="AA11" s="199">
        <v>1797250</v>
      </c>
      <c r="AB11" s="199">
        <v>1657950</v>
      </c>
      <c r="AC11" s="200">
        <v>2250000</v>
      </c>
      <c r="AD11" s="200">
        <v>2250000</v>
      </c>
      <c r="AE11" s="200">
        <v>2250000</v>
      </c>
      <c r="AF11" s="200">
        <v>2250000</v>
      </c>
      <c r="AG11" s="200">
        <v>2250000</v>
      </c>
      <c r="AH11" s="200">
        <v>2250000</v>
      </c>
      <c r="AI11" s="200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94"/>
      <c r="BW11" s="195"/>
      <c r="BX11" s="195"/>
      <c r="BY11" s="195"/>
      <c r="BZ11" s="195"/>
      <c r="CA11" s="200"/>
    </row>
    <row r="12" spans="1:79" s="179" customFormat="1" ht="12.75" hidden="1" customHeight="1" outlineLevel="1" x14ac:dyDescent="0.3">
      <c r="B12" s="189" t="s">
        <v>77</v>
      </c>
      <c r="C12" s="196"/>
      <c r="D12" s="197">
        <f>SUM(J12:AB12)</f>
        <v>-449200</v>
      </c>
      <c r="E12" s="201"/>
      <c r="F12" s="198"/>
      <c r="G12" s="198"/>
      <c r="H12" s="197"/>
      <c r="I12" s="192">
        <f>IF(D24=0,0,D12/D24)</f>
        <v>0</v>
      </c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>
        <v>-309900</v>
      </c>
      <c r="Y12" s="193"/>
      <c r="Z12" s="193"/>
      <c r="AA12" s="193">
        <v>-139300</v>
      </c>
      <c r="AB12" s="193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94"/>
      <c r="BW12" s="195"/>
      <c r="BX12" s="195"/>
      <c r="BY12" s="195"/>
      <c r="BZ12" s="195"/>
      <c r="CA12" s="116"/>
    </row>
    <row r="13" spans="1:79" s="179" customFormat="1" ht="12.75" hidden="1" customHeight="1" outlineLevel="1" x14ac:dyDescent="0.3">
      <c r="B13" s="189" t="s">
        <v>78</v>
      </c>
      <c r="C13" s="197">
        <v>68213916</v>
      </c>
      <c r="D13" s="197">
        <f>SUM(J13:AB13)</f>
        <v>22621811</v>
      </c>
      <c r="E13" s="197">
        <f>+C13-D13</f>
        <v>45592105</v>
      </c>
      <c r="F13" s="198"/>
      <c r="G13" s="198"/>
      <c r="H13" s="197"/>
      <c r="I13" s="192">
        <f>IF(D24=0,0,D13/D24)</f>
        <v>0</v>
      </c>
      <c r="J13" s="199">
        <f t="shared" ref="J13:AH13" si="3">+J11+J12</f>
        <v>0</v>
      </c>
      <c r="K13" s="199">
        <f t="shared" si="3"/>
        <v>0</v>
      </c>
      <c r="L13" s="199">
        <f t="shared" si="3"/>
        <v>0</v>
      </c>
      <c r="M13" s="199">
        <f t="shared" si="3"/>
        <v>0</v>
      </c>
      <c r="N13" s="199">
        <f t="shared" si="3"/>
        <v>0</v>
      </c>
      <c r="O13" s="199">
        <f t="shared" si="3"/>
        <v>0</v>
      </c>
      <c r="P13" s="199">
        <f t="shared" si="3"/>
        <v>390100</v>
      </c>
      <c r="Q13" s="199">
        <f t="shared" si="3"/>
        <v>3803830</v>
      </c>
      <c r="R13" s="199">
        <f t="shared" si="3"/>
        <v>2530870</v>
      </c>
      <c r="S13" s="199">
        <f t="shared" si="3"/>
        <v>3264350</v>
      </c>
      <c r="T13" s="199">
        <f t="shared" si="3"/>
        <v>1674700</v>
      </c>
      <c r="U13" s="199">
        <f t="shared" si="3"/>
        <v>1263361</v>
      </c>
      <c r="V13" s="199">
        <f t="shared" si="3"/>
        <v>1596100</v>
      </c>
      <c r="W13" s="199">
        <f t="shared" si="3"/>
        <v>145350</v>
      </c>
      <c r="X13" s="199">
        <f t="shared" si="3"/>
        <v>1065750</v>
      </c>
      <c r="Y13" s="199">
        <f t="shared" si="3"/>
        <v>2067350</v>
      </c>
      <c r="Z13" s="199">
        <f t="shared" si="3"/>
        <v>1504150</v>
      </c>
      <c r="AA13" s="199">
        <f t="shared" si="3"/>
        <v>1657950</v>
      </c>
      <c r="AB13" s="199">
        <f t="shared" si="3"/>
        <v>1657950</v>
      </c>
      <c r="AC13" s="200">
        <f t="shared" si="3"/>
        <v>2250000</v>
      </c>
      <c r="AD13" s="200">
        <f t="shared" si="3"/>
        <v>2250000</v>
      </c>
      <c r="AE13" s="200">
        <f t="shared" si="3"/>
        <v>2250000</v>
      </c>
      <c r="AF13" s="200">
        <f t="shared" si="3"/>
        <v>2250000</v>
      </c>
      <c r="AG13" s="200">
        <f t="shared" si="3"/>
        <v>2250000</v>
      </c>
      <c r="AH13" s="200">
        <f t="shared" si="3"/>
        <v>2250000</v>
      </c>
      <c r="AI13" s="200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94"/>
      <c r="BW13" s="195"/>
      <c r="BX13" s="195"/>
      <c r="BY13" s="195"/>
      <c r="BZ13" s="195"/>
      <c r="CA13" s="200"/>
    </row>
    <row r="14" spans="1:79" s="179" customFormat="1" ht="12.75" hidden="1" customHeight="1" outlineLevel="1" x14ac:dyDescent="0.3">
      <c r="B14" s="189" t="s">
        <v>79</v>
      </c>
      <c r="C14" s="202"/>
      <c r="D14" s="203"/>
      <c r="E14" s="203"/>
      <c r="F14" s="191"/>
      <c r="G14" s="191"/>
      <c r="H14" s="204">
        <f>SUM(J14:AB14)</f>
        <v>220997695.74000001</v>
      </c>
      <c r="I14" s="192">
        <f>IF(D24=0,0,D14/D24)</f>
        <v>0</v>
      </c>
      <c r="J14" s="193">
        <v>597566.75</v>
      </c>
      <c r="K14" s="193">
        <v>303761.91999999998</v>
      </c>
      <c r="L14" s="193"/>
      <c r="M14" s="193">
        <v>61261.19</v>
      </c>
      <c r="N14" s="193">
        <v>2943821.6</v>
      </c>
      <c r="O14" s="193">
        <v>6287923.8600000003</v>
      </c>
      <c r="P14" s="193">
        <v>12847852.380000001</v>
      </c>
      <c r="Q14" s="193">
        <v>18376057.350000001</v>
      </c>
      <c r="R14" s="193">
        <v>16465115.92</v>
      </c>
      <c r="S14" s="193">
        <v>19518072.559999999</v>
      </c>
      <c r="T14" s="193">
        <v>21677598.82</v>
      </c>
      <c r="U14" s="193">
        <v>10776008.83</v>
      </c>
      <c r="V14" s="193">
        <v>15186372.9</v>
      </c>
      <c r="W14" s="193">
        <v>9131873.0800000001</v>
      </c>
      <c r="X14" s="193">
        <v>16575280.09</v>
      </c>
      <c r="Y14" s="193">
        <v>17317935.609999999</v>
      </c>
      <c r="Z14" s="193">
        <v>17600190.359999999</v>
      </c>
      <c r="AA14" s="193">
        <v>17029604.760000002</v>
      </c>
      <c r="AB14" s="193">
        <f>17095509.97+1205887.79</f>
        <v>18301397.759999998</v>
      </c>
      <c r="AC14" s="116">
        <v>18000000</v>
      </c>
      <c r="AD14" s="116">
        <v>18000000</v>
      </c>
      <c r="AE14" s="116">
        <v>18000000</v>
      </c>
      <c r="AF14" s="116">
        <v>18000000</v>
      </c>
      <c r="AG14" s="116">
        <v>18000000</v>
      </c>
      <c r="AH14" s="116">
        <v>18000000</v>
      </c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94"/>
      <c r="BW14" s="195"/>
      <c r="BX14" s="195"/>
      <c r="BY14" s="195"/>
      <c r="BZ14" s="195"/>
      <c r="CA14" s="116"/>
    </row>
    <row r="15" spans="1:79" s="179" customFormat="1" ht="16.05" customHeight="1" collapsed="1" x14ac:dyDescent="0.3">
      <c r="B15" s="180" t="s">
        <v>80</v>
      </c>
      <c r="C15" s="205"/>
      <c r="D15" s="205"/>
      <c r="E15" s="183"/>
      <c r="F15" s="183"/>
      <c r="G15" s="183"/>
      <c r="H15" s="184">
        <f>SUM(J15:AB15)</f>
        <v>322917733.81</v>
      </c>
      <c r="I15" s="106">
        <f>IF(D24=0,0,D15/D24)</f>
        <v>0</v>
      </c>
      <c r="J15" s="184">
        <f t="shared" ref="J15:AA15" si="4">SUM(J16)</f>
        <v>159695773.63999999</v>
      </c>
      <c r="K15" s="184">
        <f t="shared" si="4"/>
        <v>0</v>
      </c>
      <c r="L15" s="184">
        <f t="shared" si="4"/>
        <v>0</v>
      </c>
      <c r="M15" s="184">
        <f t="shared" si="4"/>
        <v>0</v>
      </c>
      <c r="N15" s="184">
        <f t="shared" si="4"/>
        <v>0</v>
      </c>
      <c r="O15" s="184">
        <f t="shared" si="4"/>
        <v>0</v>
      </c>
      <c r="P15" s="184">
        <f t="shared" si="4"/>
        <v>0</v>
      </c>
      <c r="Q15" s="184">
        <f t="shared" si="4"/>
        <v>0</v>
      </c>
      <c r="R15" s="184">
        <f t="shared" si="4"/>
        <v>170252678.33000001</v>
      </c>
      <c r="S15" s="184">
        <f t="shared" si="4"/>
        <v>0</v>
      </c>
      <c r="T15" s="184">
        <f t="shared" si="4"/>
        <v>0</v>
      </c>
      <c r="U15" s="184">
        <f t="shared" si="4"/>
        <v>0</v>
      </c>
      <c r="V15" s="184">
        <f t="shared" si="4"/>
        <v>0</v>
      </c>
      <c r="W15" s="184">
        <f t="shared" si="4"/>
        <v>0</v>
      </c>
      <c r="X15" s="184">
        <f t="shared" si="4"/>
        <v>0</v>
      </c>
      <c r="Y15" s="184">
        <f t="shared" si="4"/>
        <v>0</v>
      </c>
      <c r="Z15" s="184">
        <f t="shared" si="4"/>
        <v>-7030718.1600000001</v>
      </c>
      <c r="AA15" s="184">
        <f t="shared" si="4"/>
        <v>0</v>
      </c>
      <c r="AB15" s="184"/>
      <c r="AC15" s="185"/>
      <c r="AD15" s="185"/>
      <c r="AE15" s="185"/>
      <c r="AF15" s="185"/>
      <c r="AG15" s="185"/>
      <c r="AH15" s="186"/>
      <c r="AI15" s="186">
        <f t="shared" ref="AI15:AI24" si="5">SUM(AB15:AH15)+H15</f>
        <v>322917733.81</v>
      </c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6"/>
      <c r="BO15" s="186"/>
      <c r="BP15" s="186"/>
      <c r="BQ15" s="186"/>
      <c r="BR15" s="186"/>
      <c r="BS15" s="186"/>
      <c r="BT15" s="186"/>
      <c r="BU15" s="186"/>
      <c r="BV15" s="187"/>
      <c r="BW15" s="188"/>
      <c r="BX15" s="188"/>
      <c r="BY15" s="188"/>
      <c r="BZ15" s="188"/>
      <c r="CA15" s="185">
        <f>+H15+AB15+AC15+AD15+AE15+AF15+AG15</f>
        <v>322917733.81</v>
      </c>
    </row>
    <row r="16" spans="1:79" s="179" customFormat="1" ht="15.75" hidden="1" customHeight="1" outlineLevel="1" x14ac:dyDescent="0.3">
      <c r="B16" s="189" t="s">
        <v>81</v>
      </c>
      <c r="C16" s="202"/>
      <c r="D16" s="203"/>
      <c r="E16" s="203"/>
      <c r="F16" s="191"/>
      <c r="G16" s="191"/>
      <c r="H16" s="204">
        <f t="shared" ref="H16:H18" si="6">SUM(J16:AA16)</f>
        <v>322917733.81</v>
      </c>
      <c r="I16" s="192">
        <f>IF(D24=0,0,D16/D24)</f>
        <v>0</v>
      </c>
      <c r="J16" s="193">
        <v>159695773.63999999</v>
      </c>
      <c r="K16" s="193"/>
      <c r="L16" s="193"/>
      <c r="M16" s="193"/>
      <c r="N16" s="193"/>
      <c r="O16" s="193"/>
      <c r="P16" s="193"/>
      <c r="Q16" s="193"/>
      <c r="R16" s="193">
        <v>170252678.33000001</v>
      </c>
      <c r="S16" s="193"/>
      <c r="T16" s="193"/>
      <c r="U16" s="193"/>
      <c r="V16" s="193"/>
      <c r="W16" s="193"/>
      <c r="X16" s="193"/>
      <c r="Y16" s="193"/>
      <c r="Z16" s="193">
        <v>-7030718.1600000001</v>
      </c>
      <c r="AA16" s="193"/>
      <c r="AB16" s="193"/>
      <c r="AC16" s="116"/>
      <c r="AD16" s="116"/>
      <c r="AE16" s="116"/>
      <c r="AF16" s="116"/>
      <c r="AG16" s="116"/>
      <c r="AH16" s="206"/>
      <c r="AI16" s="186">
        <f t="shared" si="5"/>
        <v>322917733.81</v>
      </c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6"/>
      <c r="BD16" s="206"/>
      <c r="BE16" s="206"/>
      <c r="BF16" s="206"/>
      <c r="BG16" s="206"/>
      <c r="BH16" s="206"/>
      <c r="BI16" s="206"/>
      <c r="BJ16" s="206"/>
      <c r="BK16" s="206"/>
      <c r="BL16" s="206"/>
      <c r="BM16" s="206"/>
      <c r="BN16" s="206"/>
      <c r="BO16" s="206"/>
      <c r="BP16" s="206"/>
      <c r="BQ16" s="206"/>
      <c r="BR16" s="206"/>
      <c r="BS16" s="206"/>
      <c r="BT16" s="206"/>
      <c r="BU16" s="206"/>
      <c r="BV16" s="194"/>
      <c r="BW16" s="195"/>
      <c r="BX16" s="195"/>
      <c r="BY16" s="195"/>
      <c r="BZ16" s="195"/>
      <c r="CA16" s="116"/>
    </row>
    <row r="17" spans="2:83" s="179" customFormat="1" ht="16.05" customHeight="1" collapsed="1" x14ac:dyDescent="0.3">
      <c r="B17" s="180" t="s">
        <v>82</v>
      </c>
      <c r="C17" s="205"/>
      <c r="D17" s="205"/>
      <c r="E17" s="183"/>
      <c r="F17" s="183"/>
      <c r="G17" s="183"/>
      <c r="H17" s="184">
        <f>SUM(J17:AB17)</f>
        <v>200000000</v>
      </c>
      <c r="I17" s="106">
        <f>IF(D24=0,0,D17/D24)</f>
        <v>0</v>
      </c>
      <c r="J17" s="184">
        <f t="shared" ref="J17:AA17" si="7">SUM(J18:J20)</f>
        <v>0</v>
      </c>
      <c r="K17" s="184">
        <f t="shared" si="7"/>
        <v>0</v>
      </c>
      <c r="L17" s="184">
        <f t="shared" si="7"/>
        <v>0</v>
      </c>
      <c r="M17" s="184">
        <f t="shared" si="7"/>
        <v>0</v>
      </c>
      <c r="N17" s="184">
        <f t="shared" si="7"/>
        <v>15000000</v>
      </c>
      <c r="O17" s="184">
        <f t="shared" si="7"/>
        <v>7200000</v>
      </c>
      <c r="P17" s="184">
        <f t="shared" si="7"/>
        <v>12000000</v>
      </c>
      <c r="Q17" s="184">
        <f t="shared" si="7"/>
        <v>15000000</v>
      </c>
      <c r="R17" s="184">
        <f t="shared" si="7"/>
        <v>0</v>
      </c>
      <c r="S17" s="184">
        <f t="shared" si="7"/>
        <v>55184227.399999999</v>
      </c>
      <c r="T17" s="184">
        <f t="shared" si="7"/>
        <v>-5000000</v>
      </c>
      <c r="U17" s="184">
        <f t="shared" si="7"/>
        <v>44815772.600000001</v>
      </c>
      <c r="V17" s="184">
        <f t="shared" si="7"/>
        <v>-44200000</v>
      </c>
      <c r="W17" s="184">
        <f t="shared" si="7"/>
        <v>0</v>
      </c>
      <c r="X17" s="184">
        <f t="shared" si="7"/>
        <v>0</v>
      </c>
      <c r="Y17" s="184">
        <f t="shared" si="7"/>
        <v>0</v>
      </c>
      <c r="Z17" s="184">
        <f t="shared" si="7"/>
        <v>40000000</v>
      </c>
      <c r="AA17" s="184">
        <f t="shared" si="7"/>
        <v>20000000</v>
      </c>
      <c r="AB17" s="184">
        <f t="shared" ref="AB17:BU17" si="8">SUM(AB18:AB21)</f>
        <v>40000000</v>
      </c>
      <c r="AC17" s="185">
        <f t="shared" si="8"/>
        <v>100000000</v>
      </c>
      <c r="AD17" s="185">
        <f t="shared" si="8"/>
        <v>100000000</v>
      </c>
      <c r="AE17" s="185">
        <f t="shared" si="8"/>
        <v>-10000000</v>
      </c>
      <c r="AF17" s="185">
        <f t="shared" si="8"/>
        <v>0</v>
      </c>
      <c r="AG17" s="185">
        <f t="shared" si="8"/>
        <v>160000000</v>
      </c>
      <c r="AH17" s="186">
        <f t="shared" si="8"/>
        <v>0</v>
      </c>
      <c r="AI17" s="186">
        <f t="shared" si="5"/>
        <v>590000000</v>
      </c>
      <c r="AJ17" s="186">
        <f t="shared" si="8"/>
        <v>0</v>
      </c>
      <c r="AK17" s="186">
        <f t="shared" si="8"/>
        <v>0</v>
      </c>
      <c r="AL17" s="186">
        <f t="shared" si="8"/>
        <v>0</v>
      </c>
      <c r="AM17" s="186">
        <f t="shared" si="8"/>
        <v>0</v>
      </c>
      <c r="AN17" s="186">
        <f t="shared" si="8"/>
        <v>0</v>
      </c>
      <c r="AO17" s="186">
        <f t="shared" si="8"/>
        <v>0</v>
      </c>
      <c r="AP17" s="186">
        <f t="shared" si="8"/>
        <v>0</v>
      </c>
      <c r="AQ17" s="186">
        <f t="shared" si="8"/>
        <v>0</v>
      </c>
      <c r="AR17" s="186">
        <f t="shared" si="8"/>
        <v>0</v>
      </c>
      <c r="AS17" s="186">
        <f t="shared" si="8"/>
        <v>0</v>
      </c>
      <c r="AT17" s="186">
        <f t="shared" si="8"/>
        <v>0</v>
      </c>
      <c r="AU17" s="186">
        <f t="shared" si="8"/>
        <v>0</v>
      </c>
      <c r="AV17" s="186">
        <f t="shared" si="8"/>
        <v>0</v>
      </c>
      <c r="AW17" s="186">
        <f t="shared" si="8"/>
        <v>0</v>
      </c>
      <c r="AX17" s="186">
        <f t="shared" si="8"/>
        <v>0</v>
      </c>
      <c r="AY17" s="186">
        <f t="shared" si="8"/>
        <v>0</v>
      </c>
      <c r="AZ17" s="186">
        <f t="shared" si="8"/>
        <v>0</v>
      </c>
      <c r="BA17" s="186">
        <f t="shared" si="8"/>
        <v>0</v>
      </c>
      <c r="BB17" s="186">
        <f t="shared" si="8"/>
        <v>0</v>
      </c>
      <c r="BC17" s="186">
        <f t="shared" si="8"/>
        <v>0</v>
      </c>
      <c r="BD17" s="186">
        <f t="shared" si="8"/>
        <v>0</v>
      </c>
      <c r="BE17" s="186">
        <f t="shared" si="8"/>
        <v>0</v>
      </c>
      <c r="BF17" s="186">
        <f t="shared" si="8"/>
        <v>0</v>
      </c>
      <c r="BG17" s="186">
        <f t="shared" si="8"/>
        <v>0</v>
      </c>
      <c r="BH17" s="186">
        <f t="shared" si="8"/>
        <v>0</v>
      </c>
      <c r="BI17" s="186">
        <f t="shared" si="8"/>
        <v>0</v>
      </c>
      <c r="BJ17" s="186">
        <f t="shared" si="8"/>
        <v>0</v>
      </c>
      <c r="BK17" s="186">
        <f t="shared" si="8"/>
        <v>0</v>
      </c>
      <c r="BL17" s="186">
        <f t="shared" si="8"/>
        <v>0</v>
      </c>
      <c r="BM17" s="186">
        <f t="shared" si="8"/>
        <v>0</v>
      </c>
      <c r="BN17" s="186">
        <f t="shared" si="8"/>
        <v>0</v>
      </c>
      <c r="BO17" s="186">
        <f t="shared" si="8"/>
        <v>0</v>
      </c>
      <c r="BP17" s="186">
        <f t="shared" si="8"/>
        <v>0</v>
      </c>
      <c r="BQ17" s="186">
        <f t="shared" si="8"/>
        <v>0</v>
      </c>
      <c r="BR17" s="186">
        <f t="shared" si="8"/>
        <v>0</v>
      </c>
      <c r="BS17" s="186">
        <f t="shared" si="8"/>
        <v>0</v>
      </c>
      <c r="BT17" s="186">
        <f t="shared" si="8"/>
        <v>0</v>
      </c>
      <c r="BU17" s="186">
        <f t="shared" si="8"/>
        <v>0</v>
      </c>
      <c r="BV17" s="187"/>
      <c r="BW17" s="188"/>
      <c r="BX17" s="188"/>
      <c r="BY17" s="188"/>
      <c r="BZ17" s="188"/>
      <c r="CA17" s="185">
        <f>+H17+AB17+AC17+AD17+AE17+AF17+AG17</f>
        <v>590000000</v>
      </c>
    </row>
    <row r="18" spans="2:83" ht="15.75" hidden="1" customHeight="1" outlineLevel="1" x14ac:dyDescent="0.3">
      <c r="B18" s="65" t="s">
        <v>83</v>
      </c>
      <c r="C18" s="113"/>
      <c r="D18" s="114"/>
      <c r="E18" s="114"/>
      <c r="F18" s="108"/>
      <c r="G18" s="108"/>
      <c r="H18" s="108">
        <f t="shared" si="6"/>
        <v>0</v>
      </c>
      <c r="I18" s="109">
        <f>IF(D24=0,0,D18/D24)</f>
        <v>0</v>
      </c>
      <c r="J18" s="110"/>
      <c r="K18" s="110"/>
      <c r="L18" s="110"/>
      <c r="M18" s="110"/>
      <c r="N18" s="110">
        <v>15000000</v>
      </c>
      <c r="O18" s="110">
        <v>7200000</v>
      </c>
      <c r="P18" s="110">
        <v>12000000</v>
      </c>
      <c r="Q18" s="110">
        <v>15000000</v>
      </c>
      <c r="R18" s="110"/>
      <c r="S18" s="110"/>
      <c r="T18" s="110">
        <v>-5000000</v>
      </c>
      <c r="U18" s="110"/>
      <c r="V18" s="110">
        <v>-44200000</v>
      </c>
      <c r="W18" s="110"/>
      <c r="X18" s="110"/>
      <c r="Y18" s="110"/>
      <c r="Z18" s="110"/>
      <c r="AA18" s="110"/>
      <c r="AB18" s="110"/>
      <c r="AC18" s="116"/>
      <c r="AD18" s="116"/>
      <c r="AE18" s="116"/>
      <c r="AF18" s="116"/>
      <c r="AG18" s="116"/>
      <c r="AH18" s="117"/>
      <c r="AI18" s="186">
        <f t="shared" si="5"/>
        <v>0</v>
      </c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117"/>
      <c r="BT18" s="117"/>
      <c r="BU18" s="117"/>
      <c r="BV18" s="111"/>
      <c r="BW18" s="112"/>
      <c r="BX18" s="112"/>
      <c r="BY18" s="112"/>
      <c r="BZ18" s="112"/>
      <c r="CA18" s="116"/>
    </row>
    <row r="19" spans="2:83" ht="12.75" hidden="1" customHeight="1" outlineLevel="1" x14ac:dyDescent="0.3">
      <c r="B19" s="353" t="s">
        <v>84</v>
      </c>
      <c r="C19" s="113">
        <v>100000000</v>
      </c>
      <c r="D19" s="114">
        <f>+H190</f>
        <v>0</v>
      </c>
      <c r="E19" s="114">
        <f>+C19-D19</f>
        <v>100000000</v>
      </c>
      <c r="F19" s="108"/>
      <c r="G19" s="108"/>
      <c r="H19" s="276">
        <f>SUM(J19:AB19)</f>
        <v>0</v>
      </c>
      <c r="I19" s="109">
        <f>IF(D24=0,0,D19/D24)</f>
        <v>0</v>
      </c>
      <c r="J19" s="110"/>
      <c r="K19" s="110"/>
      <c r="L19" s="110"/>
      <c r="M19" s="110"/>
      <c r="N19" s="110"/>
      <c r="O19" s="110"/>
      <c r="P19" s="110"/>
      <c r="Q19" s="110"/>
      <c r="R19" s="110"/>
      <c r="S19" s="110">
        <v>55184227.399999999</v>
      </c>
      <c r="T19" s="110"/>
      <c r="U19" s="110">
        <v>44815772.600000001</v>
      </c>
      <c r="V19" s="110"/>
      <c r="W19" s="110"/>
      <c r="X19" s="110"/>
      <c r="Y19" s="110">
        <v>-100000000</v>
      </c>
      <c r="Z19" s="110"/>
      <c r="AA19" s="110"/>
      <c r="AB19" s="110"/>
      <c r="AC19" s="116">
        <v>100000000</v>
      </c>
      <c r="AD19" s="116"/>
      <c r="AE19" s="116">
        <v>-100000000</v>
      </c>
      <c r="AF19" s="116"/>
      <c r="AG19" s="116"/>
      <c r="AH19" s="117"/>
      <c r="AI19" s="186">
        <f t="shared" si="5"/>
        <v>0</v>
      </c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117"/>
      <c r="BT19" s="117"/>
      <c r="BU19" s="117"/>
      <c r="BV19" s="111"/>
      <c r="BW19" s="112"/>
      <c r="BX19" s="112"/>
      <c r="BY19" s="112"/>
      <c r="BZ19" s="112"/>
      <c r="CA19" s="116"/>
    </row>
    <row r="20" spans="2:83" hidden="1" outlineLevel="1" x14ac:dyDescent="0.3">
      <c r="B20" s="353" t="s">
        <v>85</v>
      </c>
      <c r="C20" s="113">
        <v>300000000</v>
      </c>
      <c r="D20" s="114">
        <f>+H20</f>
        <v>200000000</v>
      </c>
      <c r="E20" s="114">
        <f>+C20-D20</f>
        <v>100000000</v>
      </c>
      <c r="F20" s="108"/>
      <c r="G20" s="108"/>
      <c r="H20" s="115">
        <f>SUM(J20:AB20)</f>
        <v>200000000</v>
      </c>
      <c r="I20" s="109">
        <f>IF(D24=0,0,D20/D24)</f>
        <v>0</v>
      </c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>
        <v>100000000</v>
      </c>
      <c r="Z20" s="110">
        <v>40000000</v>
      </c>
      <c r="AA20" s="110">
        <v>20000000</v>
      </c>
      <c r="AB20" s="110">
        <v>40000000</v>
      </c>
      <c r="AC20" s="116"/>
      <c r="AD20" s="116">
        <v>100000000</v>
      </c>
      <c r="AE20" s="116">
        <v>-150000000</v>
      </c>
      <c r="AF20" s="116"/>
      <c r="AG20" s="116">
        <v>-20000000</v>
      </c>
      <c r="AH20" s="117"/>
      <c r="AI20" s="186">
        <f t="shared" si="5"/>
        <v>170000000</v>
      </c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17"/>
      <c r="BS20" s="117"/>
      <c r="BT20" s="117"/>
      <c r="BU20" s="117"/>
      <c r="BV20" s="111"/>
      <c r="BW20" s="112"/>
      <c r="BX20" s="112"/>
      <c r="BY20" s="112"/>
      <c r="BZ20" s="112"/>
      <c r="CA20" s="116">
        <f>+H20+AB20+AC20+AD20+AE20+AF20+AG20</f>
        <v>170000000</v>
      </c>
    </row>
    <row r="21" spans="2:83" ht="12.75" hidden="1" customHeight="1" outlineLevel="1" x14ac:dyDescent="0.3">
      <c r="B21" s="353" t="s">
        <v>86</v>
      </c>
      <c r="C21" s="113">
        <v>420000000</v>
      </c>
      <c r="D21" s="114">
        <f>+H21</f>
        <v>0</v>
      </c>
      <c r="E21" s="114">
        <f>+C21-D21</f>
        <v>420000000</v>
      </c>
      <c r="F21" s="108"/>
      <c r="G21" s="108"/>
      <c r="H21" s="115"/>
      <c r="I21" s="109">
        <f>IF(D24=0,0,D21/D24)</f>
        <v>0</v>
      </c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6"/>
      <c r="AD21" s="116"/>
      <c r="AE21" s="116">
        <v>240000000</v>
      </c>
      <c r="AF21" s="116"/>
      <c r="AG21" s="116">
        <v>180000000</v>
      </c>
      <c r="AH21" s="117"/>
      <c r="AI21" s="186">
        <f t="shared" si="5"/>
        <v>420000000</v>
      </c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117"/>
      <c r="BS21" s="117"/>
      <c r="BT21" s="117"/>
      <c r="BU21" s="117"/>
      <c r="BV21" s="111"/>
      <c r="BW21" s="112"/>
      <c r="BX21" s="112"/>
      <c r="BY21" s="112"/>
      <c r="BZ21" s="112"/>
      <c r="CA21" s="116">
        <f>+H21+AB21+AC21+AD21+AE21+AF21+AG21</f>
        <v>420000000</v>
      </c>
    </row>
    <row r="22" spans="2:83" s="179" customFormat="1" ht="16.05" customHeight="1" collapsed="1" x14ac:dyDescent="0.3">
      <c r="B22" s="180" t="s">
        <v>87</v>
      </c>
      <c r="C22" s="205"/>
      <c r="D22" s="205"/>
      <c r="E22" s="183"/>
      <c r="F22" s="183"/>
      <c r="G22" s="183"/>
      <c r="H22" s="184">
        <f>SUM(J22:AB22)</f>
        <v>2442157.5599999996</v>
      </c>
      <c r="I22" s="106">
        <f>IF(D24=0,0,D22/D24)</f>
        <v>0</v>
      </c>
      <c r="J22" s="184">
        <f t="shared" ref="J22:AA22" si="9">SUM(J23)</f>
        <v>157571.37</v>
      </c>
      <c r="K22" s="184">
        <f t="shared" si="9"/>
        <v>12060.79</v>
      </c>
      <c r="L22" s="184">
        <f t="shared" si="9"/>
        <v>5956.62</v>
      </c>
      <c r="M22" s="184">
        <f t="shared" si="9"/>
        <v>1903.68</v>
      </c>
      <c r="N22" s="184">
        <f t="shared" si="9"/>
        <v>13709.55</v>
      </c>
      <c r="O22" s="184">
        <f t="shared" si="9"/>
        <v>14582.39</v>
      </c>
      <c r="P22" s="184">
        <f t="shared" si="9"/>
        <v>23991.279999999999</v>
      </c>
      <c r="Q22" s="184">
        <f t="shared" si="9"/>
        <v>92565.03</v>
      </c>
      <c r="R22" s="184">
        <f t="shared" si="9"/>
        <v>173774.27</v>
      </c>
      <c r="S22" s="184">
        <f t="shared" si="9"/>
        <v>260138.61</v>
      </c>
      <c r="T22" s="184">
        <f t="shared" si="9"/>
        <v>332815.92</v>
      </c>
      <c r="U22" s="184">
        <f t="shared" si="9"/>
        <v>328847.65000000002</v>
      </c>
      <c r="V22" s="184">
        <f t="shared" si="9"/>
        <v>529575.76</v>
      </c>
      <c r="W22" s="184">
        <f t="shared" si="9"/>
        <v>144258.21</v>
      </c>
      <c r="X22" s="184">
        <f t="shared" si="9"/>
        <v>134169.93</v>
      </c>
      <c r="Y22" s="184">
        <f t="shared" si="9"/>
        <v>129606.28</v>
      </c>
      <c r="Z22" s="184">
        <f t="shared" si="9"/>
        <v>21993.88</v>
      </c>
      <c r="AA22" s="184">
        <f t="shared" si="9"/>
        <v>39828.589999999997</v>
      </c>
      <c r="AB22" s="184">
        <v>24807.75</v>
      </c>
      <c r="AC22" s="185"/>
      <c r="AD22" s="185"/>
      <c r="AE22" s="185"/>
      <c r="AF22" s="185"/>
      <c r="AG22" s="185"/>
      <c r="AH22" s="186"/>
      <c r="AI22" s="186">
        <f t="shared" si="5"/>
        <v>2466965.3099999996</v>
      </c>
      <c r="AJ22" s="186"/>
      <c r="AK22" s="186"/>
      <c r="AL22" s="186"/>
      <c r="AM22" s="186"/>
      <c r="AN22" s="186"/>
      <c r="AO22" s="186"/>
      <c r="AP22" s="186"/>
      <c r="AQ22" s="186"/>
      <c r="AR22" s="186"/>
      <c r="AS22" s="186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6"/>
      <c r="BM22" s="186"/>
      <c r="BN22" s="186"/>
      <c r="BO22" s="186"/>
      <c r="BP22" s="186"/>
      <c r="BQ22" s="186"/>
      <c r="BR22" s="186"/>
      <c r="BS22" s="186"/>
      <c r="BT22" s="186"/>
      <c r="BU22" s="186"/>
      <c r="BV22" s="187"/>
      <c r="BW22" s="188"/>
      <c r="BX22" s="188"/>
      <c r="BY22" s="188"/>
      <c r="BZ22" s="188"/>
      <c r="CA22" s="185">
        <f>+H22+AB22+AC22+AD22+AE22+AF22+AG22</f>
        <v>2466965.3099999996</v>
      </c>
    </row>
    <row r="23" spans="2:83" ht="15.75" hidden="1" customHeight="1" outlineLevel="1" x14ac:dyDescent="0.3">
      <c r="B23" s="65" t="s">
        <v>88</v>
      </c>
      <c r="C23" s="113"/>
      <c r="D23" s="114"/>
      <c r="E23" s="114"/>
      <c r="F23" s="108"/>
      <c r="G23" s="108"/>
      <c r="H23" s="115">
        <f>SUM(J23:AA23)</f>
        <v>2417349.8099999996</v>
      </c>
      <c r="I23" s="109">
        <f>IF(D24=0,0,D23/D24)</f>
        <v>0</v>
      </c>
      <c r="J23" s="110">
        <v>157571.37</v>
      </c>
      <c r="K23" s="110">
        <v>12060.79</v>
      </c>
      <c r="L23" s="110">
        <v>5956.62</v>
      </c>
      <c r="M23" s="110">
        <v>1903.68</v>
      </c>
      <c r="N23" s="110">
        <v>13709.55</v>
      </c>
      <c r="O23" s="110">
        <v>14582.39</v>
      </c>
      <c r="P23" s="110">
        <v>23991.279999999999</v>
      </c>
      <c r="Q23" s="110">
        <v>92565.03</v>
      </c>
      <c r="R23" s="110">
        <v>173774.27</v>
      </c>
      <c r="S23" s="110">
        <v>260138.61</v>
      </c>
      <c r="T23" s="110">
        <v>332815.92</v>
      </c>
      <c r="U23" s="110">
        <v>328847.65000000002</v>
      </c>
      <c r="V23" s="110">
        <v>529575.76</v>
      </c>
      <c r="W23" s="110">
        <v>144258.21</v>
      </c>
      <c r="X23" s="110">
        <v>134169.93</v>
      </c>
      <c r="Y23" s="110">
        <v>129606.28</v>
      </c>
      <c r="Z23" s="110">
        <v>21993.88</v>
      </c>
      <c r="AA23" s="110">
        <v>39828.589999999997</v>
      </c>
      <c r="AB23" s="110"/>
      <c r="AC23" s="118"/>
      <c r="AD23" s="118"/>
      <c r="AE23" s="118"/>
      <c r="AF23" s="118"/>
      <c r="AG23" s="118"/>
      <c r="AH23" s="118"/>
      <c r="AI23" s="186">
        <f t="shared" si="5"/>
        <v>2417349.8099999996</v>
      </c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1"/>
      <c r="BW23" s="112"/>
      <c r="BX23" s="112"/>
      <c r="BY23" s="112"/>
      <c r="BZ23" s="112"/>
      <c r="CA23" s="118"/>
    </row>
    <row r="24" spans="2:83" ht="16.05" customHeight="1" collapsed="1" x14ac:dyDescent="0.3">
      <c r="B24" s="60" t="s">
        <v>89</v>
      </c>
      <c r="C24" s="105"/>
      <c r="D24" s="105"/>
      <c r="E24" s="63"/>
      <c r="F24" s="63"/>
      <c r="G24" s="63"/>
      <c r="H24" s="64">
        <f>SUM(J24:AB24)</f>
        <v>746357587.11000001</v>
      </c>
      <c r="I24" s="119">
        <v>1</v>
      </c>
      <c r="J24" s="64">
        <f t="shared" ref="J24:BU24" si="10">+J7+J15+J17+J22</f>
        <v>160450911.75999999</v>
      </c>
      <c r="K24" s="64">
        <f t="shared" si="10"/>
        <v>315822.70999999996</v>
      </c>
      <c r="L24" s="64">
        <f t="shared" si="10"/>
        <v>5956.62</v>
      </c>
      <c r="M24" s="64">
        <f t="shared" si="10"/>
        <v>63164.87</v>
      </c>
      <c r="N24" s="64">
        <f t="shared" si="10"/>
        <v>17957531.150000002</v>
      </c>
      <c r="O24" s="64">
        <f t="shared" si="10"/>
        <v>13502506.25</v>
      </c>
      <c r="P24" s="64">
        <f t="shared" si="10"/>
        <v>24871843.660000004</v>
      </c>
      <c r="Q24" s="64">
        <f t="shared" si="10"/>
        <v>33468622.380000003</v>
      </c>
      <c r="R24" s="64">
        <f t="shared" si="10"/>
        <v>186891568.52000001</v>
      </c>
      <c r="S24" s="64">
        <f t="shared" si="10"/>
        <v>74962438.569999993</v>
      </c>
      <c r="T24" s="64">
        <f t="shared" si="10"/>
        <v>17010414.740000002</v>
      </c>
      <c r="U24" s="64">
        <f t="shared" si="10"/>
        <v>55920629.079999998</v>
      </c>
      <c r="V24" s="64">
        <f t="shared" si="10"/>
        <v>-28484051.34</v>
      </c>
      <c r="W24" s="64">
        <f t="shared" si="10"/>
        <v>9276131.290000001</v>
      </c>
      <c r="X24" s="64">
        <f t="shared" si="10"/>
        <v>16709450.02</v>
      </c>
      <c r="Y24" s="64">
        <f t="shared" si="10"/>
        <v>17447541.890000001</v>
      </c>
      <c r="Z24" s="64">
        <f t="shared" si="10"/>
        <v>50591466.080000006</v>
      </c>
      <c r="AA24" s="64">
        <f t="shared" si="10"/>
        <v>37069433.350000009</v>
      </c>
      <c r="AB24" s="64">
        <f t="shared" si="10"/>
        <v>58326205.509999998</v>
      </c>
      <c r="AC24" s="85">
        <f t="shared" si="10"/>
        <v>118000000</v>
      </c>
      <c r="AD24" s="85">
        <f t="shared" si="10"/>
        <v>118000000</v>
      </c>
      <c r="AE24" s="85">
        <f t="shared" si="10"/>
        <v>8000000</v>
      </c>
      <c r="AF24" s="85">
        <f t="shared" si="10"/>
        <v>18000000</v>
      </c>
      <c r="AG24" s="85">
        <f t="shared" si="10"/>
        <v>178000000</v>
      </c>
      <c r="AH24" s="107">
        <f t="shared" si="10"/>
        <v>18000000</v>
      </c>
      <c r="AI24" s="186">
        <f t="shared" si="5"/>
        <v>1262683792.6199999</v>
      </c>
      <c r="AJ24" s="107">
        <f t="shared" si="10"/>
        <v>0</v>
      </c>
      <c r="AK24" s="107">
        <f t="shared" si="10"/>
        <v>0</v>
      </c>
      <c r="AL24" s="107">
        <f t="shared" si="10"/>
        <v>0</v>
      </c>
      <c r="AM24" s="107">
        <f t="shared" si="10"/>
        <v>0</v>
      </c>
      <c r="AN24" s="107">
        <f t="shared" si="10"/>
        <v>0</v>
      </c>
      <c r="AO24" s="107">
        <f t="shared" si="10"/>
        <v>0</v>
      </c>
      <c r="AP24" s="107">
        <f t="shared" si="10"/>
        <v>0</v>
      </c>
      <c r="AQ24" s="107">
        <f t="shared" si="10"/>
        <v>0</v>
      </c>
      <c r="AR24" s="107">
        <f t="shared" si="10"/>
        <v>0</v>
      </c>
      <c r="AS24" s="107">
        <f t="shared" si="10"/>
        <v>0</v>
      </c>
      <c r="AT24" s="107">
        <f t="shared" si="10"/>
        <v>0</v>
      </c>
      <c r="AU24" s="107">
        <f t="shared" si="10"/>
        <v>0</v>
      </c>
      <c r="AV24" s="107">
        <f t="shared" si="10"/>
        <v>0</v>
      </c>
      <c r="AW24" s="107">
        <f t="shared" si="10"/>
        <v>0</v>
      </c>
      <c r="AX24" s="107">
        <f t="shared" si="10"/>
        <v>0</v>
      </c>
      <c r="AY24" s="107">
        <f t="shared" si="10"/>
        <v>0</v>
      </c>
      <c r="AZ24" s="107">
        <f t="shared" si="10"/>
        <v>0</v>
      </c>
      <c r="BA24" s="107">
        <f t="shared" si="10"/>
        <v>0</v>
      </c>
      <c r="BB24" s="107">
        <f t="shared" si="10"/>
        <v>0</v>
      </c>
      <c r="BC24" s="107">
        <f t="shared" si="10"/>
        <v>0</v>
      </c>
      <c r="BD24" s="107">
        <f t="shared" si="10"/>
        <v>0</v>
      </c>
      <c r="BE24" s="107">
        <f t="shared" si="10"/>
        <v>0</v>
      </c>
      <c r="BF24" s="107">
        <f t="shared" si="10"/>
        <v>0</v>
      </c>
      <c r="BG24" s="107">
        <f t="shared" si="10"/>
        <v>0</v>
      </c>
      <c r="BH24" s="107">
        <f t="shared" si="10"/>
        <v>0</v>
      </c>
      <c r="BI24" s="107">
        <f t="shared" si="10"/>
        <v>0</v>
      </c>
      <c r="BJ24" s="107">
        <f t="shared" si="10"/>
        <v>0</v>
      </c>
      <c r="BK24" s="107">
        <f t="shared" si="10"/>
        <v>0</v>
      </c>
      <c r="BL24" s="107">
        <f t="shared" si="10"/>
        <v>0</v>
      </c>
      <c r="BM24" s="107">
        <f t="shared" si="10"/>
        <v>0</v>
      </c>
      <c r="BN24" s="107">
        <f t="shared" si="10"/>
        <v>0</v>
      </c>
      <c r="BO24" s="107">
        <f t="shared" si="10"/>
        <v>0</v>
      </c>
      <c r="BP24" s="107">
        <f t="shared" si="10"/>
        <v>0</v>
      </c>
      <c r="BQ24" s="107">
        <f t="shared" si="10"/>
        <v>0</v>
      </c>
      <c r="BR24" s="107">
        <f t="shared" si="10"/>
        <v>0</v>
      </c>
      <c r="BS24" s="107">
        <f t="shared" si="10"/>
        <v>0</v>
      </c>
      <c r="BT24" s="107">
        <f t="shared" si="10"/>
        <v>0</v>
      </c>
      <c r="BU24" s="107">
        <f t="shared" si="10"/>
        <v>0</v>
      </c>
      <c r="BV24" s="103"/>
      <c r="BW24" s="104"/>
      <c r="BX24" s="104"/>
      <c r="BY24" s="104"/>
      <c r="BZ24" s="104"/>
      <c r="CA24" s="185">
        <f>+H24+AB24+AC24+AD24+AE24+AF24+AG24</f>
        <v>1244683792.6199999</v>
      </c>
    </row>
    <row r="25" spans="2:83" ht="16.05" hidden="1" customHeight="1" collapsed="1" x14ac:dyDescent="0.3">
      <c r="B25" s="60" t="s">
        <v>90</v>
      </c>
      <c r="C25" s="105"/>
      <c r="D25" s="105"/>
      <c r="E25" s="63"/>
      <c r="F25" s="63"/>
      <c r="G25" s="63"/>
      <c r="H25" s="64">
        <f>+H7+H15+H17+H22</f>
        <v>746357587.1099999</v>
      </c>
      <c r="I25" s="119"/>
      <c r="J25" s="64">
        <f>+J24</f>
        <v>160450911.75999999</v>
      </c>
      <c r="K25" s="64">
        <f t="shared" ref="K25:AA25" si="11">+J25+K24</f>
        <v>160766734.47</v>
      </c>
      <c r="L25" s="64">
        <f t="shared" si="11"/>
        <v>160772691.09</v>
      </c>
      <c r="M25" s="64">
        <f t="shared" si="11"/>
        <v>160835855.96000001</v>
      </c>
      <c r="N25" s="64">
        <f t="shared" si="11"/>
        <v>178793387.11000001</v>
      </c>
      <c r="O25" s="64">
        <f t="shared" si="11"/>
        <v>192295893.36000001</v>
      </c>
      <c r="P25" s="64">
        <f t="shared" si="11"/>
        <v>217167737.02000001</v>
      </c>
      <c r="Q25" s="64">
        <f t="shared" si="11"/>
        <v>250636359.40000001</v>
      </c>
      <c r="R25" s="64">
        <f t="shared" si="11"/>
        <v>437527927.92000002</v>
      </c>
      <c r="S25" s="64">
        <f t="shared" si="11"/>
        <v>512490366.49000001</v>
      </c>
      <c r="T25" s="64">
        <f t="shared" si="11"/>
        <v>529500781.23000002</v>
      </c>
      <c r="U25" s="64">
        <f t="shared" si="11"/>
        <v>585421410.31000006</v>
      </c>
      <c r="V25" s="64">
        <f t="shared" si="11"/>
        <v>556937358.97000003</v>
      </c>
      <c r="W25" s="64">
        <f t="shared" si="11"/>
        <v>566213490.25999999</v>
      </c>
      <c r="X25" s="64">
        <f t="shared" si="11"/>
        <v>582922940.27999997</v>
      </c>
      <c r="Y25" s="64">
        <f t="shared" si="11"/>
        <v>600370482.16999996</v>
      </c>
      <c r="Z25" s="64">
        <f t="shared" si="11"/>
        <v>650961948.25</v>
      </c>
      <c r="AA25" s="64">
        <f t="shared" si="11"/>
        <v>688031381.60000002</v>
      </c>
      <c r="AB25" s="64">
        <f>+AA25+AB24</f>
        <v>746357587.11000001</v>
      </c>
      <c r="AC25" s="85">
        <f t="shared" ref="AC25:BV25" si="12">+AB25+AC24</f>
        <v>864357587.11000001</v>
      </c>
      <c r="AD25" s="85">
        <f t="shared" si="12"/>
        <v>982357587.11000001</v>
      </c>
      <c r="AE25" s="85">
        <f t="shared" si="12"/>
        <v>990357587.11000001</v>
      </c>
      <c r="AF25" s="85">
        <f t="shared" si="12"/>
        <v>1008357587.11</v>
      </c>
      <c r="AG25" s="85">
        <f t="shared" si="12"/>
        <v>1186357587.1100001</v>
      </c>
      <c r="AH25" s="107">
        <f t="shared" si="12"/>
        <v>1204357587.1100001</v>
      </c>
      <c r="AI25" s="186"/>
      <c r="AJ25" s="107">
        <f>+AH25+AJ24</f>
        <v>1204357587.1100001</v>
      </c>
      <c r="AK25" s="107">
        <f t="shared" si="12"/>
        <v>1204357587.1100001</v>
      </c>
      <c r="AL25" s="107">
        <f t="shared" si="12"/>
        <v>1204357587.1100001</v>
      </c>
      <c r="AM25" s="107">
        <f t="shared" si="12"/>
        <v>1204357587.1100001</v>
      </c>
      <c r="AN25" s="107">
        <f t="shared" si="12"/>
        <v>1204357587.1100001</v>
      </c>
      <c r="AO25" s="107">
        <f t="shared" si="12"/>
        <v>1204357587.1100001</v>
      </c>
      <c r="AP25" s="107">
        <f t="shared" si="12"/>
        <v>1204357587.1100001</v>
      </c>
      <c r="AQ25" s="107">
        <f t="shared" si="12"/>
        <v>1204357587.1100001</v>
      </c>
      <c r="AR25" s="107">
        <f t="shared" si="12"/>
        <v>1204357587.1100001</v>
      </c>
      <c r="AS25" s="107">
        <f t="shared" si="12"/>
        <v>1204357587.1100001</v>
      </c>
      <c r="AT25" s="107">
        <f t="shared" si="12"/>
        <v>1204357587.1100001</v>
      </c>
      <c r="AU25" s="107">
        <f t="shared" si="12"/>
        <v>1204357587.1100001</v>
      </c>
      <c r="AV25" s="107">
        <f t="shared" si="12"/>
        <v>1204357587.1100001</v>
      </c>
      <c r="AW25" s="107">
        <f t="shared" si="12"/>
        <v>1204357587.1100001</v>
      </c>
      <c r="AX25" s="107">
        <f t="shared" si="12"/>
        <v>1204357587.1100001</v>
      </c>
      <c r="AY25" s="107">
        <f t="shared" si="12"/>
        <v>1204357587.1100001</v>
      </c>
      <c r="AZ25" s="107">
        <f t="shared" si="12"/>
        <v>1204357587.1100001</v>
      </c>
      <c r="BA25" s="107">
        <f t="shared" si="12"/>
        <v>1204357587.1100001</v>
      </c>
      <c r="BB25" s="107">
        <f t="shared" si="12"/>
        <v>1204357587.1100001</v>
      </c>
      <c r="BC25" s="107">
        <f t="shared" si="12"/>
        <v>1204357587.1100001</v>
      </c>
      <c r="BD25" s="107">
        <f t="shared" si="12"/>
        <v>1204357587.1100001</v>
      </c>
      <c r="BE25" s="107">
        <f t="shared" si="12"/>
        <v>1204357587.1100001</v>
      </c>
      <c r="BF25" s="107">
        <f t="shared" si="12"/>
        <v>1204357587.1100001</v>
      </c>
      <c r="BG25" s="107">
        <f t="shared" si="12"/>
        <v>1204357587.1100001</v>
      </c>
      <c r="BH25" s="107">
        <f t="shared" si="12"/>
        <v>1204357587.1100001</v>
      </c>
      <c r="BI25" s="107">
        <f t="shared" si="12"/>
        <v>1204357587.1100001</v>
      </c>
      <c r="BJ25" s="107">
        <f t="shared" si="12"/>
        <v>1204357587.1100001</v>
      </c>
      <c r="BK25" s="107">
        <f t="shared" si="12"/>
        <v>1204357587.1100001</v>
      </c>
      <c r="BL25" s="107">
        <f t="shared" si="12"/>
        <v>1204357587.1100001</v>
      </c>
      <c r="BM25" s="107">
        <f t="shared" si="12"/>
        <v>1204357587.1100001</v>
      </c>
      <c r="BN25" s="107">
        <f t="shared" si="12"/>
        <v>1204357587.1100001</v>
      </c>
      <c r="BO25" s="107">
        <f t="shared" si="12"/>
        <v>1204357587.1100001</v>
      </c>
      <c r="BP25" s="107">
        <f t="shared" si="12"/>
        <v>1204357587.1100001</v>
      </c>
      <c r="BQ25" s="107">
        <f t="shared" si="12"/>
        <v>1204357587.1100001</v>
      </c>
      <c r="BR25" s="107">
        <f t="shared" si="12"/>
        <v>1204357587.1100001</v>
      </c>
      <c r="BS25" s="107">
        <f t="shared" si="12"/>
        <v>1204357587.1100001</v>
      </c>
      <c r="BT25" s="107">
        <f t="shared" si="12"/>
        <v>1204357587.1100001</v>
      </c>
      <c r="BU25" s="107">
        <f t="shared" si="12"/>
        <v>1204357587.1100001</v>
      </c>
      <c r="BV25" s="103">
        <f t="shared" si="12"/>
        <v>1204357587.1100001</v>
      </c>
      <c r="BW25" s="104"/>
      <c r="BX25" s="104"/>
      <c r="BY25" s="104"/>
      <c r="BZ25" s="104"/>
      <c r="CA25" s="185">
        <f>+CA24</f>
        <v>1244683792.6199999</v>
      </c>
    </row>
    <row r="26" spans="2:83" ht="7.2" customHeight="1" x14ac:dyDescent="0.3">
      <c r="B26" s="120"/>
      <c r="C26" s="120"/>
      <c r="D26" s="120"/>
      <c r="E26" s="120"/>
      <c r="F26" s="120"/>
      <c r="G26" s="120"/>
      <c r="H26" s="120"/>
      <c r="I26" s="121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00"/>
      <c r="AD26" s="100"/>
      <c r="AE26" s="100"/>
      <c r="AF26" s="100"/>
      <c r="AG26" s="100"/>
      <c r="AH26" s="100"/>
      <c r="AI26" s="355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CA26" s="100"/>
    </row>
    <row r="27" spans="2:83" ht="15.75" customHeight="1" x14ac:dyDescent="0.3">
      <c r="B27" s="350" t="s">
        <v>578</v>
      </c>
      <c r="C27" s="350" t="s">
        <v>577</v>
      </c>
      <c r="D27" s="351"/>
      <c r="E27" s="351"/>
      <c r="F27" s="351"/>
      <c r="G27" s="351"/>
      <c r="H27" s="350"/>
      <c r="I27" s="122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  <c r="BL27" s="124"/>
      <c r="BM27" s="124"/>
      <c r="BN27" s="124"/>
      <c r="BO27" s="124"/>
      <c r="BP27" s="124"/>
      <c r="BQ27" s="124"/>
      <c r="BR27" s="124"/>
      <c r="BS27" s="124"/>
      <c r="BT27" s="124"/>
      <c r="BU27" s="124"/>
      <c r="BV27" s="97"/>
      <c r="BW27" s="97"/>
      <c r="BX27" s="97"/>
      <c r="BY27" s="97"/>
      <c r="BZ27" s="97"/>
      <c r="CA27" s="124"/>
    </row>
    <row r="28" spans="2:83" ht="21.6" customHeight="1" thickBot="1" x14ac:dyDescent="0.35">
      <c r="B28" s="66" t="s">
        <v>91</v>
      </c>
      <c r="C28" s="66" t="s">
        <v>92</v>
      </c>
      <c r="D28" s="66" t="s">
        <v>3</v>
      </c>
      <c r="E28" s="66" t="s">
        <v>4</v>
      </c>
      <c r="F28" s="66" t="s">
        <v>93</v>
      </c>
      <c r="G28" s="66" t="s">
        <v>94</v>
      </c>
      <c r="H28" s="66" t="s">
        <v>95</v>
      </c>
      <c r="I28" s="91" t="s">
        <v>96</v>
      </c>
      <c r="J28" s="86" t="s">
        <v>7</v>
      </c>
      <c r="K28" s="86" t="s">
        <v>8</v>
      </c>
      <c r="L28" s="86" t="s">
        <v>9</v>
      </c>
      <c r="M28" s="86" t="s">
        <v>10</v>
      </c>
      <c r="N28" s="86" t="s">
        <v>11</v>
      </c>
      <c r="O28" s="86" t="s">
        <v>12</v>
      </c>
      <c r="P28" s="86" t="s">
        <v>13</v>
      </c>
      <c r="Q28" s="86" t="s">
        <v>14</v>
      </c>
      <c r="R28" s="86" t="s">
        <v>15</v>
      </c>
      <c r="S28" s="86" t="s">
        <v>16</v>
      </c>
      <c r="T28" s="86" t="s">
        <v>17</v>
      </c>
      <c r="U28" s="86" t="s">
        <v>18</v>
      </c>
      <c r="V28" s="86" t="s">
        <v>19</v>
      </c>
      <c r="W28" s="86" t="s">
        <v>20</v>
      </c>
      <c r="X28" s="86" t="s">
        <v>21</v>
      </c>
      <c r="Y28" s="86" t="s">
        <v>22</v>
      </c>
      <c r="Z28" s="86" t="s">
        <v>23</v>
      </c>
      <c r="AA28" s="86" t="s">
        <v>24</v>
      </c>
      <c r="AB28" s="86" t="s">
        <v>25</v>
      </c>
      <c r="AC28" s="87" t="s">
        <v>26</v>
      </c>
      <c r="AD28" s="87" t="s">
        <v>27</v>
      </c>
      <c r="AE28" s="87" t="s">
        <v>28</v>
      </c>
      <c r="AF28" s="87" t="s">
        <v>29</v>
      </c>
      <c r="AG28" s="87" t="s">
        <v>30</v>
      </c>
      <c r="AH28" s="87" t="s">
        <v>31</v>
      </c>
      <c r="AI28" s="87" t="s">
        <v>71</v>
      </c>
      <c r="AJ28" s="87" t="s">
        <v>32</v>
      </c>
      <c r="AK28" s="87" t="s">
        <v>33</v>
      </c>
      <c r="AL28" s="87" t="s">
        <v>34</v>
      </c>
      <c r="AM28" s="87" t="s">
        <v>35</v>
      </c>
      <c r="AN28" s="87" t="s">
        <v>36</v>
      </c>
      <c r="AO28" s="87" t="s">
        <v>37</v>
      </c>
      <c r="AP28" s="87" t="s">
        <v>38</v>
      </c>
      <c r="AQ28" s="87" t="s">
        <v>39</v>
      </c>
      <c r="AR28" s="87" t="s">
        <v>40</v>
      </c>
      <c r="AS28" s="87" t="s">
        <v>41</v>
      </c>
      <c r="AT28" s="87" t="s">
        <v>42</v>
      </c>
      <c r="AU28" s="87" t="s">
        <v>43</v>
      </c>
      <c r="AV28" s="87" t="s">
        <v>44</v>
      </c>
      <c r="AW28" s="87" t="s">
        <v>45</v>
      </c>
      <c r="AX28" s="87" t="s">
        <v>46</v>
      </c>
      <c r="AY28" s="87" t="s">
        <v>47</v>
      </c>
      <c r="AZ28" s="87" t="s">
        <v>48</v>
      </c>
      <c r="BA28" s="87" t="s">
        <v>49</v>
      </c>
      <c r="BB28" s="87" t="s">
        <v>50</v>
      </c>
      <c r="BC28" s="87" t="s">
        <v>51</v>
      </c>
      <c r="BD28" s="87" t="s">
        <v>52</v>
      </c>
      <c r="BE28" s="87" t="s">
        <v>53</v>
      </c>
      <c r="BF28" s="87" t="s">
        <v>54</v>
      </c>
      <c r="BG28" s="87" t="s">
        <v>55</v>
      </c>
      <c r="BH28" s="87" t="s">
        <v>56</v>
      </c>
      <c r="BI28" s="87" t="s">
        <v>57</v>
      </c>
      <c r="BJ28" s="87" t="s">
        <v>58</v>
      </c>
      <c r="BK28" s="87" t="s">
        <v>59</v>
      </c>
      <c r="BL28" s="87" t="s">
        <v>60</v>
      </c>
      <c r="BM28" s="87" t="s">
        <v>61</v>
      </c>
      <c r="BN28" s="87" t="s">
        <v>62</v>
      </c>
      <c r="BO28" s="87" t="s">
        <v>63</v>
      </c>
      <c r="BP28" s="87" t="s">
        <v>64</v>
      </c>
      <c r="BQ28" s="87" t="s">
        <v>65</v>
      </c>
      <c r="BR28" s="87" t="s">
        <v>66</v>
      </c>
      <c r="BS28" s="87" t="s">
        <v>67</v>
      </c>
      <c r="BT28" s="87" t="s">
        <v>68</v>
      </c>
      <c r="BU28" s="87" t="s">
        <v>69</v>
      </c>
      <c r="BV28" s="88" t="s">
        <v>70</v>
      </c>
      <c r="BW28" s="125"/>
      <c r="BX28" s="125"/>
      <c r="BY28" s="125"/>
      <c r="BZ28" s="125"/>
      <c r="CA28" s="87" t="s">
        <v>71</v>
      </c>
    </row>
    <row r="29" spans="2:83" ht="15" hidden="1" customHeight="1" thickBot="1" x14ac:dyDescent="0.35">
      <c r="B29" s="67" t="s">
        <v>97</v>
      </c>
      <c r="C29" s="126"/>
      <c r="D29" s="126"/>
      <c r="E29" s="126"/>
      <c r="F29" s="126"/>
      <c r="G29" s="126"/>
      <c r="H29" s="126"/>
      <c r="I29" s="95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7"/>
      <c r="AD29" s="127"/>
      <c r="AE29" s="127"/>
      <c r="AF29" s="127"/>
      <c r="AG29" s="127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97"/>
      <c r="BW29" s="97"/>
      <c r="BX29" s="97"/>
      <c r="BY29" s="97"/>
      <c r="BZ29" s="97"/>
      <c r="CA29" s="127"/>
    </row>
    <row r="30" spans="2:83" ht="15" hidden="1" thickBot="1" x14ac:dyDescent="0.35">
      <c r="B30" s="68" t="s">
        <v>98</v>
      </c>
      <c r="C30" s="69">
        <v>106933000</v>
      </c>
      <c r="D30" s="129">
        <f t="shared" ref="D30:D44" si="13">SUM(J30:AB30)</f>
        <v>266773709.05000004</v>
      </c>
      <c r="E30" s="129">
        <f t="shared" ref="E30:E35" si="14">+C30-D30</f>
        <v>-159840709.05000004</v>
      </c>
      <c r="F30" s="129"/>
      <c r="G30" s="129"/>
      <c r="H30" s="129">
        <f t="shared" ref="H30:H35" si="15">+D30+F30-G30</f>
        <v>266773709.05000004</v>
      </c>
      <c r="I30" s="130">
        <f t="shared" ref="I30:I44" si="16">IF(H$45=0,0,H30/H$45)</f>
        <v>0.55466588971053399</v>
      </c>
      <c r="J30" s="131">
        <v>94172341.829999998</v>
      </c>
      <c r="K30" s="131"/>
      <c r="L30" s="131"/>
      <c r="M30" s="131"/>
      <c r="N30" s="131"/>
      <c r="O30" s="131">
        <v>18880</v>
      </c>
      <c r="P30" s="131"/>
      <c r="Q30" s="131"/>
      <c r="R30" s="131">
        <v>170252679.33000001</v>
      </c>
      <c r="S30" s="131">
        <v>1178.9999999701979</v>
      </c>
      <c r="T30" s="131"/>
      <c r="U30" s="131"/>
      <c r="V30" s="131">
        <v>1.0000000298023219</v>
      </c>
      <c r="W30" s="131"/>
      <c r="X30" s="131"/>
      <c r="Y30" s="131"/>
      <c r="Z30" s="131">
        <v>-7030718.1600000001</v>
      </c>
      <c r="AA30" s="131">
        <v>9359346.0500000007</v>
      </c>
      <c r="AB30" s="131"/>
      <c r="AC30" s="132">
        <v>1625472.4</v>
      </c>
      <c r="AD30" s="132">
        <v>1285975</v>
      </c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32"/>
      <c r="BN30" s="132"/>
      <c r="BO30" s="132"/>
      <c r="BP30" s="132"/>
      <c r="BQ30" s="132"/>
      <c r="BR30" s="132"/>
      <c r="BS30" s="132"/>
      <c r="BT30" s="132"/>
      <c r="BU30" s="132"/>
      <c r="BV30" s="133">
        <f t="shared" ref="BV30:BV44" si="17">SUM(AB30:BU30)</f>
        <v>2911447.4</v>
      </c>
      <c r="BW30" s="134"/>
      <c r="BX30" s="135"/>
      <c r="BY30" s="134"/>
      <c r="BZ30" s="134"/>
      <c r="CA30" s="132">
        <f t="shared" ref="CA30:CA44" si="18">+H30+AB30+AC30+AD30+AE30+AF30+AG30</f>
        <v>269685156.45000005</v>
      </c>
      <c r="CB30" s="279"/>
      <c r="CC30" s="304"/>
    </row>
    <row r="31" spans="2:83" ht="15" hidden="1" thickBot="1" x14ac:dyDescent="0.35">
      <c r="B31" s="68" t="s">
        <v>99</v>
      </c>
      <c r="C31" s="69">
        <v>25000000</v>
      </c>
      <c r="D31" s="129">
        <f t="shared" si="13"/>
        <v>24159807.359999999</v>
      </c>
      <c r="E31" s="129">
        <f t="shared" si="14"/>
        <v>840192.6400000006</v>
      </c>
      <c r="F31" s="129">
        <v>273000</v>
      </c>
      <c r="G31" s="129"/>
      <c r="H31" s="129">
        <f t="shared" si="15"/>
        <v>24432807.359999999</v>
      </c>
      <c r="I31" s="130">
        <f t="shared" si="16"/>
        <v>5.0799776637361564E-2</v>
      </c>
      <c r="J31" s="131">
        <v>20979515.640000001</v>
      </c>
      <c r="K31" s="131">
        <v>428149.75</v>
      </c>
      <c r="L31" s="131"/>
      <c r="M31" s="131">
        <v>146320</v>
      </c>
      <c r="N31" s="131">
        <v>108350.2599999979</v>
      </c>
      <c r="O31" s="131">
        <v>53100</v>
      </c>
      <c r="P31" s="131"/>
      <c r="Q31" s="131">
        <v>278099.52000000328</v>
      </c>
      <c r="R31" s="131">
        <v>1595686.819999997</v>
      </c>
      <c r="S31" s="131">
        <v>-190307.5199999958</v>
      </c>
      <c r="T31" s="131">
        <v>310669.14999999851</v>
      </c>
      <c r="U31" s="131"/>
      <c r="V31" s="131">
        <v>273687.18999999762</v>
      </c>
      <c r="W31" s="131"/>
      <c r="X31" s="131">
        <v>416685.22000000247</v>
      </c>
      <c r="Y31" s="131">
        <v>31433.410000000149</v>
      </c>
      <c r="Z31" s="131">
        <v>-271582.08000000188</v>
      </c>
      <c r="AA31" s="131"/>
      <c r="AB31" s="131"/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2"/>
      <c r="AU31" s="132"/>
      <c r="AV31" s="132"/>
      <c r="AW31" s="132"/>
      <c r="AX31" s="132"/>
      <c r="AY31" s="132"/>
      <c r="AZ31" s="132"/>
      <c r="BA31" s="132"/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2"/>
      <c r="BM31" s="132"/>
      <c r="BN31" s="132"/>
      <c r="BO31" s="132"/>
      <c r="BP31" s="132"/>
      <c r="BQ31" s="132"/>
      <c r="BR31" s="132"/>
      <c r="BS31" s="132"/>
      <c r="BT31" s="132"/>
      <c r="BU31" s="132"/>
      <c r="BV31" s="133">
        <f t="shared" si="17"/>
        <v>0</v>
      </c>
      <c r="BW31" s="136"/>
      <c r="BX31" s="137" t="s">
        <v>100</v>
      </c>
      <c r="BY31" s="70" t="s">
        <v>101</v>
      </c>
      <c r="BZ31" s="136"/>
      <c r="CA31" s="132">
        <f t="shared" si="18"/>
        <v>24432807.359999999</v>
      </c>
      <c r="CB31" s="279"/>
      <c r="CC31" s="304"/>
    </row>
    <row r="32" spans="2:83" ht="15.75" hidden="1" customHeight="1" x14ac:dyDescent="0.3">
      <c r="B32" s="68" t="s">
        <v>102</v>
      </c>
      <c r="C32" s="69">
        <v>469173666.60000002</v>
      </c>
      <c r="D32" s="129">
        <f t="shared" si="13"/>
        <v>50777442.739999995</v>
      </c>
      <c r="E32" s="129">
        <f t="shared" si="14"/>
        <v>418396223.86000001</v>
      </c>
      <c r="F32" s="129">
        <v>3201292.23</v>
      </c>
      <c r="G32" s="129">
        <f>2409540.07+31179.21</f>
        <v>2440719.2799999998</v>
      </c>
      <c r="H32" s="129">
        <f t="shared" si="15"/>
        <v>51538015.68999999</v>
      </c>
      <c r="I32" s="130">
        <f t="shared" si="16"/>
        <v>0.10715590913515209</v>
      </c>
      <c r="J32" s="131">
        <v>9219083.5899999999</v>
      </c>
      <c r="K32" s="131"/>
      <c r="L32" s="131"/>
      <c r="M32" s="131"/>
      <c r="N32" s="131">
        <v>353433.19999999931</v>
      </c>
      <c r="O32" s="131">
        <v>93563.38000000082</v>
      </c>
      <c r="P32" s="131">
        <v>401816.3599999994</v>
      </c>
      <c r="Q32" s="131">
        <v>17765976.739999998</v>
      </c>
      <c r="R32" s="131">
        <v>2900560.479999993</v>
      </c>
      <c r="S32" s="131">
        <v>-13949178.149999989</v>
      </c>
      <c r="T32" s="131">
        <v>201871.48000000039</v>
      </c>
      <c r="U32" s="131">
        <v>1617336.1099999989</v>
      </c>
      <c r="V32" s="131">
        <v>15407306.51</v>
      </c>
      <c r="W32" s="131">
        <v>222844.90999999639</v>
      </c>
      <c r="X32" s="131">
        <v>2449569.8299999982</v>
      </c>
      <c r="Y32" s="131">
        <v>1844423.43</v>
      </c>
      <c r="Z32" s="131">
        <v>2432002.3100000019</v>
      </c>
      <c r="AA32" s="131">
        <v>4340947.83</v>
      </c>
      <c r="AB32" s="131">
        <v>5475884.7300000004</v>
      </c>
      <c r="AC32" s="132">
        <f>2233363.79-BX38</f>
        <v>9945082.070000004</v>
      </c>
      <c r="AD32" s="132">
        <v>25883233.07</v>
      </c>
      <c r="AE32" s="132">
        <v>19023862.73</v>
      </c>
      <c r="AF32" s="132">
        <v>30184986.260000002</v>
      </c>
      <c r="AG32" s="132">
        <v>22131186.5</v>
      </c>
      <c r="AH32" s="132">
        <v>27733359</v>
      </c>
      <c r="AI32" s="132"/>
      <c r="AJ32" s="132">
        <v>9994863</v>
      </c>
      <c r="AK32" s="132">
        <v>12921923</v>
      </c>
      <c r="AL32" s="132">
        <v>13067198</v>
      </c>
      <c r="AM32" s="132">
        <v>7358492</v>
      </c>
      <c r="AN32" s="132">
        <v>14828592</v>
      </c>
      <c r="AO32" s="132">
        <v>12874976</v>
      </c>
      <c r="AP32" s="132">
        <v>14527005</v>
      </c>
      <c r="AQ32" s="132">
        <v>20554545</v>
      </c>
      <c r="AR32" s="132">
        <v>12799482</v>
      </c>
      <c r="AS32" s="132">
        <v>12013658</v>
      </c>
      <c r="AT32" s="132">
        <v>13823208</v>
      </c>
      <c r="AU32" s="132">
        <v>13482346</v>
      </c>
      <c r="AV32" s="132">
        <v>12131034</v>
      </c>
      <c r="AW32" s="132">
        <v>13811771</v>
      </c>
      <c r="AX32" s="132">
        <v>18464279</v>
      </c>
      <c r="AY32" s="132">
        <v>14290217</v>
      </c>
      <c r="AZ32" s="132">
        <v>11114566</v>
      </c>
      <c r="BA32" s="132">
        <v>5972630</v>
      </c>
      <c r="BB32" s="132">
        <v>2180738</v>
      </c>
      <c r="BC32" s="132">
        <v>2907651</v>
      </c>
      <c r="BD32" s="132">
        <v>2180738</v>
      </c>
      <c r="BE32" s="132">
        <v>2696366</v>
      </c>
      <c r="BF32" s="132"/>
      <c r="BG32" s="132"/>
      <c r="BH32" s="132"/>
      <c r="BI32" s="132"/>
      <c r="BJ32" s="132"/>
      <c r="BK32" s="132"/>
      <c r="BL32" s="132"/>
      <c r="BM32" s="132"/>
      <c r="BN32" s="132"/>
      <c r="BO32" s="132"/>
      <c r="BP32" s="132"/>
      <c r="BQ32" s="132"/>
      <c r="BR32" s="132"/>
      <c r="BS32" s="132"/>
      <c r="BT32" s="132"/>
      <c r="BU32" s="132"/>
      <c r="BV32" s="133">
        <f t="shared" si="17"/>
        <v>384373872.36000001</v>
      </c>
      <c r="BW32" s="71" t="s">
        <v>575</v>
      </c>
      <c r="BX32" s="72">
        <f>+D32-33504463</f>
        <v>17272979.739999995</v>
      </c>
      <c r="BY32" s="72">
        <f>+D33</f>
        <v>91014534.539999992</v>
      </c>
      <c r="BZ32" s="138">
        <f t="shared" ref="BZ32:BZ38" si="19">+BX32+BY32</f>
        <v>108287514.27999999</v>
      </c>
      <c r="CA32" s="132">
        <f t="shared" si="18"/>
        <v>164182251.05000001</v>
      </c>
      <c r="CB32" s="279"/>
      <c r="CC32" s="304"/>
      <c r="CD32" s="305"/>
      <c r="CE32" s="279"/>
    </row>
    <row r="33" spans="2:83" ht="12.75" hidden="1" customHeight="1" x14ac:dyDescent="0.3">
      <c r="B33" s="68" t="s">
        <v>103</v>
      </c>
      <c r="C33" s="69">
        <v>1517166651</v>
      </c>
      <c r="D33" s="129">
        <f t="shared" si="13"/>
        <v>91014534.539999992</v>
      </c>
      <c r="E33" s="129">
        <f t="shared" si="14"/>
        <v>1426152116.46</v>
      </c>
      <c r="F33" s="129">
        <v>4044252</v>
      </c>
      <c r="G33" s="129">
        <v>9079360.6500000004</v>
      </c>
      <c r="H33" s="129">
        <f t="shared" si="15"/>
        <v>85979425.889999986</v>
      </c>
      <c r="I33" s="130">
        <f t="shared" si="16"/>
        <v>0.17876519739484334</v>
      </c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>
        <v>991237.18</v>
      </c>
      <c r="W33" s="131">
        <v>2132656.4500000002</v>
      </c>
      <c r="X33" s="131">
        <v>6421897.4300000006</v>
      </c>
      <c r="Y33" s="131">
        <v>23710126.210000001</v>
      </c>
      <c r="Z33" s="131">
        <v>17366039.260000002</v>
      </c>
      <c r="AA33" s="131">
        <v>17043612.300000001</v>
      </c>
      <c r="AB33" s="131">
        <v>23348965.710000001</v>
      </c>
      <c r="AC33" s="132">
        <f>41619451.81-BY38</f>
        <v>109677448.06</v>
      </c>
      <c r="AD33" s="132">
        <v>50615127.549999997</v>
      </c>
      <c r="AE33" s="132">
        <v>58724023.07</v>
      </c>
      <c r="AF33" s="132">
        <v>41829222.009999998</v>
      </c>
      <c r="AG33" s="132">
        <v>47927697</v>
      </c>
      <c r="AH33" s="132">
        <v>31472733</v>
      </c>
      <c r="AI33" s="132"/>
      <c r="AJ33" s="132">
        <v>68830255</v>
      </c>
      <c r="AK33" s="132">
        <v>106468694</v>
      </c>
      <c r="AL33" s="132">
        <v>56788924</v>
      </c>
      <c r="AM33" s="132">
        <v>54650319</v>
      </c>
      <c r="AN33" s="132">
        <v>61097688</v>
      </c>
      <c r="AO33" s="132">
        <v>49492842</v>
      </c>
      <c r="AP33" s="132">
        <v>21864246</v>
      </c>
      <c r="AQ33" s="132">
        <v>52347351</v>
      </c>
      <c r="AR33" s="132">
        <v>49990554</v>
      </c>
      <c r="AS33" s="132">
        <v>42428902</v>
      </c>
      <c r="AT33" s="132">
        <v>74826189</v>
      </c>
      <c r="AU33" s="132">
        <v>38421250</v>
      </c>
      <c r="AV33" s="132">
        <v>34420885</v>
      </c>
      <c r="AW33" s="132">
        <v>101104251</v>
      </c>
      <c r="AX33" s="132">
        <v>53636125</v>
      </c>
      <c r="AY33" s="132">
        <v>38678782</v>
      </c>
      <c r="AZ33" s="132">
        <v>45511341</v>
      </c>
      <c r="BA33" s="132">
        <v>33619379</v>
      </c>
      <c r="BB33" s="132">
        <v>37777967</v>
      </c>
      <c r="BC33" s="132">
        <v>48464991</v>
      </c>
      <c r="BD33" s="132">
        <v>24826641</v>
      </c>
      <c r="BE33" s="132">
        <v>24008933</v>
      </c>
      <c r="BF33" s="132">
        <v>21480215</v>
      </c>
      <c r="BG33" s="132">
        <v>6678810</v>
      </c>
      <c r="BH33" s="132">
        <v>1109066</v>
      </c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3">
        <f t="shared" si="17"/>
        <v>1512119816.4000001</v>
      </c>
      <c r="BW33" s="71" t="s">
        <v>104</v>
      </c>
      <c r="BX33" s="72">
        <f>+G32</f>
        <v>2440719.2799999998</v>
      </c>
      <c r="BY33" s="72">
        <f>+G33</f>
        <v>9079360.6500000004</v>
      </c>
      <c r="BZ33" s="138">
        <f t="shared" si="19"/>
        <v>11520079.93</v>
      </c>
      <c r="CA33" s="132">
        <f t="shared" si="18"/>
        <v>418101909.28999996</v>
      </c>
      <c r="CB33" s="279"/>
      <c r="CC33" s="304"/>
      <c r="CD33" s="305"/>
      <c r="CE33" s="279"/>
    </row>
    <row r="34" spans="2:83" ht="12.75" hidden="1" customHeight="1" x14ac:dyDescent="0.3">
      <c r="B34" s="68" t="s">
        <v>105</v>
      </c>
      <c r="C34" s="69">
        <v>234388157.47679999</v>
      </c>
      <c r="D34" s="129">
        <f t="shared" si="13"/>
        <v>40247270.369999997</v>
      </c>
      <c r="E34" s="129">
        <f t="shared" si="14"/>
        <v>194140887.10679999</v>
      </c>
      <c r="F34" s="129"/>
      <c r="G34" s="129">
        <v>86313.8</v>
      </c>
      <c r="H34" s="129">
        <f t="shared" si="15"/>
        <v>40160956.57</v>
      </c>
      <c r="I34" s="130">
        <f t="shared" si="16"/>
        <v>8.3501154543494036E-2</v>
      </c>
      <c r="J34" s="131">
        <v>1644662.03</v>
      </c>
      <c r="K34" s="131">
        <v>1770000</v>
      </c>
      <c r="L34" s="131"/>
      <c r="M34" s="131">
        <v>885000</v>
      </c>
      <c r="N34" s="131">
        <v>2455806.54</v>
      </c>
      <c r="O34" s="131">
        <v>2360000</v>
      </c>
      <c r="P34" s="131">
        <v>2417857.34</v>
      </c>
      <c r="Q34" s="131">
        <v>2664755.189999999</v>
      </c>
      <c r="R34" s="131">
        <v>4720000.0000000019</v>
      </c>
      <c r="S34" s="131"/>
      <c r="T34" s="131">
        <v>2360000</v>
      </c>
      <c r="U34" s="131">
        <v>2783225.2599999979</v>
      </c>
      <c r="V34" s="131">
        <v>1770000</v>
      </c>
      <c r="W34" s="131">
        <v>2360000</v>
      </c>
      <c r="X34" s="131">
        <v>2862845.2100000009</v>
      </c>
      <c r="Y34" s="131">
        <v>2175899.8199999998</v>
      </c>
      <c r="Z34" s="131">
        <v>2400227.4799999972</v>
      </c>
      <c r="AA34" s="131">
        <v>2341111.15</v>
      </c>
      <c r="AB34" s="131">
        <v>2275880.35</v>
      </c>
      <c r="AC34" s="132">
        <v>2360000</v>
      </c>
      <c r="AD34" s="132">
        <v>2360000</v>
      </c>
      <c r="AE34" s="132">
        <v>2360000</v>
      </c>
      <c r="AF34" s="132">
        <v>2360000</v>
      </c>
      <c r="AG34" s="132">
        <v>2360000</v>
      </c>
      <c r="AH34" s="132">
        <v>5283637</v>
      </c>
      <c r="AI34" s="132"/>
      <c r="AJ34" s="132">
        <v>7882512</v>
      </c>
      <c r="AK34" s="132">
        <v>11939062</v>
      </c>
      <c r="AL34" s="132">
        <v>6985612</v>
      </c>
      <c r="AM34" s="132">
        <v>6200881</v>
      </c>
      <c r="AN34" s="132">
        <v>7592628</v>
      </c>
      <c r="AO34" s="132">
        <v>6236782</v>
      </c>
      <c r="AP34" s="132">
        <v>3639125</v>
      </c>
      <c r="AQ34" s="132">
        <v>7290190</v>
      </c>
      <c r="AR34" s="132">
        <v>6279004</v>
      </c>
      <c r="AS34" s="132">
        <v>5444256</v>
      </c>
      <c r="AT34" s="132">
        <v>8864940</v>
      </c>
      <c r="AU34" s="132">
        <v>5190360</v>
      </c>
      <c r="AV34" s="132">
        <v>4655192</v>
      </c>
      <c r="AW34" s="132">
        <v>11491602</v>
      </c>
      <c r="AX34" s="132">
        <v>7210040</v>
      </c>
      <c r="AY34" s="132">
        <v>5296900</v>
      </c>
      <c r="AZ34" s="132">
        <v>5662591</v>
      </c>
      <c r="BA34" s="132">
        <v>3959201</v>
      </c>
      <c r="BB34" s="132">
        <v>3995870</v>
      </c>
      <c r="BC34" s="132">
        <v>5137264</v>
      </c>
      <c r="BD34" s="132">
        <v>2700738</v>
      </c>
      <c r="BE34" s="132">
        <v>2670530</v>
      </c>
      <c r="BF34" s="132">
        <v>2148021</v>
      </c>
      <c r="BG34" s="132">
        <v>667881</v>
      </c>
      <c r="BH34" s="132">
        <v>110907</v>
      </c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2"/>
      <c r="BT34" s="132"/>
      <c r="BU34" s="132"/>
      <c r="BV34" s="133">
        <f t="shared" si="17"/>
        <v>158611606.34999999</v>
      </c>
      <c r="BW34" s="71" t="s">
        <v>106</v>
      </c>
      <c r="BX34" s="72">
        <f>+BX32-BX33</f>
        <v>14832260.459999995</v>
      </c>
      <c r="BY34" s="72">
        <f>+BY32-BY33</f>
        <v>81935173.889999986</v>
      </c>
      <c r="BZ34" s="138">
        <f t="shared" si="19"/>
        <v>96767434.349999979</v>
      </c>
      <c r="CA34" s="132">
        <f t="shared" si="18"/>
        <v>54236836.920000002</v>
      </c>
      <c r="CB34" s="279"/>
      <c r="CC34" s="304"/>
      <c r="CD34" s="305"/>
      <c r="CE34" s="279"/>
    </row>
    <row r="35" spans="2:83" ht="12.75" hidden="1" customHeight="1" collapsed="1" x14ac:dyDescent="0.3">
      <c r="B35" s="68" t="s">
        <v>107</v>
      </c>
      <c r="C35" s="69">
        <v>47672168</v>
      </c>
      <c r="D35" s="129">
        <f t="shared" si="13"/>
        <v>8294845.7400000002</v>
      </c>
      <c r="E35" s="129">
        <f t="shared" si="14"/>
        <v>39377322.259999998</v>
      </c>
      <c r="F35" s="129"/>
      <c r="G35" s="129">
        <f>SUM(G36:G41)</f>
        <v>779549.45000000007</v>
      </c>
      <c r="H35" s="129">
        <f t="shared" si="15"/>
        <v>7515296.29</v>
      </c>
      <c r="I35" s="130">
        <f t="shared" si="16"/>
        <v>1.5625522162492588E-2</v>
      </c>
      <c r="J35" s="131"/>
      <c r="K35" s="131"/>
      <c r="L35" s="131"/>
      <c r="M35" s="131"/>
      <c r="N35" s="131"/>
      <c r="O35" s="131"/>
      <c r="P35" s="131">
        <v>147108.54</v>
      </c>
      <c r="Q35" s="131">
        <v>92700.799999999988</v>
      </c>
      <c r="R35" s="131">
        <v>96854.399999999994</v>
      </c>
      <c r="S35" s="131">
        <v>90246.400000000023</v>
      </c>
      <c r="T35" s="131">
        <v>92700.799999999988</v>
      </c>
      <c r="U35" s="131">
        <v>332688.71000000002</v>
      </c>
      <c r="V35" s="131">
        <v>92700.79999999993</v>
      </c>
      <c r="W35" s="131">
        <v>102858.24000000001</v>
      </c>
      <c r="X35" s="131">
        <v>3036943.49</v>
      </c>
      <c r="Y35" s="131">
        <v>2022959.08</v>
      </c>
      <c r="Z35" s="131">
        <v>729930.47000000067</v>
      </c>
      <c r="AA35" s="131">
        <v>731956.76</v>
      </c>
      <c r="AB35" s="131">
        <f>SUM(AB36:AB42)</f>
        <v>725197.25</v>
      </c>
      <c r="AC35" s="132">
        <f>1600000</f>
        <v>1600000</v>
      </c>
      <c r="AD35" s="132">
        <v>1600000</v>
      </c>
      <c r="AE35" s="132">
        <v>1600000</v>
      </c>
      <c r="AF35" s="132">
        <v>1600000</v>
      </c>
      <c r="AG35" s="132">
        <v>1600000</v>
      </c>
      <c r="AH35" s="132">
        <v>755081</v>
      </c>
      <c r="AI35" s="132"/>
      <c r="AJ35" s="132">
        <v>755081</v>
      </c>
      <c r="AK35" s="132">
        <v>755081</v>
      </c>
      <c r="AL35" s="132">
        <v>755081</v>
      </c>
      <c r="AM35" s="132">
        <v>755081</v>
      </c>
      <c r="AN35" s="132">
        <v>755081</v>
      </c>
      <c r="AO35" s="132">
        <v>755081</v>
      </c>
      <c r="AP35" s="132">
        <v>755081</v>
      </c>
      <c r="AQ35" s="132">
        <v>755081</v>
      </c>
      <c r="AR35" s="132">
        <v>755081</v>
      </c>
      <c r="AS35" s="132">
        <v>755081</v>
      </c>
      <c r="AT35" s="132">
        <v>755081</v>
      </c>
      <c r="AU35" s="132">
        <v>755081</v>
      </c>
      <c r="AV35" s="132">
        <v>755081</v>
      </c>
      <c r="AW35" s="132">
        <v>755081</v>
      </c>
      <c r="AX35" s="132">
        <v>755081</v>
      </c>
      <c r="AY35" s="132">
        <v>755081</v>
      </c>
      <c r="AZ35" s="132">
        <v>755081</v>
      </c>
      <c r="BA35" s="132">
        <v>755081</v>
      </c>
      <c r="BB35" s="132">
        <v>755081</v>
      </c>
      <c r="BC35" s="132">
        <v>755081</v>
      </c>
      <c r="BD35" s="132">
        <v>755081</v>
      </c>
      <c r="BE35" s="132">
        <v>755081</v>
      </c>
      <c r="BF35" s="132">
        <v>755081</v>
      </c>
      <c r="BG35" s="132">
        <v>755081</v>
      </c>
      <c r="BH35" s="132">
        <v>755081</v>
      </c>
      <c r="BI35" s="132">
        <v>755081</v>
      </c>
      <c r="BJ35" s="132">
        <v>755081</v>
      </c>
      <c r="BK35" s="132">
        <v>755081</v>
      </c>
      <c r="BL35" s="132">
        <v>755081</v>
      </c>
      <c r="BM35" s="132">
        <v>755081</v>
      </c>
      <c r="BN35" s="132">
        <v>50045</v>
      </c>
      <c r="BO35" s="132"/>
      <c r="BP35" s="132"/>
      <c r="BQ35" s="132"/>
      <c r="BR35" s="132"/>
      <c r="BS35" s="132"/>
      <c r="BT35" s="132"/>
      <c r="BU35" s="132"/>
      <c r="BV35" s="133">
        <f t="shared" si="17"/>
        <v>32182753.25</v>
      </c>
      <c r="BW35" s="71" t="s">
        <v>108</v>
      </c>
      <c r="BX35" s="72">
        <f>+F32</f>
        <v>3201292.23</v>
      </c>
      <c r="BY35" s="72">
        <f>+F33</f>
        <v>4044252</v>
      </c>
      <c r="BZ35" s="138">
        <f t="shared" si="19"/>
        <v>7245544.2300000004</v>
      </c>
      <c r="CA35" s="132">
        <f t="shared" si="18"/>
        <v>16240493.539999999</v>
      </c>
      <c r="CB35" s="279"/>
      <c r="CC35" s="304"/>
      <c r="CD35" s="305"/>
      <c r="CE35" s="279"/>
    </row>
    <row r="36" spans="2:83" ht="12.75" hidden="1" customHeight="1" outlineLevel="1" x14ac:dyDescent="0.3">
      <c r="B36" s="73" t="s">
        <v>109</v>
      </c>
      <c r="C36" s="139"/>
      <c r="D36" s="140">
        <f t="shared" si="13"/>
        <v>312900</v>
      </c>
      <c r="E36" s="139"/>
      <c r="F36" s="139"/>
      <c r="G36" s="140">
        <v>52150</v>
      </c>
      <c r="H36" s="140">
        <v>260750</v>
      </c>
      <c r="I36" s="130">
        <f t="shared" si="16"/>
        <v>5.421416197910066E-4</v>
      </c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>
        <v>104300</v>
      </c>
      <c r="Y36" s="141">
        <v>52150</v>
      </c>
      <c r="Z36" s="141">
        <v>52150</v>
      </c>
      <c r="AA36" s="141">
        <v>52150</v>
      </c>
      <c r="AB36" s="141">
        <v>52150</v>
      </c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3">
        <f t="shared" si="17"/>
        <v>52150</v>
      </c>
      <c r="BW36" s="74" t="s">
        <v>106</v>
      </c>
      <c r="BX36" s="75">
        <f>+BX34+BX35</f>
        <v>18033552.689999994</v>
      </c>
      <c r="BY36" s="75">
        <f>+BY34+BY35</f>
        <v>85979425.889999986</v>
      </c>
      <c r="BZ36" s="144">
        <f t="shared" si="19"/>
        <v>104012978.57999998</v>
      </c>
      <c r="CA36" s="142">
        <f t="shared" si="18"/>
        <v>312900</v>
      </c>
      <c r="CE36" s="279">
        <f t="shared" ref="CE36:CE42" si="20">+CC36-CD36</f>
        <v>0</v>
      </c>
    </row>
    <row r="37" spans="2:83" ht="15.75" hidden="1" customHeight="1" outlineLevel="1" x14ac:dyDescent="0.3">
      <c r="B37" s="76" t="s">
        <v>110</v>
      </c>
      <c r="C37" s="145"/>
      <c r="D37" s="146">
        <f t="shared" si="13"/>
        <v>624071.78</v>
      </c>
      <c r="E37" s="145"/>
      <c r="F37" s="145"/>
      <c r="G37" s="146">
        <v>46500</v>
      </c>
      <c r="H37" s="146">
        <v>569970.93000000005</v>
      </c>
      <c r="I37" s="130">
        <f t="shared" si="16"/>
        <v>1.1850621791907438E-3</v>
      </c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>
        <v>191502.06</v>
      </c>
      <c r="V37" s="145"/>
      <c r="W37" s="145">
        <v>8080.64</v>
      </c>
      <c r="X37" s="145">
        <v>207605.89</v>
      </c>
      <c r="Y37" s="145">
        <v>54227.11</v>
      </c>
      <c r="Z37" s="145">
        <v>54302.87</v>
      </c>
      <c r="AA37" s="145">
        <v>54252.36</v>
      </c>
      <c r="AB37" s="145">
        <v>54100.85</v>
      </c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3">
        <f t="shared" si="17"/>
        <v>54100.85</v>
      </c>
      <c r="BW37" s="77" t="s">
        <v>111</v>
      </c>
      <c r="BX37" s="78">
        <v>25745270.969999999</v>
      </c>
      <c r="BY37" s="78">
        <v>154037422.13999999</v>
      </c>
      <c r="BZ37" s="148">
        <f t="shared" si="19"/>
        <v>179782693.10999998</v>
      </c>
      <c r="CA37" s="147">
        <f t="shared" si="18"/>
        <v>624071.78</v>
      </c>
      <c r="CE37" s="279">
        <f t="shared" si="20"/>
        <v>0</v>
      </c>
    </row>
    <row r="38" spans="2:83" ht="12.75" hidden="1" customHeight="1" outlineLevel="1" x14ac:dyDescent="0.3">
      <c r="B38" s="73" t="s">
        <v>112</v>
      </c>
      <c r="C38" s="139"/>
      <c r="D38" s="140">
        <f t="shared" si="13"/>
        <v>3790569</v>
      </c>
      <c r="E38" s="139"/>
      <c r="F38" s="139"/>
      <c r="G38" s="140">
        <v>427200</v>
      </c>
      <c r="H38" s="140">
        <v>3363369</v>
      </c>
      <c r="I38" s="130">
        <f t="shared" si="16"/>
        <v>6.9929906715814304E-3</v>
      </c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>
        <v>52569</v>
      </c>
      <c r="V38" s="141"/>
      <c r="W38" s="141"/>
      <c r="X38" s="141">
        <v>2029200</v>
      </c>
      <c r="Y38" s="141">
        <v>427200</v>
      </c>
      <c r="Z38" s="141">
        <v>427200</v>
      </c>
      <c r="AA38" s="141">
        <v>427200</v>
      </c>
      <c r="AB38" s="141">
        <v>427200</v>
      </c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3">
        <f t="shared" si="17"/>
        <v>427200</v>
      </c>
      <c r="BW38" s="74" t="s">
        <v>576</v>
      </c>
      <c r="BX38" s="75">
        <f>+BX36-BX37</f>
        <v>-7711718.2800000049</v>
      </c>
      <c r="BY38" s="75">
        <f>+BY36-BY37</f>
        <v>-68057996.25</v>
      </c>
      <c r="BZ38" s="144">
        <f t="shared" si="19"/>
        <v>-75769714.530000001</v>
      </c>
      <c r="CA38" s="142">
        <f t="shared" si="18"/>
        <v>3790569</v>
      </c>
      <c r="CE38" s="279">
        <f t="shared" si="20"/>
        <v>0</v>
      </c>
    </row>
    <row r="39" spans="2:83" ht="12.75" hidden="1" customHeight="1" outlineLevel="1" x14ac:dyDescent="0.3">
      <c r="B39" s="76" t="s">
        <v>113</v>
      </c>
      <c r="C39" s="145"/>
      <c r="D39" s="146">
        <f t="shared" si="13"/>
        <v>1113920</v>
      </c>
      <c r="E39" s="145"/>
      <c r="F39" s="145"/>
      <c r="G39" s="146">
        <v>90246.399999999994</v>
      </c>
      <c r="H39" s="146">
        <v>1023673.6</v>
      </c>
      <c r="I39" s="130">
        <f t="shared" si="16"/>
        <v>2.1283837531784889E-3</v>
      </c>
      <c r="J39" s="145"/>
      <c r="K39" s="145"/>
      <c r="L39" s="145"/>
      <c r="M39" s="145"/>
      <c r="N39" s="145"/>
      <c r="O39" s="145"/>
      <c r="P39" s="145">
        <v>92323.199999999997</v>
      </c>
      <c r="Q39" s="145">
        <v>92700.800000000003</v>
      </c>
      <c r="R39" s="145">
        <v>96854.399999999994</v>
      </c>
      <c r="S39" s="145">
        <v>90246.399999999994</v>
      </c>
      <c r="T39" s="145">
        <v>92700.800000000003</v>
      </c>
      <c r="U39" s="145">
        <v>94400</v>
      </c>
      <c r="V39" s="145">
        <v>92700.800000000003</v>
      </c>
      <c r="W39" s="145">
        <v>94777.600000000006</v>
      </c>
      <c r="X39" s="145">
        <v>85337.600000000006</v>
      </c>
      <c r="Y39" s="145"/>
      <c r="Z39" s="145">
        <v>94777.600000000006</v>
      </c>
      <c r="AA39" s="145">
        <v>96854.399999999994</v>
      </c>
      <c r="AB39" s="145">
        <v>90246.399999999994</v>
      </c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7"/>
      <c r="BD39" s="147"/>
      <c r="BE39" s="147"/>
      <c r="BF39" s="147"/>
      <c r="BG39" s="147"/>
      <c r="BH39" s="14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7"/>
      <c r="BV39" s="143">
        <f t="shared" si="17"/>
        <v>90246.399999999994</v>
      </c>
      <c r="BW39" s="149"/>
      <c r="BX39" s="148"/>
      <c r="BY39" s="148"/>
      <c r="BZ39" s="148"/>
      <c r="CA39" s="147">
        <f t="shared" si="18"/>
        <v>1113920</v>
      </c>
      <c r="CE39" s="279">
        <f t="shared" si="20"/>
        <v>0</v>
      </c>
    </row>
    <row r="40" spans="2:83" ht="15.75" hidden="1" customHeight="1" outlineLevel="1" x14ac:dyDescent="0.3">
      <c r="B40" s="73" t="s">
        <v>114</v>
      </c>
      <c r="C40" s="139"/>
      <c r="D40" s="140">
        <f t="shared" si="13"/>
        <v>1387881.97</v>
      </c>
      <c r="E40" s="139"/>
      <c r="F40" s="139"/>
      <c r="G40" s="140">
        <v>61953.05</v>
      </c>
      <c r="H40" s="140">
        <v>1387881.97</v>
      </c>
      <c r="I40" s="130">
        <f t="shared" si="16"/>
        <v>2.8856321353577497E-3</v>
      </c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>
        <v>1387881.97</v>
      </c>
      <c r="Z40" s="141"/>
      <c r="AA40" s="141"/>
      <c r="AB40" s="141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2"/>
      <c r="BA40" s="142"/>
      <c r="BB40" s="142"/>
      <c r="BC40" s="142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3">
        <f t="shared" si="17"/>
        <v>0</v>
      </c>
      <c r="BW40" s="150"/>
      <c r="BX40" s="151"/>
      <c r="BY40" s="151"/>
      <c r="BZ40" s="151"/>
      <c r="CA40" s="142">
        <f t="shared" si="18"/>
        <v>1387881.97</v>
      </c>
      <c r="CE40" s="279">
        <f t="shared" si="20"/>
        <v>0</v>
      </c>
    </row>
    <row r="41" spans="2:83" ht="12.75" hidden="1" customHeight="1" outlineLevel="1" x14ac:dyDescent="0.3">
      <c r="B41" s="76" t="s">
        <v>115</v>
      </c>
      <c r="C41" s="145"/>
      <c r="D41" s="146">
        <f t="shared" si="13"/>
        <v>1065502.99</v>
      </c>
      <c r="E41" s="145"/>
      <c r="F41" s="145"/>
      <c r="G41" s="146">
        <v>101500</v>
      </c>
      <c r="H41" s="146">
        <v>964002.99</v>
      </c>
      <c r="I41" s="130">
        <f t="shared" si="16"/>
        <v>2.0043188589912693E-3</v>
      </c>
      <c r="J41" s="145"/>
      <c r="K41" s="145"/>
      <c r="L41" s="145"/>
      <c r="M41" s="145"/>
      <c r="N41" s="145"/>
      <c r="O41" s="145"/>
      <c r="P41" s="145">
        <v>54785.34</v>
      </c>
      <c r="Q41" s="145"/>
      <c r="R41" s="145"/>
      <c r="S41" s="145"/>
      <c r="T41" s="145"/>
      <c r="U41" s="145">
        <v>-5782.35</v>
      </c>
      <c r="V41" s="145"/>
      <c r="W41" s="145"/>
      <c r="X41" s="145">
        <v>610500</v>
      </c>
      <c r="Y41" s="145">
        <v>101500</v>
      </c>
      <c r="Z41" s="145">
        <v>101500</v>
      </c>
      <c r="AA41" s="145">
        <v>101500</v>
      </c>
      <c r="AB41" s="145">
        <v>101500</v>
      </c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147"/>
      <c r="BC41" s="147"/>
      <c r="BD41" s="147"/>
      <c r="BE41" s="147"/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3">
        <f t="shared" si="17"/>
        <v>101500</v>
      </c>
      <c r="BW41" s="152"/>
      <c r="BX41" s="152"/>
      <c r="BY41" s="153"/>
      <c r="BZ41" s="153"/>
      <c r="CA41" s="147">
        <f t="shared" si="18"/>
        <v>1065502.99</v>
      </c>
      <c r="CE41" s="279">
        <f t="shared" si="20"/>
        <v>0</v>
      </c>
    </row>
    <row r="42" spans="2:83" ht="12.75" hidden="1" customHeight="1" outlineLevel="1" x14ac:dyDescent="0.3">
      <c r="B42" s="73" t="s">
        <v>116</v>
      </c>
      <c r="C42" s="154"/>
      <c r="D42" s="140">
        <f t="shared" si="13"/>
        <v>0</v>
      </c>
      <c r="E42" s="154"/>
      <c r="F42" s="139"/>
      <c r="G42" s="140"/>
      <c r="H42" s="140"/>
      <c r="I42" s="130">
        <f t="shared" si="16"/>
        <v>0</v>
      </c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2"/>
      <c r="BA42" s="142"/>
      <c r="BB42" s="142"/>
      <c r="BC42" s="142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3">
        <f t="shared" si="17"/>
        <v>0</v>
      </c>
      <c r="BW42" s="150"/>
      <c r="BX42" s="151"/>
      <c r="BY42" s="151"/>
      <c r="BZ42" s="151"/>
      <c r="CA42" s="142">
        <f t="shared" si="18"/>
        <v>0</v>
      </c>
      <c r="CE42" s="279">
        <f t="shared" si="20"/>
        <v>0</v>
      </c>
    </row>
    <row r="43" spans="2:83" ht="12.75" hidden="1" customHeight="1" x14ac:dyDescent="0.3">
      <c r="B43" s="68" t="s">
        <v>117</v>
      </c>
      <c r="C43" s="69">
        <v>39726806.350000001</v>
      </c>
      <c r="D43" s="129">
        <f t="shared" si="13"/>
        <v>0</v>
      </c>
      <c r="E43" s="129">
        <f>+C43-D43</f>
        <v>39726806.350000001</v>
      </c>
      <c r="F43" s="129"/>
      <c r="G43" s="129"/>
      <c r="H43" s="129">
        <f>+D43+F43-G43</f>
        <v>0</v>
      </c>
      <c r="I43" s="130">
        <f t="shared" si="16"/>
        <v>0</v>
      </c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  <c r="AA43" s="156"/>
      <c r="AB43" s="156"/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32"/>
      <c r="BG43" s="132"/>
      <c r="BH43" s="132"/>
      <c r="BI43" s="132"/>
      <c r="BJ43" s="132"/>
      <c r="BK43" s="132"/>
      <c r="BL43" s="132"/>
      <c r="BM43" s="132"/>
      <c r="BN43" s="132"/>
      <c r="BO43" s="132"/>
      <c r="BP43" s="132"/>
      <c r="BQ43" s="132"/>
      <c r="BR43" s="132"/>
      <c r="BS43" s="132"/>
      <c r="BT43" s="132"/>
      <c r="BU43" s="132"/>
      <c r="BV43" s="133">
        <f t="shared" si="17"/>
        <v>0</v>
      </c>
      <c r="BW43" s="157"/>
      <c r="BX43" s="134"/>
      <c r="BY43" s="134"/>
      <c r="BZ43" s="134"/>
      <c r="CA43" s="132">
        <f t="shared" si="18"/>
        <v>0</v>
      </c>
    </row>
    <row r="44" spans="2:83" ht="12.75" hidden="1" customHeight="1" thickBot="1" x14ac:dyDescent="0.35">
      <c r="B44" s="68" t="s">
        <v>118</v>
      </c>
      <c r="C44" s="69">
        <v>19264643</v>
      </c>
      <c r="D44" s="129">
        <f t="shared" si="13"/>
        <v>5069643</v>
      </c>
      <c r="E44" s="129">
        <f>+C44-D44</f>
        <v>14195000</v>
      </c>
      <c r="F44" s="129"/>
      <c r="G44" s="129">
        <v>506964.3</v>
      </c>
      <c r="H44" s="129">
        <f>+D44+F44-G44</f>
        <v>4562678.7</v>
      </c>
      <c r="I44" s="130">
        <f t="shared" si="16"/>
        <v>9.4865504161224332E-3</v>
      </c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>
        <v>1013928.6</v>
      </c>
      <c r="U44" s="156">
        <v>506964.29999999987</v>
      </c>
      <c r="V44" s="156">
        <v>506964.3</v>
      </c>
      <c r="W44" s="156">
        <v>506964.3</v>
      </c>
      <c r="X44" s="156">
        <v>506964.29999999981</v>
      </c>
      <c r="Y44" s="156">
        <v>506964.30000000028</v>
      </c>
      <c r="Z44" s="156">
        <v>506964.29999999981</v>
      </c>
      <c r="AA44" s="156">
        <v>506964.3</v>
      </c>
      <c r="AB44" s="156">
        <v>506964.3</v>
      </c>
      <c r="AC44" s="132">
        <v>506964.3</v>
      </c>
      <c r="AD44" s="132">
        <v>506964.3</v>
      </c>
      <c r="AE44" s="132">
        <v>506964.3</v>
      </c>
      <c r="AF44" s="132">
        <v>506964.3</v>
      </c>
      <c r="AG44" s="132">
        <v>506964.3</v>
      </c>
      <c r="AH44" s="132">
        <v>506964.3</v>
      </c>
      <c r="AI44" s="132"/>
      <c r="AJ44" s="132">
        <v>506964.3</v>
      </c>
      <c r="AK44" s="132">
        <v>506964.3</v>
      </c>
      <c r="AL44" s="132">
        <v>506964.3</v>
      </c>
      <c r="AM44" s="132">
        <v>506964.3</v>
      </c>
      <c r="AN44" s="132">
        <v>506964.3</v>
      </c>
      <c r="AO44" s="132">
        <v>506964.3</v>
      </c>
      <c r="AP44" s="132">
        <v>506964.3</v>
      </c>
      <c r="AQ44" s="132">
        <v>506964.3</v>
      </c>
      <c r="AR44" s="132">
        <v>506964.3</v>
      </c>
      <c r="AS44" s="132">
        <v>506964.3</v>
      </c>
      <c r="AT44" s="132">
        <v>506964.3</v>
      </c>
      <c r="AU44" s="132">
        <v>506964.3</v>
      </c>
      <c r="AV44" s="132">
        <v>506964.3</v>
      </c>
      <c r="AW44" s="132">
        <v>506964.3</v>
      </c>
      <c r="AX44" s="132">
        <v>506964.3</v>
      </c>
      <c r="AY44" s="132">
        <v>506964.3</v>
      </c>
      <c r="AZ44" s="132">
        <v>506964.3</v>
      </c>
      <c r="BA44" s="132">
        <v>506964.3</v>
      </c>
      <c r="BB44" s="132">
        <v>506964.3</v>
      </c>
      <c r="BC44" s="132">
        <v>506964.3</v>
      </c>
      <c r="BD44" s="132">
        <v>506964.3</v>
      </c>
      <c r="BE44" s="132">
        <v>506964.3</v>
      </c>
      <c r="BF44" s="132"/>
      <c r="BG44" s="132"/>
      <c r="BH44" s="132"/>
      <c r="BI44" s="132"/>
      <c r="BJ44" s="132"/>
      <c r="BK44" s="132"/>
      <c r="BL44" s="132"/>
      <c r="BM44" s="132"/>
      <c r="BN44" s="132"/>
      <c r="BO44" s="132"/>
      <c r="BP44" s="132"/>
      <c r="BQ44" s="132"/>
      <c r="BR44" s="132"/>
      <c r="BS44" s="132"/>
      <c r="BT44" s="132"/>
      <c r="BU44" s="132"/>
      <c r="BV44" s="133">
        <f t="shared" si="17"/>
        <v>14701964.700000007</v>
      </c>
      <c r="BW44" s="157"/>
      <c r="BX44" s="134"/>
      <c r="BY44" s="134"/>
      <c r="BZ44" s="134"/>
      <c r="CA44" s="132">
        <f t="shared" si="18"/>
        <v>7604464.4999999991</v>
      </c>
    </row>
    <row r="45" spans="2:83" s="163" customFormat="1" ht="12.75" customHeight="1" thickBot="1" x14ac:dyDescent="0.35">
      <c r="B45" s="158" t="s">
        <v>579</v>
      </c>
      <c r="C45" s="159">
        <f>+C30+C31+C32+C33+C34+C35+C43+C44</f>
        <v>2459325092.4267998</v>
      </c>
      <c r="D45" s="159">
        <f>+D30+D31+D32+D33+D34+D35+D43+D44</f>
        <v>486337252.80000007</v>
      </c>
      <c r="E45" s="159">
        <f>+E30+E31+E32+E33+E34+E35+E43+E44</f>
        <v>1972987839.6268001</v>
      </c>
      <c r="F45" s="209">
        <v>7518544.2300000004</v>
      </c>
      <c r="G45" s="209">
        <v>12086111.42</v>
      </c>
      <c r="H45" s="159">
        <f>+H30+H31+H32+H33+H34+H35+H43+H44</f>
        <v>480962889.55000001</v>
      </c>
      <c r="I45" s="160">
        <f>IF(H$75=0,0,H45/H$75)</f>
        <v>0.68418825549610252</v>
      </c>
      <c r="J45" s="161">
        <f t="shared" ref="J45:BV45" si="21">+J30+J31+J32+J33+J34+J35+J43+J44</f>
        <v>126015603.09</v>
      </c>
      <c r="K45" s="161">
        <f t="shared" si="21"/>
        <v>2198149.75</v>
      </c>
      <c r="L45" s="161">
        <f t="shared" si="21"/>
        <v>0</v>
      </c>
      <c r="M45" s="161">
        <f t="shared" si="21"/>
        <v>1031320</v>
      </c>
      <c r="N45" s="161">
        <f t="shared" si="21"/>
        <v>2917589.9999999972</v>
      </c>
      <c r="O45" s="161">
        <f t="shared" si="21"/>
        <v>2525543.3800000008</v>
      </c>
      <c r="P45" s="161">
        <f t="shared" si="21"/>
        <v>2966782.2399999993</v>
      </c>
      <c r="Q45" s="161">
        <f t="shared" si="21"/>
        <v>20801532.25</v>
      </c>
      <c r="R45" s="161">
        <f t="shared" si="21"/>
        <v>179565781.03</v>
      </c>
      <c r="S45" s="161">
        <f t="shared" si="21"/>
        <v>-14048060.270000014</v>
      </c>
      <c r="T45" s="161">
        <f t="shared" si="21"/>
        <v>3979170.0299999989</v>
      </c>
      <c r="U45" s="161">
        <f t="shared" si="21"/>
        <v>5240214.3799999971</v>
      </c>
      <c r="V45" s="161">
        <f t="shared" si="21"/>
        <v>19041896.980000027</v>
      </c>
      <c r="W45" s="161">
        <f t="shared" si="21"/>
        <v>5325323.8999999966</v>
      </c>
      <c r="X45" s="161">
        <f t="shared" si="21"/>
        <v>15694905.48</v>
      </c>
      <c r="Y45" s="161">
        <f t="shared" si="21"/>
        <v>30291806.250000004</v>
      </c>
      <c r="Z45" s="161">
        <f t="shared" si="21"/>
        <v>16132863.579999998</v>
      </c>
      <c r="AA45" s="161">
        <f t="shared" si="21"/>
        <v>34323938.389999993</v>
      </c>
      <c r="AB45" s="161">
        <f t="shared" si="21"/>
        <v>32332892.340000004</v>
      </c>
      <c r="AC45" s="162">
        <f t="shared" si="21"/>
        <v>125714966.83</v>
      </c>
      <c r="AD45" s="162">
        <f t="shared" si="21"/>
        <v>82251299.920000002</v>
      </c>
      <c r="AE45" s="162">
        <f t="shared" si="21"/>
        <v>82214850.099999994</v>
      </c>
      <c r="AF45" s="162">
        <f t="shared" si="21"/>
        <v>76481172.569999993</v>
      </c>
      <c r="AG45" s="162">
        <f t="shared" si="21"/>
        <v>74525847.799999997</v>
      </c>
      <c r="AH45" s="162">
        <f t="shared" si="21"/>
        <v>65751774.299999997</v>
      </c>
      <c r="AI45" s="162">
        <f t="shared" ref="AI45" si="22">SUM(AB45:AH45)+H45</f>
        <v>1020235693.4100001</v>
      </c>
      <c r="AJ45" s="162">
        <f t="shared" si="21"/>
        <v>87969675.299999997</v>
      </c>
      <c r="AK45" s="162">
        <f t="shared" si="21"/>
        <v>132591724.3</v>
      </c>
      <c r="AL45" s="162">
        <f t="shared" si="21"/>
        <v>78103779.299999997</v>
      </c>
      <c r="AM45" s="162">
        <f t="shared" si="21"/>
        <v>69471737.299999997</v>
      </c>
      <c r="AN45" s="162">
        <f t="shared" si="21"/>
        <v>84780953.299999997</v>
      </c>
      <c r="AO45" s="162">
        <f t="shared" si="21"/>
        <v>69866645.299999997</v>
      </c>
      <c r="AP45" s="162">
        <f t="shared" si="21"/>
        <v>41292421.299999997</v>
      </c>
      <c r="AQ45" s="162">
        <f t="shared" si="21"/>
        <v>81454131.299999997</v>
      </c>
      <c r="AR45" s="162">
        <f t="shared" si="21"/>
        <v>70331085.299999997</v>
      </c>
      <c r="AS45" s="162">
        <f t="shared" si="21"/>
        <v>61148861.299999997</v>
      </c>
      <c r="AT45" s="162">
        <f t="shared" si="21"/>
        <v>98776382.299999997</v>
      </c>
      <c r="AU45" s="162">
        <f t="shared" si="21"/>
        <v>58356001.299999997</v>
      </c>
      <c r="AV45" s="162">
        <f t="shared" si="21"/>
        <v>52469156.299999997</v>
      </c>
      <c r="AW45" s="162">
        <f t="shared" si="21"/>
        <v>127669669.3</v>
      </c>
      <c r="AX45" s="162">
        <f t="shared" si="21"/>
        <v>80572489.299999997</v>
      </c>
      <c r="AY45" s="162">
        <f t="shared" si="21"/>
        <v>59527944.299999997</v>
      </c>
      <c r="AZ45" s="162">
        <f t="shared" si="21"/>
        <v>63550543.299999997</v>
      </c>
      <c r="BA45" s="162">
        <f t="shared" si="21"/>
        <v>44813255.299999997</v>
      </c>
      <c r="BB45" s="162">
        <f t="shared" si="21"/>
        <v>45216620.299999997</v>
      </c>
      <c r="BC45" s="162">
        <f t="shared" si="21"/>
        <v>57771951.299999997</v>
      </c>
      <c r="BD45" s="162">
        <f t="shared" si="21"/>
        <v>30970162.300000001</v>
      </c>
      <c r="BE45" s="162">
        <f t="shared" si="21"/>
        <v>30637874.300000001</v>
      </c>
      <c r="BF45" s="162">
        <f t="shared" si="21"/>
        <v>24383317</v>
      </c>
      <c r="BG45" s="162">
        <f t="shared" si="21"/>
        <v>8101772</v>
      </c>
      <c r="BH45" s="162">
        <f t="shared" si="21"/>
        <v>1975054</v>
      </c>
      <c r="BI45" s="162">
        <f t="shared" si="21"/>
        <v>755081</v>
      </c>
      <c r="BJ45" s="162">
        <f t="shared" si="21"/>
        <v>755081</v>
      </c>
      <c r="BK45" s="162">
        <f t="shared" si="21"/>
        <v>755081</v>
      </c>
      <c r="BL45" s="162">
        <f t="shared" si="21"/>
        <v>755081</v>
      </c>
      <c r="BM45" s="162">
        <f t="shared" si="21"/>
        <v>755081</v>
      </c>
      <c r="BN45" s="162">
        <f t="shared" si="21"/>
        <v>50045</v>
      </c>
      <c r="BO45" s="162">
        <f t="shared" si="21"/>
        <v>0</v>
      </c>
      <c r="BP45" s="162">
        <f t="shared" si="21"/>
        <v>0</v>
      </c>
      <c r="BQ45" s="162">
        <f t="shared" si="21"/>
        <v>0</v>
      </c>
      <c r="BR45" s="162">
        <f t="shared" si="21"/>
        <v>0</v>
      </c>
      <c r="BS45" s="162">
        <f t="shared" si="21"/>
        <v>0</v>
      </c>
      <c r="BT45" s="162">
        <f t="shared" si="21"/>
        <v>0</v>
      </c>
      <c r="BU45" s="162">
        <f t="shared" si="21"/>
        <v>0</v>
      </c>
      <c r="BV45" s="162">
        <f t="shared" si="21"/>
        <v>2104901460.46</v>
      </c>
      <c r="BW45" s="162"/>
      <c r="BX45" s="162"/>
      <c r="BY45" s="162"/>
      <c r="BZ45" s="162"/>
      <c r="CA45" s="162">
        <f t="shared" ref="CA45" si="23">+CA30+CA31+CA32+CA33+CA34+CA35+CA43+CA44</f>
        <v>954483919.11000001</v>
      </c>
    </row>
    <row r="46" spans="2:83" ht="12.75" hidden="1" customHeight="1" thickBot="1" x14ac:dyDescent="0.35">
      <c r="B46" s="67" t="s">
        <v>120</v>
      </c>
      <c r="C46" s="97"/>
      <c r="D46" s="97"/>
      <c r="E46" s="97"/>
      <c r="F46" s="97"/>
      <c r="G46" s="97"/>
      <c r="H46" s="97"/>
      <c r="I46" s="95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  <c r="BS46" s="128"/>
      <c r="BT46" s="128"/>
      <c r="BU46" s="128"/>
      <c r="BV46" s="97"/>
      <c r="BW46" s="97"/>
      <c r="BX46" s="97"/>
      <c r="BY46" s="97"/>
      <c r="BZ46" s="97"/>
      <c r="CA46" s="128"/>
    </row>
    <row r="47" spans="2:83" ht="12.75" hidden="1" customHeight="1" collapsed="1" x14ac:dyDescent="0.3">
      <c r="B47" s="68" t="s">
        <v>121</v>
      </c>
      <c r="C47" s="69">
        <v>187510525.97999999</v>
      </c>
      <c r="D47" s="129">
        <f t="shared" ref="D47:D67" si="24">SUM(J47:AB47)</f>
        <v>26835782.789999999</v>
      </c>
      <c r="E47" s="129">
        <f>+C47-D47</f>
        <v>160674743.19</v>
      </c>
      <c r="F47" s="129"/>
      <c r="G47" s="129"/>
      <c r="H47" s="129">
        <f>+D47+F47-G47</f>
        <v>26835782.789999999</v>
      </c>
      <c r="I47" s="130">
        <f t="shared" ref="I47:I65" si="25">IF(H$68=0,0,H47/H$68)</f>
        <v>0.14905682876118645</v>
      </c>
      <c r="J47" s="156">
        <v>161175.97</v>
      </c>
      <c r="K47" s="156"/>
      <c r="L47" s="156"/>
      <c r="M47" s="156"/>
      <c r="N47" s="156">
        <v>1770000</v>
      </c>
      <c r="O47" s="156">
        <v>1770000</v>
      </c>
      <c r="P47" s="156">
        <v>1770000</v>
      </c>
      <c r="Q47" s="156">
        <v>1770000</v>
      </c>
      <c r="R47" s="156">
        <v>1770000.0000000009</v>
      </c>
      <c r="S47" s="156">
        <v>1769999.9999999979</v>
      </c>
      <c r="T47" s="156">
        <v>1770000</v>
      </c>
      <c r="U47" s="156">
        <v>1770000</v>
      </c>
      <c r="V47" s="156">
        <v>1770000.0000000021</v>
      </c>
      <c r="W47" s="156">
        <v>1769999.9999999979</v>
      </c>
      <c r="X47" s="156">
        <v>1770000</v>
      </c>
      <c r="Y47" s="156">
        <v>1770000</v>
      </c>
      <c r="Z47" s="156">
        <v>1833058.02</v>
      </c>
      <c r="AA47" s="156">
        <v>1818545.2</v>
      </c>
      <c r="AB47" s="156">
        <v>1783003.6</v>
      </c>
      <c r="AC47" s="132">
        <v>1764604</v>
      </c>
      <c r="AD47" s="132">
        <v>1764604</v>
      </c>
      <c r="AE47" s="132">
        <v>3529209</v>
      </c>
      <c r="AF47" s="132">
        <v>3529209</v>
      </c>
      <c r="AG47" s="132">
        <v>3529209</v>
      </c>
      <c r="AH47" s="132">
        <v>4736487</v>
      </c>
      <c r="AI47" s="132"/>
      <c r="AJ47" s="132">
        <v>6306009</v>
      </c>
      <c r="AK47" s="132">
        <v>9551249</v>
      </c>
      <c r="AL47" s="132">
        <v>5588490</v>
      </c>
      <c r="AM47" s="132">
        <v>4960705</v>
      </c>
      <c r="AN47" s="132">
        <v>6074102</v>
      </c>
      <c r="AO47" s="132">
        <v>4989425</v>
      </c>
      <c r="AP47" s="132">
        <v>2911300</v>
      </c>
      <c r="AQ47" s="132">
        <v>5832152</v>
      </c>
      <c r="AR47" s="132">
        <v>5023203</v>
      </c>
      <c r="AS47" s="132">
        <v>4355405</v>
      </c>
      <c r="AT47" s="132">
        <v>7091952</v>
      </c>
      <c r="AU47" s="132">
        <v>4152288</v>
      </c>
      <c r="AV47" s="132">
        <v>3724154</v>
      </c>
      <c r="AW47" s="132">
        <v>9193282</v>
      </c>
      <c r="AX47" s="132">
        <v>5768032</v>
      </c>
      <c r="AY47" s="132">
        <v>4237520</v>
      </c>
      <c r="AZ47" s="132">
        <v>4530073</v>
      </c>
      <c r="BA47" s="132">
        <v>3167361</v>
      </c>
      <c r="BB47" s="132">
        <v>3196696</v>
      </c>
      <c r="BC47" s="132">
        <v>4109811</v>
      </c>
      <c r="BD47" s="132">
        <v>2160590</v>
      </c>
      <c r="BE47" s="132">
        <v>2136424</v>
      </c>
      <c r="BF47" s="132">
        <v>1718417</v>
      </c>
      <c r="BG47" s="132">
        <v>577471</v>
      </c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3">
        <f t="shared" ref="BV47:BV65" si="26">SUM(AB47:BU47)</f>
        <v>131992436.59999999</v>
      </c>
      <c r="BW47" s="134"/>
      <c r="BX47" s="134"/>
      <c r="BY47" s="134"/>
      <c r="BZ47" s="134"/>
      <c r="CA47" s="132">
        <f t="shared" ref="CA47:CA67" si="27">+H47+AB47+AC47+AD47+AE47+AF47+AG47</f>
        <v>42735621.390000001</v>
      </c>
    </row>
    <row r="48" spans="2:83" ht="12.75" hidden="1" customHeight="1" collapsed="1" x14ac:dyDescent="0.3">
      <c r="B48" s="68" t="s">
        <v>122</v>
      </c>
      <c r="C48" s="69">
        <v>327746152.39999998</v>
      </c>
      <c r="D48" s="129">
        <f t="shared" si="24"/>
        <v>117248320.22999999</v>
      </c>
      <c r="E48" s="129">
        <f>+C48-D48</f>
        <v>210497832.16999999</v>
      </c>
      <c r="F48" s="129"/>
      <c r="G48" s="129">
        <v>4213466.9000000004</v>
      </c>
      <c r="H48" s="129">
        <f>+D48+F48-G48</f>
        <v>113034853.32999998</v>
      </c>
      <c r="I48" s="130">
        <f t="shared" si="25"/>
        <v>0.62784144992908686</v>
      </c>
      <c r="J48" s="156">
        <v>559355.54</v>
      </c>
      <c r="K48" s="156"/>
      <c r="L48" s="156">
        <v>645765.21</v>
      </c>
      <c r="M48" s="156">
        <v>595001.35</v>
      </c>
      <c r="N48" s="156">
        <v>1549872.47</v>
      </c>
      <c r="O48" s="156">
        <v>1423527.61</v>
      </c>
      <c r="P48" s="156">
        <v>1733909.84</v>
      </c>
      <c r="Q48" s="156">
        <v>7890097.2199999988</v>
      </c>
      <c r="R48" s="156">
        <v>16166710.02</v>
      </c>
      <c r="S48" s="156">
        <v>11886550.289999999</v>
      </c>
      <c r="T48" s="156">
        <v>12659941.220000001</v>
      </c>
      <c r="U48" s="156">
        <v>15204797.51</v>
      </c>
      <c r="V48" s="156">
        <v>5614678.3399999999</v>
      </c>
      <c r="W48" s="156">
        <v>5336475.74</v>
      </c>
      <c r="X48" s="156">
        <v>3557189.47</v>
      </c>
      <c r="Y48" s="156">
        <v>9528645.1699999999</v>
      </c>
      <c r="Z48" s="156">
        <v>5807715.1600000001</v>
      </c>
      <c r="AA48" s="156">
        <v>7569317.1100000003</v>
      </c>
      <c r="AB48" s="156">
        <f>SUM(AB49:AB52)</f>
        <v>9518770.959999999</v>
      </c>
      <c r="AC48" s="132">
        <v>10573141</v>
      </c>
      <c r="AD48" s="132">
        <v>10573141</v>
      </c>
      <c r="AE48" s="132">
        <v>10573141</v>
      </c>
      <c r="AF48" s="132">
        <v>10573141</v>
      </c>
      <c r="AG48" s="132">
        <v>10573141</v>
      </c>
      <c r="AH48" s="132">
        <v>10573141</v>
      </c>
      <c r="AI48" s="132"/>
      <c r="AJ48" s="132">
        <v>10573141</v>
      </c>
      <c r="AK48" s="132">
        <v>10573141</v>
      </c>
      <c r="AL48" s="132">
        <v>10573141</v>
      </c>
      <c r="AM48" s="132">
        <v>10573141</v>
      </c>
      <c r="AN48" s="132">
        <v>10573141</v>
      </c>
      <c r="AO48" s="132">
        <v>10573141</v>
      </c>
      <c r="AP48" s="132">
        <v>10573141</v>
      </c>
      <c r="AQ48" s="132">
        <v>10573141</v>
      </c>
      <c r="AR48" s="132">
        <v>10573141</v>
      </c>
      <c r="AS48" s="132">
        <v>10573141</v>
      </c>
      <c r="AT48" s="132">
        <v>10573141</v>
      </c>
      <c r="AU48" s="132">
        <v>10573141</v>
      </c>
      <c r="AV48" s="132">
        <v>10573141</v>
      </c>
      <c r="AW48" s="132">
        <v>8809848</v>
      </c>
      <c r="AX48" s="132">
        <v>7634319</v>
      </c>
      <c r="AY48" s="132">
        <v>1756676</v>
      </c>
      <c r="AZ48" s="132">
        <v>1756676</v>
      </c>
      <c r="BA48" s="132">
        <v>1756676</v>
      </c>
      <c r="BB48" s="132">
        <v>1756676</v>
      </c>
      <c r="BC48" s="132">
        <v>1756676</v>
      </c>
      <c r="BD48" s="132">
        <v>1756676</v>
      </c>
      <c r="BE48" s="132">
        <v>1756676</v>
      </c>
      <c r="BF48" s="132">
        <v>1756676</v>
      </c>
      <c r="BG48" s="132">
        <v>1756676</v>
      </c>
      <c r="BH48" s="132">
        <v>1756676</v>
      </c>
      <c r="BI48" s="132">
        <v>1756676</v>
      </c>
      <c r="BJ48" s="132">
        <v>1756676</v>
      </c>
      <c r="BK48" s="132">
        <v>1756676</v>
      </c>
      <c r="BL48" s="132">
        <v>1756676</v>
      </c>
      <c r="BM48" s="132">
        <v>1756676</v>
      </c>
      <c r="BN48" s="132">
        <v>1756676</v>
      </c>
      <c r="BO48" s="132">
        <v>1713916</v>
      </c>
      <c r="BP48" s="132">
        <v>1390836</v>
      </c>
      <c r="BQ48" s="132">
        <v>1390836</v>
      </c>
      <c r="BR48" s="132">
        <v>1390836</v>
      </c>
      <c r="BS48" s="132">
        <v>1145486</v>
      </c>
      <c r="BT48" s="132">
        <v>1123688</v>
      </c>
      <c r="BU48" s="132">
        <v>1123688</v>
      </c>
      <c r="BV48" s="133">
        <f t="shared" si="26"/>
        <v>264238718.96000001</v>
      </c>
      <c r="BW48" s="134"/>
      <c r="BX48" s="134"/>
      <c r="BY48" s="134"/>
      <c r="BZ48" s="134"/>
      <c r="CA48" s="132">
        <f t="shared" si="27"/>
        <v>175419329.28999996</v>
      </c>
    </row>
    <row r="49" spans="2:79" ht="15.75" hidden="1" customHeight="1" outlineLevel="1" x14ac:dyDescent="0.3">
      <c r="B49" s="76" t="s">
        <v>123</v>
      </c>
      <c r="C49" s="164"/>
      <c r="D49" s="146">
        <f t="shared" si="24"/>
        <v>86405574.980000004</v>
      </c>
      <c r="E49" s="165"/>
      <c r="F49" s="210"/>
      <c r="G49" s="146">
        <v>4011222.37</v>
      </c>
      <c r="H49" s="146">
        <v>79374170.459999993</v>
      </c>
      <c r="I49" s="130">
        <f t="shared" si="25"/>
        <v>0.4408763562777907</v>
      </c>
      <c r="J49" s="145"/>
      <c r="K49" s="145"/>
      <c r="L49" s="145"/>
      <c r="M49" s="145"/>
      <c r="N49" s="145"/>
      <c r="O49" s="145"/>
      <c r="P49" s="145"/>
      <c r="Q49" s="145">
        <v>6290641.6899999985</v>
      </c>
      <c r="R49" s="145">
        <v>14391880.130000001</v>
      </c>
      <c r="S49" s="145">
        <v>9799035.4900000002</v>
      </c>
      <c r="T49" s="145">
        <v>10674167.390000001</v>
      </c>
      <c r="U49" s="145">
        <v>12853059.84</v>
      </c>
      <c r="V49" s="145">
        <v>3427746.4</v>
      </c>
      <c r="W49" s="145">
        <v>3349220.38</v>
      </c>
      <c r="X49" s="145">
        <v>1786576.18</v>
      </c>
      <c r="Y49" s="145">
        <v>7825189.7300000004</v>
      </c>
      <c r="Z49" s="145">
        <v>3904479.06</v>
      </c>
      <c r="AA49" s="145">
        <v>5072174.17</v>
      </c>
      <c r="AB49" s="145">
        <v>7031404.5199999996</v>
      </c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  <c r="BI49" s="147"/>
      <c r="BJ49" s="147"/>
      <c r="BK49" s="147"/>
      <c r="BL49" s="147"/>
      <c r="BM49" s="147"/>
      <c r="BN49" s="147"/>
      <c r="BO49" s="147"/>
      <c r="BP49" s="147"/>
      <c r="BQ49" s="147"/>
      <c r="BR49" s="147"/>
      <c r="BS49" s="147"/>
      <c r="BT49" s="147"/>
      <c r="BU49" s="147"/>
      <c r="BV49" s="143">
        <f t="shared" si="26"/>
        <v>7031404.5199999996</v>
      </c>
      <c r="BW49" s="153"/>
      <c r="BX49" s="153"/>
      <c r="BY49" s="153"/>
      <c r="BZ49" s="153"/>
      <c r="CA49" s="147">
        <f t="shared" si="27"/>
        <v>86405574.979999989</v>
      </c>
    </row>
    <row r="50" spans="2:79" ht="12.75" hidden="1" customHeight="1" outlineLevel="1" x14ac:dyDescent="0.3">
      <c r="B50" s="73" t="s">
        <v>124</v>
      </c>
      <c r="C50" s="154"/>
      <c r="D50" s="140">
        <f t="shared" si="24"/>
        <v>11539314.4</v>
      </c>
      <c r="E50" s="166"/>
      <c r="F50" s="211"/>
      <c r="G50" s="140"/>
      <c r="H50" s="140">
        <v>10782128.460000001</v>
      </c>
      <c r="I50" s="130">
        <f t="shared" si="25"/>
        <v>5.9888317330628361E-2</v>
      </c>
      <c r="J50" s="141"/>
      <c r="K50" s="141"/>
      <c r="L50" s="141"/>
      <c r="M50" s="141"/>
      <c r="N50" s="141">
        <v>767000</v>
      </c>
      <c r="O50" s="141">
        <v>767000</v>
      </c>
      <c r="P50" s="141">
        <v>767000</v>
      </c>
      <c r="Q50" s="141">
        <v>767000</v>
      </c>
      <c r="R50" s="141">
        <v>767000</v>
      </c>
      <c r="S50" s="141">
        <v>767000</v>
      </c>
      <c r="T50" s="141">
        <v>767000</v>
      </c>
      <c r="U50" s="141">
        <v>767000</v>
      </c>
      <c r="V50" s="141">
        <v>767000</v>
      </c>
      <c r="W50" s="141">
        <v>767000</v>
      </c>
      <c r="X50" s="141">
        <v>767000</v>
      </c>
      <c r="Y50" s="141">
        <v>783295.8</v>
      </c>
      <c r="Z50" s="141">
        <v>770819.66</v>
      </c>
      <c r="AA50" s="141">
        <v>791013</v>
      </c>
      <c r="AB50" s="141">
        <v>757185.94</v>
      </c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3">
        <f t="shared" si="26"/>
        <v>757185.94</v>
      </c>
      <c r="BW50" s="151"/>
      <c r="BX50" s="151"/>
      <c r="BY50" s="151"/>
      <c r="BZ50" s="151"/>
      <c r="CA50" s="142">
        <f t="shared" si="27"/>
        <v>11539314.4</v>
      </c>
    </row>
    <row r="51" spans="2:79" ht="12.75" hidden="1" customHeight="1" outlineLevel="1" x14ac:dyDescent="0.3">
      <c r="B51" s="76" t="s">
        <v>125</v>
      </c>
      <c r="C51" s="164"/>
      <c r="D51" s="146">
        <f t="shared" si="24"/>
        <v>17858976.429999996</v>
      </c>
      <c r="E51" s="165"/>
      <c r="F51" s="210"/>
      <c r="G51" s="146"/>
      <c r="H51" s="146">
        <v>16260806.859999999</v>
      </c>
      <c r="I51" s="130">
        <f t="shared" si="25"/>
        <v>9.0319120653821111E-2</v>
      </c>
      <c r="J51" s="145">
        <v>559355.54</v>
      </c>
      <c r="K51" s="145"/>
      <c r="L51" s="145">
        <v>645765.21</v>
      </c>
      <c r="M51" s="145">
        <v>595001.35</v>
      </c>
      <c r="N51" s="145">
        <v>677173.63</v>
      </c>
      <c r="O51" s="145">
        <v>620535.91</v>
      </c>
      <c r="P51" s="145">
        <v>825710.8</v>
      </c>
      <c r="Q51" s="145">
        <v>832455.53</v>
      </c>
      <c r="R51" s="145">
        <v>941719.5</v>
      </c>
      <c r="S51" s="145">
        <v>1237302.53</v>
      </c>
      <c r="T51" s="145">
        <v>1132936.8999999999</v>
      </c>
      <c r="U51" s="145">
        <v>1276808.69</v>
      </c>
      <c r="V51" s="145">
        <v>1311409.7</v>
      </c>
      <c r="W51" s="145">
        <v>1120340.27</v>
      </c>
      <c r="X51" s="145">
        <v>924788.11</v>
      </c>
      <c r="Y51" s="145">
        <v>905264.29</v>
      </c>
      <c r="Z51" s="145">
        <v>1047302.9</v>
      </c>
      <c r="AA51" s="145">
        <v>1606936</v>
      </c>
      <c r="AB51" s="145">
        <v>1598169.57</v>
      </c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47"/>
      <c r="BP51" s="147"/>
      <c r="BQ51" s="147"/>
      <c r="BR51" s="147"/>
      <c r="BS51" s="147"/>
      <c r="BT51" s="147"/>
      <c r="BU51" s="147"/>
      <c r="BV51" s="143">
        <f t="shared" si="26"/>
        <v>1598169.57</v>
      </c>
      <c r="BW51" s="153"/>
      <c r="BX51" s="153"/>
      <c r="BY51" s="153"/>
      <c r="BZ51" s="153"/>
      <c r="CA51" s="147">
        <f t="shared" si="27"/>
        <v>17858976.43</v>
      </c>
    </row>
    <row r="52" spans="2:79" ht="15" hidden="1" customHeight="1" outlineLevel="1" x14ac:dyDescent="0.3">
      <c r="B52" s="73" t="s">
        <v>126</v>
      </c>
      <c r="C52" s="154"/>
      <c r="D52" s="140">
        <f t="shared" si="24"/>
        <v>1444454.42</v>
      </c>
      <c r="E52" s="166"/>
      <c r="F52" s="211"/>
      <c r="G52" s="140">
        <v>202244.53</v>
      </c>
      <c r="H52" s="140">
        <v>1312443.49</v>
      </c>
      <c r="I52" s="130">
        <f t="shared" si="25"/>
        <v>7.2898437909760683E-3</v>
      </c>
      <c r="J52" s="141"/>
      <c r="K52" s="141"/>
      <c r="L52" s="141"/>
      <c r="M52" s="141"/>
      <c r="N52" s="141">
        <v>105698.84</v>
      </c>
      <c r="O52" s="141">
        <v>35991.699999999997</v>
      </c>
      <c r="P52" s="141">
        <v>141199.04000000001</v>
      </c>
      <c r="Q52" s="141"/>
      <c r="R52" s="141">
        <v>66110.39</v>
      </c>
      <c r="S52" s="141">
        <v>83212.27</v>
      </c>
      <c r="T52" s="141">
        <v>85836.930000000008</v>
      </c>
      <c r="U52" s="141">
        <v>307928.98</v>
      </c>
      <c r="V52" s="141">
        <v>108522.24000000001</v>
      </c>
      <c r="W52" s="141">
        <v>99915.090000000011</v>
      </c>
      <c r="X52" s="141">
        <v>78825.180000000008</v>
      </c>
      <c r="Y52" s="141">
        <v>14895.35</v>
      </c>
      <c r="Z52" s="141">
        <v>85113.540000000008</v>
      </c>
      <c r="AA52" s="141">
        <v>99193.94</v>
      </c>
      <c r="AB52" s="141">
        <v>132010.93</v>
      </c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3">
        <f t="shared" si="26"/>
        <v>132010.93</v>
      </c>
      <c r="BW52" s="151"/>
      <c r="BX52" s="151"/>
      <c r="BY52" s="151"/>
      <c r="BZ52" s="151"/>
      <c r="CA52" s="142">
        <f t="shared" si="27"/>
        <v>1444454.42</v>
      </c>
    </row>
    <row r="53" spans="2:79" ht="12.75" hidden="1" customHeight="1" collapsed="1" x14ac:dyDescent="0.3">
      <c r="B53" s="68" t="s">
        <v>127</v>
      </c>
      <c r="C53" s="69">
        <v>81458723.221791998</v>
      </c>
      <c r="D53" s="129">
        <f t="shared" si="24"/>
        <v>6982961.1199999992</v>
      </c>
      <c r="E53" s="129">
        <f>+C53-D53</f>
        <v>74475762.101791993</v>
      </c>
      <c r="F53" s="129"/>
      <c r="G53" s="129">
        <v>293802.58</v>
      </c>
      <c r="H53" s="129">
        <f>+D53+F53-G53</f>
        <v>6689158.5399999991</v>
      </c>
      <c r="I53" s="130">
        <f t="shared" si="25"/>
        <v>3.7154301287039442E-2</v>
      </c>
      <c r="J53" s="156">
        <v>373034.61</v>
      </c>
      <c r="K53" s="156">
        <v>43563.47</v>
      </c>
      <c r="L53" s="156">
        <v>36723.129999999997</v>
      </c>
      <c r="M53" s="156">
        <v>37034.89</v>
      </c>
      <c r="N53" s="156">
        <v>51335.37</v>
      </c>
      <c r="O53" s="156">
        <v>125971.53</v>
      </c>
      <c r="P53" s="156">
        <v>205035.01</v>
      </c>
      <c r="Q53" s="156">
        <v>193826.15</v>
      </c>
      <c r="R53" s="156">
        <v>228402.98</v>
      </c>
      <c r="S53" s="156">
        <v>824240.61999999988</v>
      </c>
      <c r="T53" s="156">
        <v>143558.04999999999</v>
      </c>
      <c r="U53" s="156">
        <v>111569.53</v>
      </c>
      <c r="V53" s="156">
        <v>187644.31</v>
      </c>
      <c r="W53" s="156">
        <v>111272.46</v>
      </c>
      <c r="X53" s="156">
        <v>1296067.68</v>
      </c>
      <c r="Y53" s="156">
        <v>578468.84</v>
      </c>
      <c r="Z53" s="156">
        <v>596002.47</v>
      </c>
      <c r="AA53" s="156">
        <v>770633.69</v>
      </c>
      <c r="AB53" s="156">
        <f>SUM(AB54:AB55)</f>
        <v>1068576.33</v>
      </c>
      <c r="AC53" s="132">
        <v>800000</v>
      </c>
      <c r="AD53" s="132">
        <v>800000</v>
      </c>
      <c r="AE53" s="132">
        <v>800000</v>
      </c>
      <c r="AF53" s="132">
        <v>800000</v>
      </c>
      <c r="AG53" s="132">
        <v>800000</v>
      </c>
      <c r="AH53" s="132">
        <v>1358750</v>
      </c>
      <c r="AI53" s="132"/>
      <c r="AJ53" s="132">
        <v>1358750</v>
      </c>
      <c r="AK53" s="132">
        <v>1358750</v>
      </c>
      <c r="AL53" s="132">
        <v>1358750</v>
      </c>
      <c r="AM53" s="132">
        <v>1358750</v>
      </c>
      <c r="AN53" s="132">
        <v>1358750</v>
      </c>
      <c r="AO53" s="132">
        <v>1358750</v>
      </c>
      <c r="AP53" s="132">
        <v>1358750</v>
      </c>
      <c r="AQ53" s="132">
        <v>1358750</v>
      </c>
      <c r="AR53" s="132">
        <v>1358750</v>
      </c>
      <c r="AS53" s="132">
        <v>1358750</v>
      </c>
      <c r="AT53" s="132">
        <v>1358750</v>
      </c>
      <c r="AU53" s="132">
        <v>1358750</v>
      </c>
      <c r="AV53" s="132">
        <v>1358750</v>
      </c>
      <c r="AW53" s="132">
        <v>1358750</v>
      </c>
      <c r="AX53" s="132">
        <v>1358750</v>
      </c>
      <c r="AY53" s="132">
        <v>1358750</v>
      </c>
      <c r="AZ53" s="132">
        <v>1358750</v>
      </c>
      <c r="BA53" s="132">
        <v>1358750</v>
      </c>
      <c r="BB53" s="132">
        <v>1358750</v>
      </c>
      <c r="BC53" s="132">
        <v>1358750</v>
      </c>
      <c r="BD53" s="132">
        <v>1358750</v>
      </c>
      <c r="BE53" s="132">
        <v>1358750</v>
      </c>
      <c r="BF53" s="132">
        <v>1358750</v>
      </c>
      <c r="BG53" s="132">
        <v>1358750</v>
      </c>
      <c r="BH53" s="132">
        <v>1358750</v>
      </c>
      <c r="BI53" s="132">
        <v>1358750</v>
      </c>
      <c r="BJ53" s="132">
        <v>1358750</v>
      </c>
      <c r="BK53" s="132">
        <v>1358750</v>
      </c>
      <c r="BL53" s="132">
        <v>1358750</v>
      </c>
      <c r="BM53" s="132">
        <v>1358750</v>
      </c>
      <c r="BN53" s="132">
        <v>1358750</v>
      </c>
      <c r="BO53" s="132">
        <v>1358750</v>
      </c>
      <c r="BP53" s="132">
        <v>1358750</v>
      </c>
      <c r="BQ53" s="132">
        <v>1358750</v>
      </c>
      <c r="BR53" s="132">
        <v>1358750</v>
      </c>
      <c r="BS53" s="132">
        <v>1358750</v>
      </c>
      <c r="BT53" s="132">
        <v>1358750</v>
      </c>
      <c r="BU53" s="132">
        <v>1358750</v>
      </c>
      <c r="BV53" s="133">
        <f t="shared" si="26"/>
        <v>58059826.329999998</v>
      </c>
      <c r="BW53" s="134"/>
      <c r="BX53" s="134"/>
      <c r="BY53" s="134"/>
      <c r="BZ53" s="134"/>
      <c r="CA53" s="132">
        <f t="shared" si="27"/>
        <v>11757734.869999999</v>
      </c>
    </row>
    <row r="54" spans="2:79" ht="12.75" hidden="1" customHeight="1" outlineLevel="1" x14ac:dyDescent="0.3">
      <c r="B54" s="73" t="s">
        <v>128</v>
      </c>
      <c r="C54" s="154"/>
      <c r="D54" s="140">
        <f t="shared" si="24"/>
        <v>5022538.1199999992</v>
      </c>
      <c r="E54" s="166"/>
      <c r="F54" s="211"/>
      <c r="G54" s="140"/>
      <c r="H54" s="140">
        <v>4247764.37</v>
      </c>
      <c r="I54" s="130">
        <f t="shared" si="25"/>
        <v>2.3593807241311299E-2</v>
      </c>
      <c r="J54" s="141">
        <v>344499.26</v>
      </c>
      <c r="K54" s="141">
        <v>36279.57</v>
      </c>
      <c r="L54" s="141">
        <v>36723.129999999997</v>
      </c>
      <c r="M54" s="141">
        <v>37034.89</v>
      </c>
      <c r="N54" s="141">
        <v>37423.760000000002</v>
      </c>
      <c r="O54" s="141">
        <v>34807.29</v>
      </c>
      <c r="P54" s="141">
        <v>35695</v>
      </c>
      <c r="Q54" s="141">
        <v>35546.730000000003</v>
      </c>
      <c r="R54" s="141">
        <v>36234.199999999997</v>
      </c>
      <c r="S54" s="141">
        <v>627694.68999999994</v>
      </c>
      <c r="T54" s="141">
        <v>37152.89</v>
      </c>
      <c r="U54" s="141">
        <v>37296.32</v>
      </c>
      <c r="V54" s="141">
        <v>113391.16</v>
      </c>
      <c r="W54" s="141">
        <v>37257.67</v>
      </c>
      <c r="X54" s="141">
        <v>1216866.45</v>
      </c>
      <c r="Y54" s="141">
        <v>486278.51</v>
      </c>
      <c r="Z54" s="141">
        <v>498144.27</v>
      </c>
      <c r="AA54" s="141">
        <v>559438.57999999996</v>
      </c>
      <c r="AB54" s="141">
        <v>774773.75</v>
      </c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3">
        <f t="shared" si="26"/>
        <v>774773.75</v>
      </c>
      <c r="BW54" s="151"/>
      <c r="BX54" s="151"/>
      <c r="BY54" s="151"/>
      <c r="BZ54" s="151"/>
      <c r="CA54" s="142">
        <f t="shared" si="27"/>
        <v>5022538.12</v>
      </c>
    </row>
    <row r="55" spans="2:79" ht="12.75" hidden="1" customHeight="1" outlineLevel="1" x14ac:dyDescent="0.3">
      <c r="B55" s="76" t="s">
        <v>129</v>
      </c>
      <c r="C55" s="164"/>
      <c r="D55" s="146">
        <f t="shared" si="24"/>
        <v>1960423</v>
      </c>
      <c r="E55" s="165"/>
      <c r="F55" s="210"/>
      <c r="G55" s="146">
        <v>293802.58</v>
      </c>
      <c r="H55" s="146">
        <v>1666620.42</v>
      </c>
      <c r="I55" s="130">
        <f t="shared" si="25"/>
        <v>9.2570862008321039E-3</v>
      </c>
      <c r="J55" s="145">
        <v>28535.35</v>
      </c>
      <c r="K55" s="145">
        <v>7283.9</v>
      </c>
      <c r="L55" s="145"/>
      <c r="M55" s="145"/>
      <c r="N55" s="145">
        <v>13911.61</v>
      </c>
      <c r="O55" s="145">
        <v>91164.24</v>
      </c>
      <c r="P55" s="145">
        <v>169340.01</v>
      </c>
      <c r="Q55" s="145">
        <v>158279.42000000001</v>
      </c>
      <c r="R55" s="145">
        <v>192168.78</v>
      </c>
      <c r="S55" s="145">
        <v>196545.93</v>
      </c>
      <c r="T55" s="145">
        <v>106405.16</v>
      </c>
      <c r="U55" s="145">
        <v>74273.210000000006</v>
      </c>
      <c r="V55" s="145">
        <v>74253.149999999994</v>
      </c>
      <c r="W55" s="145">
        <v>74014.789999999994</v>
      </c>
      <c r="X55" s="145">
        <v>79201.23</v>
      </c>
      <c r="Y55" s="145">
        <v>92190.33</v>
      </c>
      <c r="Z55" s="145">
        <v>97858.2</v>
      </c>
      <c r="AA55" s="145">
        <v>211195.11</v>
      </c>
      <c r="AB55" s="145">
        <v>293802.58</v>
      </c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7"/>
      <c r="BV55" s="143">
        <f t="shared" si="26"/>
        <v>293802.58</v>
      </c>
      <c r="BW55" s="153"/>
      <c r="BX55" s="153"/>
      <c r="BY55" s="153"/>
      <c r="BZ55" s="153"/>
      <c r="CA55" s="147">
        <f t="shared" si="27"/>
        <v>1960423</v>
      </c>
    </row>
    <row r="56" spans="2:79" ht="12.75" hidden="1" customHeight="1" collapsed="1" x14ac:dyDescent="0.3">
      <c r="B56" s="68" t="s">
        <v>130</v>
      </c>
      <c r="C56" s="69">
        <v>69521911.120000005</v>
      </c>
      <c r="D56" s="129">
        <f t="shared" si="24"/>
        <v>34333890.649999991</v>
      </c>
      <c r="E56" s="129">
        <f>+C56-D56</f>
        <v>35188020.470000014</v>
      </c>
      <c r="F56" s="129"/>
      <c r="G56" s="129">
        <v>856426.95</v>
      </c>
      <c r="H56" s="129">
        <f>+D56+F56-G56</f>
        <v>33477463.699999992</v>
      </c>
      <c r="I56" s="130">
        <f t="shared" si="25"/>
        <v>0.18594742002268735</v>
      </c>
      <c r="J56" s="156">
        <v>11066720.34</v>
      </c>
      <c r="K56" s="156">
        <v>915790.08</v>
      </c>
      <c r="L56" s="156">
        <v>1931201.9</v>
      </c>
      <c r="M56" s="156">
        <v>1103623.17</v>
      </c>
      <c r="N56" s="156">
        <v>807731.34</v>
      </c>
      <c r="O56" s="156">
        <v>740040.2</v>
      </c>
      <c r="P56" s="156">
        <v>1412884.71</v>
      </c>
      <c r="Q56" s="156">
        <v>3494146.35</v>
      </c>
      <c r="R56" s="156">
        <v>184710.12999999989</v>
      </c>
      <c r="S56" s="156">
        <v>551935.67999999993</v>
      </c>
      <c r="T56" s="156">
        <v>1245788.3799999999</v>
      </c>
      <c r="U56" s="156">
        <v>949800.34000000008</v>
      </c>
      <c r="V56" s="156">
        <v>984721.38</v>
      </c>
      <c r="W56" s="156">
        <v>938693.31</v>
      </c>
      <c r="X56" s="156">
        <v>882717.03</v>
      </c>
      <c r="Y56" s="156">
        <v>1443186.7</v>
      </c>
      <c r="Z56" s="156">
        <v>1372155.52</v>
      </c>
      <c r="AA56" s="156">
        <v>1943642.56</v>
      </c>
      <c r="AB56" s="156">
        <f>SUM(AB57:AB64)</f>
        <v>2364401.5300000003</v>
      </c>
      <c r="AC56" s="132">
        <v>1600000</v>
      </c>
      <c r="AD56" s="132">
        <v>1600000</v>
      </c>
      <c r="AE56" s="132">
        <v>1600000</v>
      </c>
      <c r="AF56" s="132">
        <v>1600000</v>
      </c>
      <c r="AG56" s="132">
        <v>1600000</v>
      </c>
      <c r="AH56" s="132">
        <v>1170905</v>
      </c>
      <c r="AI56" s="132"/>
      <c r="AJ56" s="132">
        <v>1170905</v>
      </c>
      <c r="AK56" s="132">
        <v>1170905</v>
      </c>
      <c r="AL56" s="132">
        <v>1170905</v>
      </c>
      <c r="AM56" s="132">
        <v>1170905</v>
      </c>
      <c r="AN56" s="132">
        <v>1170905</v>
      </c>
      <c r="AO56" s="132">
        <v>1170905</v>
      </c>
      <c r="AP56" s="132">
        <v>1170905</v>
      </c>
      <c r="AQ56" s="132">
        <v>1170905</v>
      </c>
      <c r="AR56" s="132">
        <v>1170905</v>
      </c>
      <c r="AS56" s="132">
        <v>1170905</v>
      </c>
      <c r="AT56" s="132">
        <v>1170905</v>
      </c>
      <c r="AU56" s="132">
        <v>1170905</v>
      </c>
      <c r="AV56" s="132">
        <v>1170905</v>
      </c>
      <c r="AW56" s="132">
        <v>1170905</v>
      </c>
      <c r="AX56" s="132">
        <v>1170905</v>
      </c>
      <c r="AY56" s="132">
        <v>490452</v>
      </c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  <c r="BM56" s="132"/>
      <c r="BN56" s="132"/>
      <c r="BO56" s="132"/>
      <c r="BP56" s="132"/>
      <c r="BQ56" s="132"/>
      <c r="BR56" s="132"/>
      <c r="BS56" s="132"/>
      <c r="BT56" s="132"/>
      <c r="BU56" s="132"/>
      <c r="BV56" s="133">
        <f t="shared" si="26"/>
        <v>29589333.530000001</v>
      </c>
      <c r="BW56" s="134"/>
      <c r="BX56" s="134"/>
      <c r="BY56" s="134"/>
      <c r="BZ56" s="134"/>
      <c r="CA56" s="132">
        <f t="shared" si="27"/>
        <v>43841865.229999989</v>
      </c>
    </row>
    <row r="57" spans="2:79" ht="15.75" hidden="1" customHeight="1" outlineLevel="1" x14ac:dyDescent="0.3">
      <c r="B57" s="76" t="s">
        <v>131</v>
      </c>
      <c r="C57" s="164"/>
      <c r="D57" s="146">
        <f t="shared" si="24"/>
        <v>5143605.1900000004</v>
      </c>
      <c r="E57" s="165"/>
      <c r="F57" s="210"/>
      <c r="G57" s="146"/>
      <c r="H57" s="146">
        <v>5143605.1899999985</v>
      </c>
      <c r="I57" s="130">
        <f t="shared" si="25"/>
        <v>2.8569670727349773E-2</v>
      </c>
      <c r="J57" s="145">
        <v>5993469.6800000006</v>
      </c>
      <c r="K57" s="145">
        <v>292040.78000000003</v>
      </c>
      <c r="L57" s="145"/>
      <c r="M57" s="145">
        <v>149662.62</v>
      </c>
      <c r="N57" s="145">
        <v>167745.43</v>
      </c>
      <c r="O57" s="145"/>
      <c r="P57" s="145">
        <v>258175.66</v>
      </c>
      <c r="Q57" s="145"/>
      <c r="R57" s="145">
        <v>-1537035.04</v>
      </c>
      <c r="S57" s="145"/>
      <c r="T57" s="145"/>
      <c r="U57" s="145">
        <v>-180453.94</v>
      </c>
      <c r="V57" s="145"/>
      <c r="W57" s="145"/>
      <c r="X57" s="145"/>
      <c r="Y57" s="145"/>
      <c r="Z57" s="145"/>
      <c r="AA57" s="145"/>
      <c r="AB57" s="145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  <c r="BI57" s="147"/>
      <c r="BJ57" s="147"/>
      <c r="BK57" s="147"/>
      <c r="BL57" s="147"/>
      <c r="BM57" s="147"/>
      <c r="BN57" s="147"/>
      <c r="BO57" s="147"/>
      <c r="BP57" s="147"/>
      <c r="BQ57" s="147"/>
      <c r="BR57" s="147"/>
      <c r="BS57" s="147"/>
      <c r="BT57" s="147"/>
      <c r="BU57" s="147"/>
      <c r="BV57" s="143">
        <f t="shared" si="26"/>
        <v>0</v>
      </c>
      <c r="BW57" s="153"/>
      <c r="BX57" s="153"/>
      <c r="BY57" s="153"/>
      <c r="BZ57" s="153"/>
      <c r="CA57" s="147">
        <f t="shared" si="27"/>
        <v>5143605.1899999985</v>
      </c>
    </row>
    <row r="58" spans="2:79" ht="12.75" hidden="1" customHeight="1" outlineLevel="1" x14ac:dyDescent="0.3">
      <c r="B58" s="73" t="s">
        <v>132</v>
      </c>
      <c r="C58" s="154"/>
      <c r="D58" s="140">
        <f t="shared" si="24"/>
        <v>11245197.220000001</v>
      </c>
      <c r="E58" s="166"/>
      <c r="F58" s="211"/>
      <c r="G58" s="140">
        <v>-14760.54</v>
      </c>
      <c r="H58" s="140">
        <v>11245197.220000001</v>
      </c>
      <c r="I58" s="130">
        <f t="shared" si="25"/>
        <v>6.2460389157416869E-2</v>
      </c>
      <c r="J58" s="141">
        <v>4481135.66</v>
      </c>
      <c r="K58" s="141">
        <v>57400.509999999987</v>
      </c>
      <c r="L58" s="141">
        <v>1795826.4</v>
      </c>
      <c r="M58" s="141">
        <v>187959.76</v>
      </c>
      <c r="N58" s="141">
        <v>188099.53</v>
      </c>
      <c r="O58" s="141">
        <v>192037.45</v>
      </c>
      <c r="P58" s="141">
        <v>179220.89</v>
      </c>
      <c r="Q58" s="141">
        <v>2902845.21</v>
      </c>
      <c r="R58" s="141">
        <v>1207725.21</v>
      </c>
      <c r="S58" s="141">
        <v>52946.6</v>
      </c>
      <c r="T58" s="141"/>
      <c r="U58" s="141"/>
      <c r="V58" s="141"/>
      <c r="W58" s="141"/>
      <c r="X58" s="141"/>
      <c r="Y58" s="141"/>
      <c r="Z58" s="141"/>
      <c r="AA58" s="141"/>
      <c r="AB58" s="141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  <c r="BA58" s="142"/>
      <c r="BB58" s="142"/>
      <c r="BC58" s="142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3">
        <f t="shared" si="26"/>
        <v>0</v>
      </c>
      <c r="BW58" s="151"/>
      <c r="BX58" s="151"/>
      <c r="BY58" s="151"/>
      <c r="BZ58" s="151"/>
      <c r="CA58" s="142">
        <f t="shared" si="27"/>
        <v>11245197.220000001</v>
      </c>
    </row>
    <row r="59" spans="2:79" ht="12.75" hidden="1" customHeight="1" outlineLevel="1" x14ac:dyDescent="0.3">
      <c r="B59" s="76" t="s">
        <v>133</v>
      </c>
      <c r="C59" s="164"/>
      <c r="D59" s="146">
        <f t="shared" si="24"/>
        <v>4000132.3100000005</v>
      </c>
      <c r="E59" s="165"/>
      <c r="F59" s="210"/>
      <c r="G59" s="146">
        <v>99358.92</v>
      </c>
      <c r="H59" s="146">
        <v>3632136.3</v>
      </c>
      <c r="I59" s="130">
        <f t="shared" si="25"/>
        <v>2.0174359091478897E-2</v>
      </c>
      <c r="J59" s="145"/>
      <c r="K59" s="145"/>
      <c r="L59" s="145"/>
      <c r="M59" s="145">
        <v>74992.789999999994</v>
      </c>
      <c r="N59" s="145">
        <v>52091.040000000001</v>
      </c>
      <c r="O59" s="145">
        <v>129162.79</v>
      </c>
      <c r="P59" s="145">
        <v>186272.04</v>
      </c>
      <c r="Q59" s="145">
        <v>234473.14</v>
      </c>
      <c r="R59" s="145">
        <v>259817.28</v>
      </c>
      <c r="S59" s="145">
        <v>122677.4</v>
      </c>
      <c r="T59" s="145">
        <v>196734.06</v>
      </c>
      <c r="U59" s="145">
        <v>257568.44</v>
      </c>
      <c r="V59" s="145">
        <v>176353.58</v>
      </c>
      <c r="W59" s="145">
        <v>337884.2</v>
      </c>
      <c r="X59" s="145">
        <v>114023.92</v>
      </c>
      <c r="Y59" s="145">
        <v>472859.2</v>
      </c>
      <c r="Z59" s="145">
        <v>366567.64</v>
      </c>
      <c r="AA59" s="145">
        <v>650658.78</v>
      </c>
      <c r="AB59" s="145">
        <v>367996.01</v>
      </c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  <c r="BC59" s="147"/>
      <c r="BD59" s="147"/>
      <c r="BE59" s="147"/>
      <c r="BF59" s="147"/>
      <c r="BG59" s="147"/>
      <c r="BH59" s="147"/>
      <c r="BI59" s="147"/>
      <c r="BJ59" s="147"/>
      <c r="BK59" s="147"/>
      <c r="BL59" s="147"/>
      <c r="BM59" s="147"/>
      <c r="BN59" s="147"/>
      <c r="BO59" s="147"/>
      <c r="BP59" s="147"/>
      <c r="BQ59" s="147"/>
      <c r="BR59" s="147"/>
      <c r="BS59" s="147"/>
      <c r="BT59" s="147"/>
      <c r="BU59" s="147"/>
      <c r="BV59" s="143">
        <f t="shared" si="26"/>
        <v>367996.01</v>
      </c>
      <c r="BW59" s="153"/>
      <c r="BX59" s="153"/>
      <c r="BY59" s="153"/>
      <c r="BZ59" s="153"/>
      <c r="CA59" s="147">
        <f t="shared" si="27"/>
        <v>4000132.3099999996</v>
      </c>
    </row>
    <row r="60" spans="2:79" ht="15" hidden="1" customHeight="1" outlineLevel="1" x14ac:dyDescent="0.3">
      <c r="B60" s="73" t="s">
        <v>134</v>
      </c>
      <c r="C60" s="154"/>
      <c r="D60" s="140">
        <f t="shared" si="24"/>
        <v>4772335.49</v>
      </c>
      <c r="E60" s="166"/>
      <c r="F60" s="211"/>
      <c r="G60" s="140">
        <v>299997</v>
      </c>
      <c r="H60" s="140">
        <v>4194472.09</v>
      </c>
      <c r="I60" s="130">
        <f t="shared" si="25"/>
        <v>2.329780028983108E-2</v>
      </c>
      <c r="J60" s="141"/>
      <c r="K60" s="141">
        <v>435604.79</v>
      </c>
      <c r="L60" s="141"/>
      <c r="M60" s="141">
        <v>147972</v>
      </c>
      <c r="N60" s="141">
        <v>149742</v>
      </c>
      <c r="O60" s="141">
        <v>142190</v>
      </c>
      <c r="P60" s="141">
        <v>142190</v>
      </c>
      <c r="Q60" s="141">
        <v>144432</v>
      </c>
      <c r="R60" s="141">
        <v>144698.68</v>
      </c>
      <c r="S60" s="141">
        <v>245567.68</v>
      </c>
      <c r="T60" s="141">
        <v>316570.40000000002</v>
      </c>
      <c r="U60" s="141">
        <v>325416.5</v>
      </c>
      <c r="V60" s="141">
        <v>319751.11</v>
      </c>
      <c r="W60" s="141">
        <v>318842.61</v>
      </c>
      <c r="X60" s="141">
        <v>245440</v>
      </c>
      <c r="Y60" s="141">
        <v>384208</v>
      </c>
      <c r="Z60" s="141">
        <v>328204.02</v>
      </c>
      <c r="AA60" s="141">
        <v>403642.3</v>
      </c>
      <c r="AB60" s="141">
        <v>577863.4</v>
      </c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  <c r="BA60" s="142"/>
      <c r="BB60" s="142"/>
      <c r="BC60" s="142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3">
        <f t="shared" si="26"/>
        <v>577863.4</v>
      </c>
      <c r="BW60" s="151"/>
      <c r="BX60" s="151"/>
      <c r="BY60" s="151"/>
      <c r="BZ60" s="151"/>
      <c r="CA60" s="142">
        <f t="shared" si="27"/>
        <v>4772335.49</v>
      </c>
    </row>
    <row r="61" spans="2:79" ht="15.75" hidden="1" customHeight="1" outlineLevel="1" x14ac:dyDescent="0.3">
      <c r="B61" s="76" t="s">
        <v>135</v>
      </c>
      <c r="C61" s="164"/>
      <c r="D61" s="146">
        <f t="shared" si="24"/>
        <v>3275050.5</v>
      </c>
      <c r="E61" s="165"/>
      <c r="F61" s="210"/>
      <c r="G61" s="146">
        <v>232709.5</v>
      </c>
      <c r="H61" s="146">
        <v>3042341</v>
      </c>
      <c r="I61" s="130">
        <f t="shared" si="25"/>
        <v>1.6898396630305144E-2</v>
      </c>
      <c r="J61" s="145">
        <v>559615</v>
      </c>
      <c r="K61" s="145">
        <v>130744</v>
      </c>
      <c r="L61" s="145">
        <v>130744</v>
      </c>
      <c r="M61" s="145">
        <v>130744</v>
      </c>
      <c r="N61" s="145">
        <v>130744</v>
      </c>
      <c r="O61" s="145">
        <v>109504</v>
      </c>
      <c r="P61" s="145">
        <v>109504</v>
      </c>
      <c r="Q61" s="145">
        <v>88264</v>
      </c>
      <c r="R61" s="145">
        <v>109504</v>
      </c>
      <c r="S61" s="145">
        <v>130744</v>
      </c>
      <c r="T61" s="145">
        <v>70800</v>
      </c>
      <c r="U61" s="145">
        <v>21240</v>
      </c>
      <c r="V61" s="145">
        <v>278729.5</v>
      </c>
      <c r="W61" s="145">
        <v>281966.5</v>
      </c>
      <c r="X61" s="145">
        <v>146325.5</v>
      </c>
      <c r="Y61" s="145">
        <v>190229.5</v>
      </c>
      <c r="Z61" s="145">
        <v>232709.5</v>
      </c>
      <c r="AA61" s="145">
        <v>190229.5</v>
      </c>
      <c r="AB61" s="145">
        <v>232709.5</v>
      </c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7"/>
      <c r="AT61" s="147"/>
      <c r="AU61" s="147"/>
      <c r="AV61" s="147"/>
      <c r="AW61" s="147"/>
      <c r="AX61" s="147"/>
      <c r="AY61" s="147"/>
      <c r="AZ61" s="147"/>
      <c r="BA61" s="147"/>
      <c r="BB61" s="147"/>
      <c r="BC61" s="147"/>
      <c r="BD61" s="147"/>
      <c r="BE61" s="147"/>
      <c r="BF61" s="147"/>
      <c r="BG61" s="147"/>
      <c r="BH61" s="147"/>
      <c r="BI61" s="147"/>
      <c r="BJ61" s="147"/>
      <c r="BK61" s="147"/>
      <c r="BL61" s="147"/>
      <c r="BM61" s="147"/>
      <c r="BN61" s="147"/>
      <c r="BO61" s="147"/>
      <c r="BP61" s="147"/>
      <c r="BQ61" s="147"/>
      <c r="BR61" s="147"/>
      <c r="BS61" s="147"/>
      <c r="BT61" s="147"/>
      <c r="BU61" s="147"/>
      <c r="BV61" s="143">
        <f t="shared" si="26"/>
        <v>232709.5</v>
      </c>
      <c r="BW61" s="153"/>
      <c r="BX61" s="153"/>
      <c r="BY61" s="153"/>
      <c r="BZ61" s="153"/>
      <c r="CA61" s="147">
        <f t="shared" si="27"/>
        <v>3275050.5</v>
      </c>
    </row>
    <row r="62" spans="2:79" ht="12.75" hidden="1" customHeight="1" outlineLevel="1" x14ac:dyDescent="0.3">
      <c r="B62" s="73" t="s">
        <v>136</v>
      </c>
      <c r="C62" s="154"/>
      <c r="D62" s="140">
        <f t="shared" si="24"/>
        <v>1777671.1099999999</v>
      </c>
      <c r="E62" s="166"/>
      <c r="F62" s="211"/>
      <c r="G62" s="140"/>
      <c r="H62" s="140">
        <v>1777671.11</v>
      </c>
      <c r="I62" s="130">
        <f t="shared" si="25"/>
        <v>9.8739068023652871E-3</v>
      </c>
      <c r="J62" s="141">
        <v>32500</v>
      </c>
      <c r="K62" s="141"/>
      <c r="L62" s="141">
        <v>4631.5</v>
      </c>
      <c r="M62" s="141">
        <v>826</v>
      </c>
      <c r="N62" s="141">
        <v>138130.34</v>
      </c>
      <c r="O62" s="141">
        <v>167145.96</v>
      </c>
      <c r="P62" s="141">
        <v>537522.12</v>
      </c>
      <c r="Q62" s="141">
        <v>124132</v>
      </c>
      <c r="R62" s="141"/>
      <c r="S62" s="141"/>
      <c r="T62" s="141">
        <v>216162.42</v>
      </c>
      <c r="U62" s="141">
        <v>12555.41</v>
      </c>
      <c r="V62" s="141">
        <v>208600</v>
      </c>
      <c r="W62" s="141"/>
      <c r="X62" s="141"/>
      <c r="Y62" s="141"/>
      <c r="Z62" s="141">
        <v>335465.36</v>
      </c>
      <c r="AA62" s="141"/>
      <c r="AB62" s="141"/>
      <c r="AC62" s="142"/>
      <c r="AD62" s="142"/>
      <c r="AE62" s="142"/>
      <c r="AF62" s="142"/>
      <c r="AG62" s="142"/>
      <c r="AH62" s="142"/>
      <c r="AI62" s="142"/>
      <c r="AJ62" s="142"/>
      <c r="AK62" s="142"/>
      <c r="AL62" s="142"/>
      <c r="AM62" s="142"/>
      <c r="AN62" s="142"/>
      <c r="AO62" s="142"/>
      <c r="AP62" s="142"/>
      <c r="AQ62" s="142"/>
      <c r="AR62" s="142"/>
      <c r="AS62" s="142"/>
      <c r="AT62" s="142"/>
      <c r="AU62" s="142"/>
      <c r="AV62" s="142"/>
      <c r="AW62" s="142"/>
      <c r="AX62" s="142"/>
      <c r="AY62" s="142"/>
      <c r="AZ62" s="142"/>
      <c r="BA62" s="142"/>
      <c r="BB62" s="142"/>
      <c r="BC62" s="142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3">
        <f t="shared" si="26"/>
        <v>0</v>
      </c>
      <c r="BW62" s="151"/>
      <c r="BX62" s="151"/>
      <c r="BY62" s="151"/>
      <c r="BZ62" s="151"/>
      <c r="CA62" s="142">
        <f t="shared" si="27"/>
        <v>1777671.11</v>
      </c>
    </row>
    <row r="63" spans="2:79" ht="12.75" hidden="1" customHeight="1" outlineLevel="1" x14ac:dyDescent="0.3">
      <c r="B63" s="76" t="s">
        <v>137</v>
      </c>
      <c r="C63" s="164"/>
      <c r="D63" s="146">
        <f t="shared" si="24"/>
        <v>3633762.22</v>
      </c>
      <c r="E63" s="165"/>
      <c r="F63" s="210"/>
      <c r="G63" s="146">
        <v>239122.07</v>
      </c>
      <c r="H63" s="146">
        <v>2447929.6</v>
      </c>
      <c r="I63" s="130">
        <f t="shared" si="25"/>
        <v>1.35967944763142E-2</v>
      </c>
      <c r="J63" s="145"/>
      <c r="K63" s="145"/>
      <c r="L63" s="145"/>
      <c r="M63" s="145">
        <v>411466</v>
      </c>
      <c r="N63" s="145">
        <v>-18821</v>
      </c>
      <c r="O63" s="145"/>
      <c r="P63" s="145"/>
      <c r="Q63" s="145"/>
      <c r="R63" s="145"/>
      <c r="S63" s="145"/>
      <c r="T63" s="145">
        <v>445521.5</v>
      </c>
      <c r="U63" s="145">
        <v>513473.93000000011</v>
      </c>
      <c r="V63" s="145">
        <v>1287.1899999999989</v>
      </c>
      <c r="W63" s="145"/>
      <c r="X63" s="145"/>
      <c r="Y63" s="145">
        <v>395890</v>
      </c>
      <c r="Z63" s="145"/>
      <c r="AA63" s="145">
        <v>699111.98</v>
      </c>
      <c r="AB63" s="145">
        <v>1185832.6200000001</v>
      </c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  <c r="AX63" s="147"/>
      <c r="AY63" s="147"/>
      <c r="AZ63" s="147"/>
      <c r="BA63" s="147"/>
      <c r="BB63" s="147"/>
      <c r="BC63" s="147"/>
      <c r="BD63" s="147"/>
      <c r="BE63" s="147"/>
      <c r="BF63" s="147"/>
      <c r="BG63" s="147"/>
      <c r="BH63" s="147"/>
      <c r="BI63" s="147"/>
      <c r="BJ63" s="147"/>
      <c r="BK63" s="147"/>
      <c r="BL63" s="147"/>
      <c r="BM63" s="147"/>
      <c r="BN63" s="147"/>
      <c r="BO63" s="147"/>
      <c r="BP63" s="147"/>
      <c r="BQ63" s="147"/>
      <c r="BR63" s="147"/>
      <c r="BS63" s="147"/>
      <c r="BT63" s="147"/>
      <c r="BU63" s="147"/>
      <c r="BV63" s="143">
        <f t="shared" si="26"/>
        <v>1185832.6200000001</v>
      </c>
      <c r="BW63" s="153"/>
      <c r="BX63" s="153"/>
      <c r="BY63" s="153"/>
      <c r="BZ63" s="153"/>
      <c r="CA63" s="147">
        <f t="shared" si="27"/>
        <v>3633762.22</v>
      </c>
    </row>
    <row r="64" spans="2:79" ht="15" hidden="1" customHeight="1" outlineLevel="1" x14ac:dyDescent="0.3">
      <c r="B64" s="73" t="s">
        <v>138</v>
      </c>
      <c r="C64" s="154"/>
      <c r="D64" s="140">
        <f t="shared" si="24"/>
        <v>486136.61</v>
      </c>
      <c r="E64" s="166"/>
      <c r="F64" s="211"/>
      <c r="G64" s="140"/>
      <c r="H64" s="140">
        <v>486136.61</v>
      </c>
      <c r="I64" s="130">
        <f t="shared" si="25"/>
        <v>2.7002000276405459E-3</v>
      </c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>
        <v>376927.61</v>
      </c>
      <c r="Y64" s="141"/>
      <c r="Z64" s="141">
        <v>109209</v>
      </c>
      <c r="AA64" s="141"/>
      <c r="AB64" s="141"/>
      <c r="AC64" s="142"/>
      <c r="AD64" s="142"/>
      <c r="AE64" s="142"/>
      <c r="AF64" s="142"/>
      <c r="AG64" s="142"/>
      <c r="AH64" s="142"/>
      <c r="AI64" s="142"/>
      <c r="AJ64" s="142"/>
      <c r="AK64" s="142"/>
      <c r="AL64" s="142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3">
        <f t="shared" si="26"/>
        <v>0</v>
      </c>
      <c r="BW64" s="151"/>
      <c r="BX64" s="151"/>
      <c r="BY64" s="151"/>
      <c r="BZ64" s="151"/>
      <c r="CA64" s="142">
        <f t="shared" si="27"/>
        <v>486136.61</v>
      </c>
    </row>
    <row r="65" spans="2:79" ht="12.75" hidden="1" customHeight="1" collapsed="1" thickBot="1" x14ac:dyDescent="0.35">
      <c r="B65" s="68" t="s">
        <v>139</v>
      </c>
      <c r="C65" s="69">
        <v>19863403.18</v>
      </c>
      <c r="D65" s="129">
        <f t="shared" si="24"/>
        <v>0</v>
      </c>
      <c r="E65" s="129">
        <f>+C65-D65</f>
        <v>19863403.18</v>
      </c>
      <c r="F65" s="129"/>
      <c r="G65" s="129"/>
      <c r="H65" s="129">
        <f>+D65+F65-G65</f>
        <v>0</v>
      </c>
      <c r="I65" s="130">
        <f t="shared" si="25"/>
        <v>0</v>
      </c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  <c r="AA65" s="156"/>
      <c r="AB65" s="156"/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>
        <v>541413</v>
      </c>
      <c r="AQ65" s="132">
        <v>541413</v>
      </c>
      <c r="AR65" s="132">
        <v>541413</v>
      </c>
      <c r="AS65" s="132">
        <v>541413</v>
      </c>
      <c r="AT65" s="132">
        <v>541413</v>
      </c>
      <c r="AU65" s="132">
        <v>541413</v>
      </c>
      <c r="AV65" s="132">
        <v>541413</v>
      </c>
      <c r="AW65" s="132">
        <v>541413</v>
      </c>
      <c r="AX65" s="132">
        <v>541413</v>
      </c>
      <c r="AY65" s="132">
        <v>541413</v>
      </c>
      <c r="AZ65" s="132">
        <v>541413</v>
      </c>
      <c r="BA65" s="132">
        <v>541413</v>
      </c>
      <c r="BB65" s="132">
        <v>541413</v>
      </c>
      <c r="BC65" s="132">
        <v>541413</v>
      </c>
      <c r="BD65" s="132">
        <v>541413</v>
      </c>
      <c r="BE65" s="132">
        <v>541413</v>
      </c>
      <c r="BF65" s="132">
        <v>541413</v>
      </c>
      <c r="BG65" s="132">
        <v>541413</v>
      </c>
      <c r="BH65" s="132">
        <v>541413</v>
      </c>
      <c r="BI65" s="132">
        <v>541413</v>
      </c>
      <c r="BJ65" s="132">
        <v>541413</v>
      </c>
      <c r="BK65" s="132">
        <v>541413</v>
      </c>
      <c r="BL65" s="132">
        <v>541413</v>
      </c>
      <c r="BM65" s="132">
        <v>541413</v>
      </c>
      <c r="BN65" s="132">
        <v>541413</v>
      </c>
      <c r="BO65" s="132">
        <v>541413</v>
      </c>
      <c r="BP65" s="132">
        <v>541413</v>
      </c>
      <c r="BQ65" s="132">
        <v>541413</v>
      </c>
      <c r="BR65" s="132">
        <v>541413</v>
      </c>
      <c r="BS65" s="132">
        <v>541413</v>
      </c>
      <c r="BT65" s="132">
        <v>541413</v>
      </c>
      <c r="BU65" s="132">
        <v>541413</v>
      </c>
      <c r="BV65" s="133">
        <f t="shared" si="26"/>
        <v>17325216</v>
      </c>
      <c r="BW65" s="134"/>
      <c r="BX65" s="134"/>
      <c r="BY65" s="134"/>
      <c r="BZ65" s="134"/>
      <c r="CA65" s="132">
        <f t="shared" si="27"/>
        <v>0</v>
      </c>
    </row>
    <row r="66" spans="2:79" ht="12.75" hidden="1" customHeight="1" outlineLevel="1" x14ac:dyDescent="0.3">
      <c r="B66" s="73" t="s">
        <v>140</v>
      </c>
      <c r="C66" s="154"/>
      <c r="D66" s="166">
        <f t="shared" si="24"/>
        <v>0</v>
      </c>
      <c r="E66" s="166"/>
      <c r="F66" s="211"/>
      <c r="G66" s="140"/>
      <c r="H66" s="140"/>
      <c r="I66" s="167">
        <f>IF(C66=0,0,D66/C66)</f>
        <v>0</v>
      </c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2"/>
      <c r="AD66" s="142"/>
      <c r="AE66" s="142"/>
      <c r="AF66" s="142"/>
      <c r="AG66" s="142"/>
      <c r="AH66" s="142"/>
      <c r="AI66" s="142"/>
      <c r="AJ66" s="142"/>
      <c r="AK66" s="142"/>
      <c r="AL66" s="142"/>
      <c r="AM66" s="142"/>
      <c r="AN66" s="142"/>
      <c r="AO66" s="142"/>
      <c r="AP66" s="142"/>
      <c r="AQ66" s="142"/>
      <c r="AR66" s="142"/>
      <c r="AS66" s="142"/>
      <c r="AT66" s="142"/>
      <c r="AU66" s="142"/>
      <c r="AV66" s="142"/>
      <c r="AW66" s="142"/>
      <c r="AX66" s="142"/>
      <c r="AY66" s="142"/>
      <c r="AZ66" s="142"/>
      <c r="BA66" s="142"/>
      <c r="BB66" s="142"/>
      <c r="BC66" s="142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68"/>
      <c r="BW66" s="151"/>
      <c r="BX66" s="151"/>
      <c r="BY66" s="151"/>
      <c r="BZ66" s="151"/>
      <c r="CA66" s="142">
        <f t="shared" si="27"/>
        <v>0</v>
      </c>
    </row>
    <row r="67" spans="2:79" ht="12.75" hidden="1" customHeight="1" outlineLevel="1" thickBot="1" x14ac:dyDescent="0.35">
      <c r="B67" s="76" t="s">
        <v>141</v>
      </c>
      <c r="C67" s="164"/>
      <c r="D67" s="165">
        <f t="shared" si="24"/>
        <v>0</v>
      </c>
      <c r="E67" s="165"/>
      <c r="F67" s="210"/>
      <c r="G67" s="146"/>
      <c r="H67" s="146"/>
      <c r="I67" s="169">
        <f>IF(C67=0,0,D67/C67)</f>
        <v>0</v>
      </c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  <c r="AA67" s="145"/>
      <c r="AB67" s="145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  <c r="BA67" s="147"/>
      <c r="BB67" s="147"/>
      <c r="BC67" s="147"/>
      <c r="BD67" s="147"/>
      <c r="BE67" s="147"/>
      <c r="BF67" s="147"/>
      <c r="BG67" s="147"/>
      <c r="BH67" s="147"/>
      <c r="BI67" s="147"/>
      <c r="BJ67" s="147"/>
      <c r="BK67" s="147"/>
      <c r="BL67" s="147"/>
      <c r="BM67" s="147"/>
      <c r="BN67" s="147"/>
      <c r="BO67" s="147"/>
      <c r="BP67" s="147"/>
      <c r="BQ67" s="147"/>
      <c r="BR67" s="147"/>
      <c r="BS67" s="147"/>
      <c r="BT67" s="147"/>
      <c r="BU67" s="147"/>
      <c r="BV67" s="168"/>
      <c r="BW67" s="153"/>
      <c r="BX67" s="153"/>
      <c r="BY67" s="153"/>
      <c r="BZ67" s="153"/>
      <c r="CA67" s="147">
        <f t="shared" si="27"/>
        <v>0</v>
      </c>
    </row>
    <row r="68" spans="2:79" ht="15" customHeight="1" thickBot="1" x14ac:dyDescent="0.35">
      <c r="B68" s="158" t="s">
        <v>580</v>
      </c>
      <c r="C68" s="159">
        <f>+C47+C48+C53+C56+C65</f>
        <v>686100715.90179193</v>
      </c>
      <c r="D68" s="159">
        <f>+D47+D48+D53+D56+D65</f>
        <v>185400954.78999996</v>
      </c>
      <c r="E68" s="159">
        <f>+E47+E48+E53+E56+E65</f>
        <v>500699761.11179203</v>
      </c>
      <c r="F68" s="209"/>
      <c r="G68" s="209">
        <v>5363696.43</v>
      </c>
      <c r="H68" s="159">
        <f>+H47+H48+H53+H56+H65</f>
        <v>180037258.35999995</v>
      </c>
      <c r="I68" s="160">
        <f>IF(H$75=0,0,H68/H$75)</f>
        <v>0.25610994194766035</v>
      </c>
      <c r="J68" s="161">
        <f t="shared" ref="J68:BV68" si="28">+J47+J48+J53+J56+J65</f>
        <v>12160286.460000001</v>
      </c>
      <c r="K68" s="161">
        <f t="shared" si="28"/>
        <v>959353.54999999993</v>
      </c>
      <c r="L68" s="161">
        <f t="shared" si="28"/>
        <v>2613690.2399999998</v>
      </c>
      <c r="M68" s="161">
        <f t="shared" si="28"/>
        <v>1735659.41</v>
      </c>
      <c r="N68" s="161">
        <f t="shared" si="28"/>
        <v>4178939.1799999997</v>
      </c>
      <c r="O68" s="161">
        <f t="shared" si="28"/>
        <v>4059539.34</v>
      </c>
      <c r="P68" s="161">
        <f t="shared" si="28"/>
        <v>5121829.5599999996</v>
      </c>
      <c r="Q68" s="161">
        <f t="shared" si="28"/>
        <v>13348069.719999999</v>
      </c>
      <c r="R68" s="161">
        <f t="shared" si="28"/>
        <v>18349823.129999999</v>
      </c>
      <c r="S68" s="161">
        <f t="shared" si="28"/>
        <v>15032726.589999996</v>
      </c>
      <c r="T68" s="161">
        <f t="shared" si="28"/>
        <v>15819287.650000002</v>
      </c>
      <c r="U68" s="161">
        <f t="shared" si="28"/>
        <v>18036167.379999999</v>
      </c>
      <c r="V68" s="161">
        <f t="shared" si="28"/>
        <v>8557044.0300000012</v>
      </c>
      <c r="W68" s="161">
        <f t="shared" si="28"/>
        <v>8156441.5099999979</v>
      </c>
      <c r="X68" s="161">
        <f t="shared" si="28"/>
        <v>7505974.1800000006</v>
      </c>
      <c r="Y68" s="161">
        <f t="shared" si="28"/>
        <v>13320300.709999999</v>
      </c>
      <c r="Z68" s="161">
        <f t="shared" si="28"/>
        <v>9608931.1699999999</v>
      </c>
      <c r="AA68" s="161">
        <f t="shared" si="28"/>
        <v>12102138.560000001</v>
      </c>
      <c r="AB68" s="161">
        <f t="shared" si="28"/>
        <v>14734752.419999998</v>
      </c>
      <c r="AC68" s="162">
        <f t="shared" si="28"/>
        <v>14737745</v>
      </c>
      <c r="AD68" s="162">
        <f t="shared" si="28"/>
        <v>14737745</v>
      </c>
      <c r="AE68" s="162">
        <f t="shared" si="28"/>
        <v>16502350</v>
      </c>
      <c r="AF68" s="162">
        <f t="shared" si="28"/>
        <v>16502350</v>
      </c>
      <c r="AG68" s="162">
        <f t="shared" si="28"/>
        <v>16502350</v>
      </c>
      <c r="AH68" s="162">
        <f t="shared" si="28"/>
        <v>17839283</v>
      </c>
      <c r="AI68" s="162">
        <f t="shared" ref="AI68" si="29">SUM(AB68:AH68)+H68</f>
        <v>291593833.77999997</v>
      </c>
      <c r="AJ68" s="162">
        <f t="shared" si="28"/>
        <v>19408805</v>
      </c>
      <c r="AK68" s="162">
        <f t="shared" si="28"/>
        <v>22654045</v>
      </c>
      <c r="AL68" s="162">
        <f t="shared" si="28"/>
        <v>18691286</v>
      </c>
      <c r="AM68" s="162">
        <f t="shared" si="28"/>
        <v>18063501</v>
      </c>
      <c r="AN68" s="162">
        <f t="shared" si="28"/>
        <v>19176898</v>
      </c>
      <c r="AO68" s="162">
        <f t="shared" si="28"/>
        <v>18092221</v>
      </c>
      <c r="AP68" s="162">
        <f t="shared" si="28"/>
        <v>16555509</v>
      </c>
      <c r="AQ68" s="162">
        <f t="shared" si="28"/>
        <v>19476361</v>
      </c>
      <c r="AR68" s="162">
        <f t="shared" si="28"/>
        <v>18667412</v>
      </c>
      <c r="AS68" s="162">
        <f t="shared" si="28"/>
        <v>17999614</v>
      </c>
      <c r="AT68" s="162">
        <f t="shared" si="28"/>
        <v>20736161</v>
      </c>
      <c r="AU68" s="162">
        <f t="shared" si="28"/>
        <v>17796497</v>
      </c>
      <c r="AV68" s="162">
        <f t="shared" si="28"/>
        <v>17368363</v>
      </c>
      <c r="AW68" s="162">
        <f t="shared" si="28"/>
        <v>21074198</v>
      </c>
      <c r="AX68" s="162">
        <f t="shared" si="28"/>
        <v>16473419</v>
      </c>
      <c r="AY68" s="162">
        <f t="shared" si="28"/>
        <v>8384811</v>
      </c>
      <c r="AZ68" s="162">
        <f t="shared" si="28"/>
        <v>8186912</v>
      </c>
      <c r="BA68" s="162">
        <f t="shared" si="28"/>
        <v>6824200</v>
      </c>
      <c r="BB68" s="162">
        <f t="shared" si="28"/>
        <v>6853535</v>
      </c>
      <c r="BC68" s="162">
        <f t="shared" si="28"/>
        <v>7766650</v>
      </c>
      <c r="BD68" s="162">
        <f t="shared" si="28"/>
        <v>5817429</v>
      </c>
      <c r="BE68" s="162">
        <f t="shared" si="28"/>
        <v>5793263</v>
      </c>
      <c r="BF68" s="162">
        <f t="shared" si="28"/>
        <v>5375256</v>
      </c>
      <c r="BG68" s="162">
        <f t="shared" si="28"/>
        <v>4234310</v>
      </c>
      <c r="BH68" s="162">
        <f t="shared" si="28"/>
        <v>3656839</v>
      </c>
      <c r="BI68" s="162">
        <f t="shared" si="28"/>
        <v>3656839</v>
      </c>
      <c r="BJ68" s="162">
        <f t="shared" si="28"/>
        <v>3656839</v>
      </c>
      <c r="BK68" s="162">
        <f t="shared" si="28"/>
        <v>3656839</v>
      </c>
      <c r="BL68" s="162">
        <f t="shared" si="28"/>
        <v>3656839</v>
      </c>
      <c r="BM68" s="162">
        <f t="shared" si="28"/>
        <v>3656839</v>
      </c>
      <c r="BN68" s="162">
        <f t="shared" si="28"/>
        <v>3656839</v>
      </c>
      <c r="BO68" s="162">
        <f t="shared" si="28"/>
        <v>3614079</v>
      </c>
      <c r="BP68" s="162">
        <f t="shared" si="28"/>
        <v>3290999</v>
      </c>
      <c r="BQ68" s="162">
        <f t="shared" si="28"/>
        <v>3290999</v>
      </c>
      <c r="BR68" s="162">
        <f t="shared" si="28"/>
        <v>3290999</v>
      </c>
      <c r="BS68" s="162">
        <f t="shared" si="28"/>
        <v>3045649</v>
      </c>
      <c r="BT68" s="162">
        <f t="shared" si="28"/>
        <v>3023851</v>
      </c>
      <c r="BU68" s="162">
        <f t="shared" si="28"/>
        <v>3023851</v>
      </c>
      <c r="BV68" s="162">
        <f t="shared" si="28"/>
        <v>501205531.41999996</v>
      </c>
      <c r="BW68" s="162">
        <f t="shared" ref="BW68:CA68" si="30">+BW47+BW48+BW53+BW56+BW65</f>
        <v>0</v>
      </c>
      <c r="BX68" s="162">
        <f t="shared" si="30"/>
        <v>0</v>
      </c>
      <c r="BY68" s="162">
        <f t="shared" si="30"/>
        <v>0</v>
      </c>
      <c r="BZ68" s="162">
        <f t="shared" si="30"/>
        <v>0</v>
      </c>
      <c r="CA68" s="162">
        <f t="shared" si="30"/>
        <v>273754550.77999997</v>
      </c>
    </row>
    <row r="69" spans="2:79" ht="15" hidden="1" thickBot="1" x14ac:dyDescent="0.35">
      <c r="B69" s="67" t="s">
        <v>143</v>
      </c>
      <c r="C69" s="97"/>
      <c r="D69" s="97"/>
      <c r="E69" s="97"/>
      <c r="F69" s="97"/>
      <c r="G69" s="97"/>
      <c r="H69" s="97"/>
      <c r="I69" s="170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  <c r="BT69" s="128"/>
      <c r="BU69" s="128"/>
      <c r="BV69" s="97"/>
      <c r="BW69" s="97"/>
      <c r="BX69" s="97"/>
      <c r="BY69" s="97"/>
      <c r="BZ69" s="97"/>
      <c r="CA69" s="128"/>
    </row>
    <row r="70" spans="2:79" ht="12.75" hidden="1" customHeight="1" collapsed="1" x14ac:dyDescent="0.3">
      <c r="B70" s="68" t="s">
        <v>144</v>
      </c>
      <c r="C70" s="69">
        <v>30500000</v>
      </c>
      <c r="D70" s="129">
        <f>SUM(J70:AB70)</f>
        <v>23156921.939999998</v>
      </c>
      <c r="E70" s="129">
        <f>+C70-D70</f>
        <v>7343078.0600000024</v>
      </c>
      <c r="F70" s="129">
        <v>1691904.63</v>
      </c>
      <c r="G70" s="129">
        <v>311364.64</v>
      </c>
      <c r="H70" s="129">
        <f>+D70+F70-G70</f>
        <v>24537461.929999996</v>
      </c>
      <c r="I70" s="130">
        <f>IF(H$73=0,0,H70/H$73)</f>
        <v>0.5846638497280805</v>
      </c>
      <c r="J70" s="156">
        <v>12715384.369999999</v>
      </c>
      <c r="K70" s="156"/>
      <c r="L70" s="156"/>
      <c r="M70" s="156">
        <v>128745.38000000081</v>
      </c>
      <c r="N70" s="156">
        <v>552632.58000000007</v>
      </c>
      <c r="O70" s="156">
        <v>120006</v>
      </c>
      <c r="P70" s="156">
        <v>535636</v>
      </c>
      <c r="Q70" s="156">
        <v>3007799.9999999981</v>
      </c>
      <c r="R70" s="156">
        <v>223322.53000000119</v>
      </c>
      <c r="S70" s="156">
        <v>-405849.76000000158</v>
      </c>
      <c r="T70" s="156">
        <v>842419.69999999925</v>
      </c>
      <c r="U70" s="156">
        <v>339222.21999999881</v>
      </c>
      <c r="V70" s="156">
        <v>2552697.430000003</v>
      </c>
      <c r="W70" s="156">
        <v>517341.31000000238</v>
      </c>
      <c r="X70" s="156"/>
      <c r="Y70" s="156">
        <v>347884.06999999657</v>
      </c>
      <c r="Z70" s="156">
        <v>1360886.550000001</v>
      </c>
      <c r="AA70" s="156">
        <v>190305.57</v>
      </c>
      <c r="AB70" s="156">
        <f>118333.33+10154.66</f>
        <v>128487.99</v>
      </c>
      <c r="AC70" s="132">
        <v>800000</v>
      </c>
      <c r="AD70" s="132"/>
      <c r="AE70" s="132">
        <v>400000</v>
      </c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2"/>
      <c r="BE70" s="132"/>
      <c r="BF70" s="132"/>
      <c r="BG70" s="132"/>
      <c r="BH70" s="132"/>
      <c r="BI70" s="132"/>
      <c r="BJ70" s="132"/>
      <c r="BK70" s="132"/>
      <c r="BL70" s="132"/>
      <c r="BM70" s="132"/>
      <c r="BN70" s="132"/>
      <c r="BO70" s="132"/>
      <c r="BP70" s="132"/>
      <c r="BQ70" s="132"/>
      <c r="BR70" s="132"/>
      <c r="BS70" s="132"/>
      <c r="BT70" s="132"/>
      <c r="BU70" s="132"/>
      <c r="BV70" s="133">
        <f>SUM(AB70:BU70)</f>
        <v>1328487.99</v>
      </c>
      <c r="BW70" s="134"/>
      <c r="BX70" s="134"/>
      <c r="BY70" s="134"/>
      <c r="BZ70" s="134"/>
      <c r="CA70" s="132">
        <f>+H70+AB70+AC70+AD70+AE70+AF70+AG70</f>
        <v>25865949.919999994</v>
      </c>
    </row>
    <row r="71" spans="2:79" ht="12.75" hidden="1" customHeight="1" collapsed="1" x14ac:dyDescent="0.3">
      <c r="B71" s="68" t="s">
        <v>145</v>
      </c>
      <c r="C71" s="69">
        <v>19863403.18</v>
      </c>
      <c r="D71" s="129">
        <f>SUM(J71:AB71)</f>
        <v>0</v>
      </c>
      <c r="E71" s="129">
        <f>+C71-D71</f>
        <v>19863403.18</v>
      </c>
      <c r="F71" s="129"/>
      <c r="G71" s="129"/>
      <c r="H71" s="129">
        <f>+D71+F71-G71</f>
        <v>0</v>
      </c>
      <c r="I71" s="130">
        <f>IF(H$73=0,0,H71/H$73)</f>
        <v>0</v>
      </c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  <c r="AA71" s="156"/>
      <c r="AB71" s="156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>
        <v>541413</v>
      </c>
      <c r="AQ71" s="132">
        <v>541413</v>
      </c>
      <c r="AR71" s="132">
        <v>541413</v>
      </c>
      <c r="AS71" s="132">
        <v>541413</v>
      </c>
      <c r="AT71" s="132">
        <v>541413</v>
      </c>
      <c r="AU71" s="132">
        <v>541413</v>
      </c>
      <c r="AV71" s="132">
        <v>541413</v>
      </c>
      <c r="AW71" s="132">
        <v>541413</v>
      </c>
      <c r="AX71" s="132">
        <v>541413</v>
      </c>
      <c r="AY71" s="132">
        <v>541413</v>
      </c>
      <c r="AZ71" s="132">
        <v>541413</v>
      </c>
      <c r="BA71" s="132">
        <v>541413</v>
      </c>
      <c r="BB71" s="132">
        <v>541413</v>
      </c>
      <c r="BC71" s="132">
        <v>541413</v>
      </c>
      <c r="BD71" s="132">
        <v>541413</v>
      </c>
      <c r="BE71" s="132">
        <v>541413</v>
      </c>
      <c r="BF71" s="132">
        <v>541413</v>
      </c>
      <c r="BG71" s="132">
        <v>541413</v>
      </c>
      <c r="BH71" s="132">
        <v>541413</v>
      </c>
      <c r="BI71" s="132">
        <v>541413</v>
      </c>
      <c r="BJ71" s="132">
        <v>541413</v>
      </c>
      <c r="BK71" s="132">
        <v>541413</v>
      </c>
      <c r="BL71" s="132">
        <v>541413</v>
      </c>
      <c r="BM71" s="132">
        <v>541413</v>
      </c>
      <c r="BN71" s="132">
        <v>541413</v>
      </c>
      <c r="BO71" s="132">
        <v>541413</v>
      </c>
      <c r="BP71" s="132">
        <v>541413</v>
      </c>
      <c r="BQ71" s="132">
        <v>541413</v>
      </c>
      <c r="BR71" s="132">
        <v>541413</v>
      </c>
      <c r="BS71" s="132">
        <v>541413</v>
      </c>
      <c r="BT71" s="132">
        <v>541413</v>
      </c>
      <c r="BU71" s="132">
        <v>541413</v>
      </c>
      <c r="BV71" s="133">
        <f>SUM(AB71:BU71)</f>
        <v>17325216</v>
      </c>
      <c r="BW71" s="134"/>
      <c r="BX71" s="134"/>
      <c r="BY71" s="134"/>
      <c r="BZ71" s="134"/>
      <c r="CA71" s="132">
        <f>+H71+AB71+AC71+AD71+AE71+AF71+AG71</f>
        <v>0</v>
      </c>
    </row>
    <row r="72" spans="2:79" ht="12.75" hidden="1" customHeight="1" collapsed="1" thickBot="1" x14ac:dyDescent="0.35">
      <c r="B72" s="68" t="s">
        <v>146</v>
      </c>
      <c r="C72" s="69">
        <v>232739209.21000001</v>
      </c>
      <c r="D72" s="129">
        <f>SUM(J72:AB72)</f>
        <v>17431033.199999999</v>
      </c>
      <c r="E72" s="129">
        <f>+C72-D72</f>
        <v>215308176.01000002</v>
      </c>
      <c r="F72" s="129"/>
      <c r="G72" s="129"/>
      <c r="H72" s="129">
        <f>+D72+F72-G72</f>
        <v>17431033.199999999</v>
      </c>
      <c r="I72" s="130">
        <f>IF(H$73=0,0,H72/H$73)</f>
        <v>0.4153361502719195</v>
      </c>
      <c r="J72" s="156"/>
      <c r="K72" s="156"/>
      <c r="L72" s="156"/>
      <c r="M72" s="156"/>
      <c r="N72" s="156"/>
      <c r="O72" s="156"/>
      <c r="P72" s="156"/>
      <c r="Q72" s="156">
        <v>1169797.55</v>
      </c>
      <c r="R72" s="156">
        <v>-1169797.55</v>
      </c>
      <c r="S72" s="156"/>
      <c r="T72" s="156"/>
      <c r="U72" s="156">
        <v>5900</v>
      </c>
      <c r="V72" s="156">
        <v>4408448</v>
      </c>
      <c r="W72" s="156"/>
      <c r="X72" s="156"/>
      <c r="Y72" s="156">
        <v>8473629.6600000001</v>
      </c>
      <c r="Z72" s="156">
        <v>-9722.2200000006706</v>
      </c>
      <c r="AA72" s="156">
        <v>2749999.99</v>
      </c>
      <c r="AB72" s="156">
        <v>1802777.77</v>
      </c>
      <c r="AC72" s="132">
        <f>+'Intereses 06-26'!Z39</f>
        <v>2447916.666666667</v>
      </c>
      <c r="AD72" s="132">
        <f>+'Intereses 06-26'!AA39</f>
        <v>4937500</v>
      </c>
      <c r="AE72" s="132">
        <f>+'Intereses 06-26'!AB39</f>
        <v>6937500</v>
      </c>
      <c r="AF72" s="132">
        <f>+'Intereses 06-26'!AC39</f>
        <v>3718750.0000000009</v>
      </c>
      <c r="AG72" s="132">
        <f>+'Intereses 06-26'!AD39</f>
        <v>4989583.333333334</v>
      </c>
      <c r="AH72" s="132">
        <v>4403333.333333333</v>
      </c>
      <c r="AI72" s="132"/>
      <c r="AJ72" s="132">
        <v>5623333.333333333</v>
      </c>
      <c r="AK72" s="132">
        <v>5623333.333333333</v>
      </c>
      <c r="AL72" s="132">
        <v>6843333.333333333</v>
      </c>
      <c r="AM72" s="132">
        <v>7093333.333333333</v>
      </c>
      <c r="AN72" s="132">
        <v>8313333.333333333</v>
      </c>
      <c r="AO72" s="132">
        <v>7946925.1955883326</v>
      </c>
      <c r="AP72" s="132">
        <v>7810515.5663972171</v>
      </c>
      <c r="AQ72" s="132">
        <v>7567851.9864762966</v>
      </c>
      <c r="AR72" s="132">
        <v>7093109.5665653283</v>
      </c>
      <c r="AS72" s="132">
        <v>6537145.7218756834</v>
      </c>
      <c r="AT72" s="132">
        <v>6661326.4630396729</v>
      </c>
      <c r="AU72" s="132">
        <v>5761400.0829124684</v>
      </c>
      <c r="AV72" s="132">
        <v>5179332.0717897527</v>
      </c>
      <c r="AW72" s="132">
        <v>3849727.1635167552</v>
      </c>
      <c r="AX72" s="132">
        <v>3531419.3891150039</v>
      </c>
      <c r="AY72" s="132">
        <v>3531419.3891150039</v>
      </c>
      <c r="AZ72" s="132">
        <v>3449257.6590242949</v>
      </c>
      <c r="BA72" s="132">
        <v>2947499.6039335872</v>
      </c>
      <c r="BB72" s="132">
        <v>2527292.5260921218</v>
      </c>
      <c r="BC72" s="132">
        <v>2159596.2894582362</v>
      </c>
      <c r="BD72" s="132">
        <v>1799282.9188423359</v>
      </c>
      <c r="BE72" s="132">
        <v>1555421.221254488</v>
      </c>
      <c r="BF72" s="132"/>
      <c r="BG72" s="132"/>
      <c r="BH72" s="132"/>
      <c r="BI72" s="132"/>
      <c r="BJ72" s="132"/>
      <c r="BK72" s="132"/>
      <c r="BL72" s="132"/>
      <c r="BM72" s="132"/>
      <c r="BN72" s="132"/>
      <c r="BO72" s="132"/>
      <c r="BP72" s="132"/>
      <c r="BQ72" s="132"/>
      <c r="BR72" s="132"/>
      <c r="BS72" s="132"/>
      <c r="BT72" s="132"/>
      <c r="BU72" s="132"/>
      <c r="BV72" s="133">
        <f>SUM(AB72:BU72)</f>
        <v>142642550.58499664</v>
      </c>
      <c r="BW72" s="134"/>
      <c r="BX72" s="134"/>
      <c r="BY72" s="134"/>
      <c r="BZ72" s="134"/>
      <c r="CA72" s="132">
        <f>+H72+AB72+AC72+AD72+AE72+AF72+AG72</f>
        <v>42265060.970000006</v>
      </c>
    </row>
    <row r="73" spans="2:79" ht="15" customHeight="1" thickBot="1" x14ac:dyDescent="0.35">
      <c r="B73" s="158" t="s">
        <v>581</v>
      </c>
      <c r="C73" s="159">
        <f>+C70+C71+C72</f>
        <v>283102612.38999999</v>
      </c>
      <c r="D73" s="159">
        <f>+D70+D71+D72</f>
        <v>40587955.140000001</v>
      </c>
      <c r="E73" s="159">
        <f>+E70+E71+E72</f>
        <v>242514657.25000003</v>
      </c>
      <c r="F73" s="209">
        <v>1691904.63</v>
      </c>
      <c r="G73" s="209">
        <v>311364.64</v>
      </c>
      <c r="H73" s="159">
        <f>+H70+H71+H72</f>
        <v>41968495.129999995</v>
      </c>
      <c r="I73" s="160">
        <f>IF(H$75=0,0,H73/H$75)</f>
        <v>5.9701802556237103E-2</v>
      </c>
      <c r="J73" s="161">
        <f t="shared" ref="J73:AA73" si="31">+J70+J71+J72</f>
        <v>12715384.369999999</v>
      </c>
      <c r="K73" s="161">
        <f t="shared" si="31"/>
        <v>0</v>
      </c>
      <c r="L73" s="161">
        <f t="shared" si="31"/>
        <v>0</v>
      </c>
      <c r="M73" s="161">
        <f t="shared" si="31"/>
        <v>128745.38000000081</v>
      </c>
      <c r="N73" s="161">
        <f t="shared" si="31"/>
        <v>552632.58000000007</v>
      </c>
      <c r="O73" s="161">
        <f t="shared" si="31"/>
        <v>120006</v>
      </c>
      <c r="P73" s="161">
        <f t="shared" si="31"/>
        <v>535636</v>
      </c>
      <c r="Q73" s="161">
        <f t="shared" si="31"/>
        <v>4177597.549999998</v>
      </c>
      <c r="R73" s="161">
        <f t="shared" si="31"/>
        <v>-946475.01999999885</v>
      </c>
      <c r="S73" s="161">
        <f t="shared" si="31"/>
        <v>-405849.76000000158</v>
      </c>
      <c r="T73" s="161">
        <f t="shared" si="31"/>
        <v>842419.69999999925</v>
      </c>
      <c r="U73" s="161">
        <f t="shared" si="31"/>
        <v>345122.21999999881</v>
      </c>
      <c r="V73" s="161">
        <f t="shared" si="31"/>
        <v>6961145.4300000034</v>
      </c>
      <c r="W73" s="161">
        <f t="shared" si="31"/>
        <v>517341.31000000238</v>
      </c>
      <c r="X73" s="161">
        <f t="shared" si="31"/>
        <v>0</v>
      </c>
      <c r="Y73" s="161">
        <f t="shared" si="31"/>
        <v>8821513.7299999967</v>
      </c>
      <c r="Z73" s="161">
        <f t="shared" si="31"/>
        <v>1351164.3300000003</v>
      </c>
      <c r="AA73" s="161">
        <f t="shared" si="31"/>
        <v>2940305.56</v>
      </c>
      <c r="AB73" s="161">
        <f t="shared" ref="AB73:CA73" si="32">SUM(AB70:AB72)</f>
        <v>1931265.76</v>
      </c>
      <c r="AC73" s="162">
        <f t="shared" si="32"/>
        <v>3247916.666666667</v>
      </c>
      <c r="AD73" s="162">
        <f t="shared" si="32"/>
        <v>4937500</v>
      </c>
      <c r="AE73" s="162">
        <f t="shared" si="32"/>
        <v>7337500</v>
      </c>
      <c r="AF73" s="162">
        <f t="shared" si="32"/>
        <v>3718750.0000000009</v>
      </c>
      <c r="AG73" s="162">
        <f t="shared" si="32"/>
        <v>4989583.333333334</v>
      </c>
      <c r="AH73" s="162">
        <f t="shared" si="32"/>
        <v>4403333.333333333</v>
      </c>
      <c r="AI73" s="162">
        <f t="shared" ref="AI73" si="33">SUM(AB73:AH73)+H73</f>
        <v>72534344.223333329</v>
      </c>
      <c r="AJ73" s="162">
        <f t="shared" si="32"/>
        <v>5623333.333333333</v>
      </c>
      <c r="AK73" s="162">
        <f t="shared" si="32"/>
        <v>5623333.333333333</v>
      </c>
      <c r="AL73" s="162">
        <f t="shared" si="32"/>
        <v>6843333.333333333</v>
      </c>
      <c r="AM73" s="162">
        <f t="shared" si="32"/>
        <v>7093333.333333333</v>
      </c>
      <c r="AN73" s="162">
        <f t="shared" si="32"/>
        <v>8313333.333333333</v>
      </c>
      <c r="AO73" s="162">
        <f t="shared" si="32"/>
        <v>7946925.1955883326</v>
      </c>
      <c r="AP73" s="162">
        <f t="shared" si="32"/>
        <v>8351928.5663972171</v>
      </c>
      <c r="AQ73" s="162">
        <f t="shared" si="32"/>
        <v>8109264.9864762966</v>
      </c>
      <c r="AR73" s="162">
        <f t="shared" si="32"/>
        <v>7634522.5665653283</v>
      </c>
      <c r="AS73" s="162">
        <f t="shared" si="32"/>
        <v>7078558.7218756834</v>
      </c>
      <c r="AT73" s="162">
        <f t="shared" si="32"/>
        <v>7202739.4630396729</v>
      </c>
      <c r="AU73" s="162">
        <f t="shared" si="32"/>
        <v>6302813.0829124684</v>
      </c>
      <c r="AV73" s="162">
        <f t="shared" si="32"/>
        <v>5720745.0717897527</v>
      </c>
      <c r="AW73" s="162">
        <f t="shared" si="32"/>
        <v>4391140.1635167552</v>
      </c>
      <c r="AX73" s="162">
        <f t="shared" si="32"/>
        <v>4072832.3891150039</v>
      </c>
      <c r="AY73" s="162">
        <f t="shared" si="32"/>
        <v>4072832.3891150039</v>
      </c>
      <c r="AZ73" s="162">
        <f t="shared" si="32"/>
        <v>3990670.6590242949</v>
      </c>
      <c r="BA73" s="162">
        <f t="shared" si="32"/>
        <v>3488912.6039335872</v>
      </c>
      <c r="BB73" s="162">
        <f t="shared" si="32"/>
        <v>3068705.5260921218</v>
      </c>
      <c r="BC73" s="162">
        <f t="shared" si="32"/>
        <v>2701009.2894582362</v>
      </c>
      <c r="BD73" s="162">
        <f t="shared" si="32"/>
        <v>2340695.9188423362</v>
      </c>
      <c r="BE73" s="162">
        <f t="shared" si="32"/>
        <v>2096834.221254488</v>
      </c>
      <c r="BF73" s="162">
        <f t="shared" si="32"/>
        <v>541413</v>
      </c>
      <c r="BG73" s="162">
        <f t="shared" si="32"/>
        <v>541413</v>
      </c>
      <c r="BH73" s="162">
        <f t="shared" si="32"/>
        <v>541413</v>
      </c>
      <c r="BI73" s="162">
        <f t="shared" si="32"/>
        <v>541413</v>
      </c>
      <c r="BJ73" s="162">
        <f t="shared" si="32"/>
        <v>541413</v>
      </c>
      <c r="BK73" s="162">
        <f t="shared" si="32"/>
        <v>541413</v>
      </c>
      <c r="BL73" s="162">
        <f t="shared" si="32"/>
        <v>541413</v>
      </c>
      <c r="BM73" s="162">
        <f t="shared" si="32"/>
        <v>541413</v>
      </c>
      <c r="BN73" s="162">
        <f t="shared" si="32"/>
        <v>541413</v>
      </c>
      <c r="BO73" s="162">
        <f t="shared" si="32"/>
        <v>541413</v>
      </c>
      <c r="BP73" s="162">
        <f t="shared" si="32"/>
        <v>541413</v>
      </c>
      <c r="BQ73" s="162">
        <f t="shared" si="32"/>
        <v>541413</v>
      </c>
      <c r="BR73" s="162">
        <f t="shared" si="32"/>
        <v>541413</v>
      </c>
      <c r="BS73" s="162">
        <f t="shared" si="32"/>
        <v>541413</v>
      </c>
      <c r="BT73" s="162">
        <f t="shared" si="32"/>
        <v>541413</v>
      </c>
      <c r="BU73" s="162">
        <f t="shared" si="32"/>
        <v>541413</v>
      </c>
      <c r="BV73" s="162">
        <f t="shared" si="32"/>
        <v>161296254.57499665</v>
      </c>
      <c r="BW73" s="162">
        <f t="shared" si="32"/>
        <v>0</v>
      </c>
      <c r="BX73" s="162">
        <f t="shared" si="32"/>
        <v>0</v>
      </c>
      <c r="BY73" s="162">
        <f t="shared" si="32"/>
        <v>0</v>
      </c>
      <c r="BZ73" s="162">
        <f t="shared" si="32"/>
        <v>0</v>
      </c>
      <c r="CA73" s="162">
        <f t="shared" si="32"/>
        <v>68131010.890000001</v>
      </c>
    </row>
    <row r="74" spans="2:79" ht="6.6" customHeight="1" x14ac:dyDescent="0.3">
      <c r="B74" s="171"/>
      <c r="C74" s="172"/>
      <c r="D74" s="173"/>
      <c r="E74" s="173"/>
      <c r="F74" s="173"/>
      <c r="G74" s="173"/>
      <c r="H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00"/>
      <c r="AD74" s="100"/>
      <c r="AE74" s="100"/>
      <c r="AF74" s="100"/>
      <c r="AG74" s="100"/>
      <c r="AH74" s="100"/>
      <c r="AI74" s="355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  <c r="BH74" s="100"/>
      <c r="BI74" s="100"/>
      <c r="BJ74" s="100"/>
      <c r="BK74" s="100"/>
      <c r="BL74" s="100"/>
      <c r="BM74" s="100"/>
      <c r="BN74" s="100"/>
      <c r="BO74" s="100"/>
      <c r="BP74" s="100"/>
      <c r="BQ74" s="100"/>
      <c r="BR74" s="100"/>
      <c r="BS74" s="100"/>
      <c r="BT74" s="100"/>
      <c r="BU74" s="100"/>
      <c r="BV74" s="100"/>
      <c r="CA74" s="100"/>
    </row>
    <row r="75" spans="2:79" ht="15" thickBot="1" x14ac:dyDescent="0.35">
      <c r="B75" s="79" t="s">
        <v>148</v>
      </c>
      <c r="C75" s="80">
        <f t="shared" ref="C75:E76" si="34">+C45+C68+C73</f>
        <v>3428528420.7185917</v>
      </c>
      <c r="D75" s="80">
        <f t="shared" si="34"/>
        <v>712326162.73000002</v>
      </c>
      <c r="E75" s="80">
        <f t="shared" si="34"/>
        <v>2716202257.9885921</v>
      </c>
      <c r="F75" s="212">
        <v>9210448.8599999994</v>
      </c>
      <c r="G75" s="212">
        <v>18627534.91</v>
      </c>
      <c r="H75" s="80">
        <f t="shared" ref="H75:BT75" si="35">+H45+H68+H73</f>
        <v>702968643.03999996</v>
      </c>
      <c r="I75" s="92">
        <f t="shared" si="35"/>
        <v>1</v>
      </c>
      <c r="J75" s="80">
        <f t="shared" si="35"/>
        <v>150891273.92000002</v>
      </c>
      <c r="K75" s="80">
        <f t="shared" si="35"/>
        <v>3157503.3</v>
      </c>
      <c r="L75" s="80">
        <f t="shared" si="35"/>
        <v>2613690.2399999998</v>
      </c>
      <c r="M75" s="80">
        <f t="shared" si="35"/>
        <v>2895724.790000001</v>
      </c>
      <c r="N75" s="80">
        <f t="shared" si="35"/>
        <v>7649161.759999997</v>
      </c>
      <c r="O75" s="80">
        <f t="shared" si="35"/>
        <v>6705088.7200000007</v>
      </c>
      <c r="P75" s="80">
        <f t="shared" si="35"/>
        <v>8624247.7999999989</v>
      </c>
      <c r="Q75" s="80">
        <f t="shared" si="35"/>
        <v>38327199.519999996</v>
      </c>
      <c r="R75" s="80">
        <f t="shared" si="35"/>
        <v>196969129.13999999</v>
      </c>
      <c r="S75" s="80">
        <f t="shared" si="35"/>
        <v>578816.55999998003</v>
      </c>
      <c r="T75" s="80">
        <f t="shared" si="35"/>
        <v>20640877.379999999</v>
      </c>
      <c r="U75" s="80">
        <f t="shared" si="35"/>
        <v>23621503.979999997</v>
      </c>
      <c r="V75" s="80">
        <f t="shared" si="35"/>
        <v>34560086.440000027</v>
      </c>
      <c r="W75" s="80">
        <f t="shared" si="35"/>
        <v>13999106.719999997</v>
      </c>
      <c r="X75" s="80">
        <f t="shared" si="35"/>
        <v>23200879.66</v>
      </c>
      <c r="Y75" s="80">
        <f t="shared" si="35"/>
        <v>52433620.689999998</v>
      </c>
      <c r="Z75" s="80">
        <f t="shared" si="35"/>
        <v>27092959.080000002</v>
      </c>
      <c r="AA75" s="80">
        <f t="shared" si="35"/>
        <v>49366382.509999998</v>
      </c>
      <c r="AB75" s="80">
        <f t="shared" si="35"/>
        <v>48998910.520000003</v>
      </c>
      <c r="AC75" s="89">
        <f t="shared" si="35"/>
        <v>143700628.49666664</v>
      </c>
      <c r="AD75" s="89">
        <f t="shared" si="35"/>
        <v>101926544.92</v>
      </c>
      <c r="AE75" s="89">
        <f t="shared" si="35"/>
        <v>106054700.09999999</v>
      </c>
      <c r="AF75" s="89">
        <f t="shared" si="35"/>
        <v>96702272.569999993</v>
      </c>
      <c r="AG75" s="89">
        <f t="shared" si="35"/>
        <v>96017781.133333325</v>
      </c>
      <c r="AH75" s="89">
        <f t="shared" si="35"/>
        <v>87994390.633333325</v>
      </c>
      <c r="AI75" s="89">
        <f t="shared" ref="AI75" si="36">SUM(AB75:AH75)+H75</f>
        <v>1384363871.4133334</v>
      </c>
      <c r="AJ75" s="89">
        <f t="shared" si="35"/>
        <v>113001813.63333333</v>
      </c>
      <c r="AK75" s="89">
        <f t="shared" si="35"/>
        <v>160869102.63333336</v>
      </c>
      <c r="AL75" s="89">
        <f t="shared" si="35"/>
        <v>103638398.63333333</v>
      </c>
      <c r="AM75" s="89">
        <f t="shared" si="35"/>
        <v>94628571.633333325</v>
      </c>
      <c r="AN75" s="89">
        <f t="shared" si="35"/>
        <v>112271184.63333333</v>
      </c>
      <c r="AO75" s="89">
        <f t="shared" si="35"/>
        <v>95905791.495588332</v>
      </c>
      <c r="AP75" s="89">
        <f t="shared" si="35"/>
        <v>66199858.866397217</v>
      </c>
      <c r="AQ75" s="89">
        <f t="shared" si="35"/>
        <v>109039757.2864763</v>
      </c>
      <c r="AR75" s="89">
        <f t="shared" si="35"/>
        <v>96633019.866565332</v>
      </c>
      <c r="AS75" s="89">
        <f t="shared" si="35"/>
        <v>86227034.021875679</v>
      </c>
      <c r="AT75" s="89">
        <f t="shared" si="35"/>
        <v>126715282.76303966</v>
      </c>
      <c r="AU75" s="89">
        <f t="shared" si="35"/>
        <v>82455311.382912472</v>
      </c>
      <c r="AV75" s="89">
        <f t="shared" si="35"/>
        <v>75558264.371789753</v>
      </c>
      <c r="AW75" s="89">
        <f t="shared" si="35"/>
        <v>153135007.46351677</v>
      </c>
      <c r="AX75" s="89">
        <f t="shared" si="35"/>
        <v>101118740.689115</v>
      </c>
      <c r="AY75" s="89">
        <f t="shared" si="35"/>
        <v>71985587.689115003</v>
      </c>
      <c r="AZ75" s="89">
        <f t="shared" si="35"/>
        <v>75728125.959024295</v>
      </c>
      <c r="BA75" s="89">
        <f t="shared" si="35"/>
        <v>55126367.903933585</v>
      </c>
      <c r="BB75" s="89">
        <f t="shared" si="35"/>
        <v>55138860.826092117</v>
      </c>
      <c r="BC75" s="89">
        <f t="shared" si="35"/>
        <v>68239610.589458227</v>
      </c>
      <c r="BD75" s="89">
        <f t="shared" si="35"/>
        <v>39128287.218842335</v>
      </c>
      <c r="BE75" s="89">
        <f t="shared" si="35"/>
        <v>38527971.521254487</v>
      </c>
      <c r="BF75" s="89">
        <f t="shared" si="35"/>
        <v>30299986</v>
      </c>
      <c r="BG75" s="89">
        <f t="shared" si="35"/>
        <v>12877495</v>
      </c>
      <c r="BH75" s="89">
        <f t="shared" si="35"/>
        <v>6173306</v>
      </c>
      <c r="BI75" s="89">
        <f t="shared" si="35"/>
        <v>4953333</v>
      </c>
      <c r="BJ75" s="89">
        <f t="shared" si="35"/>
        <v>4953333</v>
      </c>
      <c r="BK75" s="89">
        <f t="shared" si="35"/>
        <v>4953333</v>
      </c>
      <c r="BL75" s="89">
        <f t="shared" si="35"/>
        <v>4953333</v>
      </c>
      <c r="BM75" s="89">
        <f t="shared" si="35"/>
        <v>4953333</v>
      </c>
      <c r="BN75" s="89">
        <f t="shared" si="35"/>
        <v>4248297</v>
      </c>
      <c r="BO75" s="89">
        <f t="shared" si="35"/>
        <v>4155492</v>
      </c>
      <c r="BP75" s="89">
        <f t="shared" si="35"/>
        <v>3832412</v>
      </c>
      <c r="BQ75" s="89">
        <f t="shared" si="35"/>
        <v>3832412</v>
      </c>
      <c r="BR75" s="89">
        <f t="shared" si="35"/>
        <v>3832412</v>
      </c>
      <c r="BS75" s="89">
        <f t="shared" si="35"/>
        <v>3587062</v>
      </c>
      <c r="BT75" s="89">
        <f t="shared" si="35"/>
        <v>3565264</v>
      </c>
      <c r="BU75" s="89">
        <f t="shared" ref="BU75:CA75" si="37">+BU45+BU68+BU73</f>
        <v>3565264</v>
      </c>
      <c r="BV75" s="89">
        <f t="shared" si="37"/>
        <v>2767403246.4549966</v>
      </c>
      <c r="BW75" s="89">
        <f t="shared" si="37"/>
        <v>0</v>
      </c>
      <c r="BX75" s="89">
        <f t="shared" si="37"/>
        <v>0</v>
      </c>
      <c r="BY75" s="89">
        <f t="shared" si="37"/>
        <v>0</v>
      </c>
      <c r="BZ75" s="89">
        <f t="shared" si="37"/>
        <v>0</v>
      </c>
      <c r="CA75" s="89">
        <f t="shared" si="37"/>
        <v>1296369480.78</v>
      </c>
    </row>
    <row r="76" spans="2:79" ht="15" hidden="1" thickBot="1" x14ac:dyDescent="0.35">
      <c r="B76" s="79" t="s">
        <v>149</v>
      </c>
      <c r="C76" s="80">
        <f t="shared" si="34"/>
        <v>0</v>
      </c>
      <c r="D76" s="80">
        <f t="shared" si="34"/>
        <v>0</v>
      </c>
      <c r="E76" s="80">
        <f t="shared" si="34"/>
        <v>0</v>
      </c>
      <c r="F76" s="80">
        <f>+F46+F69+F74</f>
        <v>0</v>
      </c>
      <c r="G76" s="80">
        <f>+G46+G69+G74</f>
        <v>0</v>
      </c>
      <c r="H76" s="80">
        <f>+H46+H69+H74</f>
        <v>0</v>
      </c>
      <c r="I76" s="175">
        <f>IF(C76=0,0,D76/C76)</f>
        <v>0</v>
      </c>
      <c r="J76" s="80">
        <f>+J75</f>
        <v>150891273.92000002</v>
      </c>
      <c r="K76" s="80">
        <f t="shared" ref="K76:Z76" si="38">+J76+K75</f>
        <v>154048777.22000003</v>
      </c>
      <c r="L76" s="80">
        <f t="shared" si="38"/>
        <v>156662467.46000004</v>
      </c>
      <c r="M76" s="80">
        <f t="shared" si="38"/>
        <v>159558192.25000003</v>
      </c>
      <c r="N76" s="80">
        <f t="shared" si="38"/>
        <v>167207354.01000002</v>
      </c>
      <c r="O76" s="80">
        <f t="shared" si="38"/>
        <v>173912442.73000002</v>
      </c>
      <c r="P76" s="80">
        <f t="shared" si="38"/>
        <v>182536690.53000003</v>
      </c>
      <c r="Q76" s="80">
        <f t="shared" si="38"/>
        <v>220863890.05000001</v>
      </c>
      <c r="R76" s="80">
        <f t="shared" si="38"/>
        <v>417833019.19</v>
      </c>
      <c r="S76" s="80">
        <f t="shared" si="38"/>
        <v>418411835.75</v>
      </c>
      <c r="T76" s="80">
        <f t="shared" si="38"/>
        <v>439052713.13</v>
      </c>
      <c r="U76" s="80">
        <f t="shared" si="38"/>
        <v>462674217.11000001</v>
      </c>
      <c r="V76" s="80">
        <f t="shared" si="38"/>
        <v>497234303.55000007</v>
      </c>
      <c r="W76" s="80">
        <f t="shared" si="38"/>
        <v>511233410.27000004</v>
      </c>
      <c r="X76" s="80">
        <f t="shared" si="38"/>
        <v>534434289.93000007</v>
      </c>
      <c r="Y76" s="80">
        <f t="shared" si="38"/>
        <v>586867910.62000012</v>
      </c>
      <c r="Z76" s="80">
        <f t="shared" si="38"/>
        <v>613960869.70000017</v>
      </c>
      <c r="AA76" s="80">
        <f>+Z76+AA75-G75+F75</f>
        <v>653910166.16000021</v>
      </c>
      <c r="AB76" s="80">
        <f t="shared" ref="AB76:BZ76" si="39">+AA76+AB75</f>
        <v>702909076.68000019</v>
      </c>
      <c r="AC76" s="89">
        <f t="shared" si="39"/>
        <v>846609705.17666686</v>
      </c>
      <c r="AD76" s="89">
        <f t="shared" si="39"/>
        <v>948536250.09666681</v>
      </c>
      <c r="AE76" s="89">
        <f t="shared" si="39"/>
        <v>1054590950.1966668</v>
      </c>
      <c r="AF76" s="89">
        <f t="shared" si="39"/>
        <v>1151293222.7666669</v>
      </c>
      <c r="AG76" s="89">
        <f t="shared" si="39"/>
        <v>1247311003.9000001</v>
      </c>
      <c r="AH76" s="89">
        <f t="shared" si="39"/>
        <v>1335305394.5333333</v>
      </c>
      <c r="AI76" s="89"/>
      <c r="AJ76" s="89">
        <f>+AH76+AJ75</f>
        <v>1448307208.1666665</v>
      </c>
      <c r="AK76" s="89">
        <f t="shared" si="39"/>
        <v>1609176310.8</v>
      </c>
      <c r="AL76" s="89">
        <f t="shared" si="39"/>
        <v>1712814709.4333334</v>
      </c>
      <c r="AM76" s="89">
        <f t="shared" si="39"/>
        <v>1807443281.0666666</v>
      </c>
      <c r="AN76" s="89">
        <f t="shared" si="39"/>
        <v>1919714465.6999998</v>
      </c>
      <c r="AO76" s="89">
        <f t="shared" si="39"/>
        <v>2015620257.1955881</v>
      </c>
      <c r="AP76" s="89">
        <f t="shared" si="39"/>
        <v>2081820116.0619853</v>
      </c>
      <c r="AQ76" s="89">
        <f t="shared" si="39"/>
        <v>2190859873.3484616</v>
      </c>
      <c r="AR76" s="89">
        <f t="shared" si="39"/>
        <v>2287492893.2150269</v>
      </c>
      <c r="AS76" s="89">
        <f t="shared" si="39"/>
        <v>2373719927.2369027</v>
      </c>
      <c r="AT76" s="89">
        <f t="shared" si="39"/>
        <v>2500435209.9999423</v>
      </c>
      <c r="AU76" s="89">
        <f t="shared" si="39"/>
        <v>2582890521.3828549</v>
      </c>
      <c r="AV76" s="89">
        <f t="shared" si="39"/>
        <v>2658448785.7546449</v>
      </c>
      <c r="AW76" s="89">
        <f t="shared" si="39"/>
        <v>2811583793.2181616</v>
      </c>
      <c r="AX76" s="89">
        <f t="shared" si="39"/>
        <v>2912702533.9072766</v>
      </c>
      <c r="AY76" s="89">
        <f t="shared" si="39"/>
        <v>2984688121.5963917</v>
      </c>
      <c r="AZ76" s="89">
        <f t="shared" si="39"/>
        <v>3060416247.5554161</v>
      </c>
      <c r="BA76" s="89">
        <f t="shared" si="39"/>
        <v>3115542615.4593496</v>
      </c>
      <c r="BB76" s="89">
        <f t="shared" si="39"/>
        <v>3170681476.2854419</v>
      </c>
      <c r="BC76" s="89">
        <f t="shared" si="39"/>
        <v>3238921086.8748999</v>
      </c>
      <c r="BD76" s="89">
        <f t="shared" si="39"/>
        <v>3278049374.0937424</v>
      </c>
      <c r="BE76" s="89">
        <f t="shared" si="39"/>
        <v>3316577345.6149969</v>
      </c>
      <c r="BF76" s="89">
        <f t="shared" si="39"/>
        <v>3346877331.6149969</v>
      </c>
      <c r="BG76" s="89">
        <f t="shared" si="39"/>
        <v>3359754826.6149969</v>
      </c>
      <c r="BH76" s="89">
        <f t="shared" si="39"/>
        <v>3365928132.6149969</v>
      </c>
      <c r="BI76" s="89">
        <f t="shared" si="39"/>
        <v>3370881465.6149969</v>
      </c>
      <c r="BJ76" s="89">
        <f t="shared" si="39"/>
        <v>3375834798.6149969</v>
      </c>
      <c r="BK76" s="89">
        <f t="shared" si="39"/>
        <v>3380788131.6149969</v>
      </c>
      <c r="BL76" s="89">
        <f t="shared" si="39"/>
        <v>3385741464.6149969</v>
      </c>
      <c r="BM76" s="89">
        <f t="shared" si="39"/>
        <v>3390694797.6149969</v>
      </c>
      <c r="BN76" s="89">
        <f t="shared" si="39"/>
        <v>3394943094.6149969</v>
      </c>
      <c r="BO76" s="89">
        <f t="shared" si="39"/>
        <v>3399098586.6149969</v>
      </c>
      <c r="BP76" s="89">
        <f t="shared" si="39"/>
        <v>3402930998.6149969</v>
      </c>
      <c r="BQ76" s="89">
        <f t="shared" si="39"/>
        <v>3406763410.6149969</v>
      </c>
      <c r="BR76" s="89">
        <f t="shared" si="39"/>
        <v>3410595822.6149969</v>
      </c>
      <c r="BS76" s="89">
        <f t="shared" si="39"/>
        <v>3414182884.6149969</v>
      </c>
      <c r="BT76" s="89">
        <f t="shared" si="39"/>
        <v>3417748148.6149969</v>
      </c>
      <c r="BU76" s="89">
        <f t="shared" si="39"/>
        <v>3421313412.6149969</v>
      </c>
      <c r="BV76" s="89">
        <f t="shared" si="39"/>
        <v>6188716659.069994</v>
      </c>
      <c r="BW76" s="89">
        <f t="shared" si="39"/>
        <v>6188716659.069994</v>
      </c>
      <c r="BX76" s="89">
        <f t="shared" si="39"/>
        <v>6188716659.069994</v>
      </c>
      <c r="BY76" s="89">
        <f t="shared" si="39"/>
        <v>6188716659.069994</v>
      </c>
      <c r="BZ76" s="89">
        <f t="shared" si="39"/>
        <v>6188716659.069994</v>
      </c>
      <c r="CA76" s="89">
        <f>+CA75</f>
        <v>1296369480.78</v>
      </c>
    </row>
    <row r="77" spans="2:79" ht="15" hidden="1" thickBot="1" x14ac:dyDescent="0.35">
      <c r="B77" s="68" t="s">
        <v>515</v>
      </c>
      <c r="C77" s="129"/>
      <c r="D77" s="129"/>
      <c r="E77" s="129"/>
      <c r="F77" s="129"/>
      <c r="G77" s="129"/>
      <c r="H77" s="129">
        <f>-273569.56-484512.22-2128.68</f>
        <v>-760210.46000000008</v>
      </c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100"/>
      <c r="AB77" s="100"/>
      <c r="AC77" s="100"/>
      <c r="AD77" s="100"/>
      <c r="AE77" s="100"/>
      <c r="AF77" s="100"/>
      <c r="AG77" s="100"/>
      <c r="AH77" s="100"/>
      <c r="AI77" s="355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00"/>
      <c r="BR77" s="100"/>
      <c r="BS77" s="100"/>
      <c r="BT77" s="100"/>
      <c r="BU77" s="100"/>
      <c r="BV77" s="100"/>
      <c r="CA77" s="100"/>
    </row>
    <row r="78" spans="2:79" ht="15" hidden="1" thickBot="1" x14ac:dyDescent="0.35">
      <c r="B78" s="68" t="s">
        <v>511</v>
      </c>
      <c r="C78" s="129"/>
      <c r="D78" s="129"/>
      <c r="E78" s="129"/>
      <c r="F78" s="129"/>
      <c r="G78" s="129"/>
      <c r="H78" s="129">
        <f>3942456+431409+56826</f>
        <v>4430691</v>
      </c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100"/>
      <c r="AB78" s="100"/>
      <c r="AC78" s="100"/>
      <c r="AD78" s="100"/>
      <c r="AE78" s="100"/>
      <c r="AF78" s="100"/>
      <c r="AG78" s="100"/>
      <c r="AH78" s="100"/>
      <c r="AI78" s="355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  <c r="BH78" s="100"/>
      <c r="BI78" s="100"/>
      <c r="BJ78" s="100"/>
      <c r="BK78" s="100"/>
      <c r="BL78" s="100"/>
      <c r="BM78" s="100"/>
      <c r="BN78" s="100"/>
      <c r="BO78" s="100"/>
      <c r="BP78" s="100"/>
      <c r="BQ78" s="100"/>
      <c r="BR78" s="100"/>
      <c r="BS78" s="100"/>
      <c r="BT78" s="100"/>
      <c r="BU78" s="100"/>
      <c r="BV78" s="100"/>
      <c r="CA78" s="100"/>
    </row>
    <row r="79" spans="2:79" ht="15" hidden="1" thickBot="1" x14ac:dyDescent="0.35">
      <c r="B79" s="68" t="s">
        <v>512</v>
      </c>
      <c r="C79" s="129"/>
      <c r="D79" s="129"/>
      <c r="E79" s="129"/>
      <c r="F79" s="129"/>
      <c r="G79" s="129"/>
      <c r="H79" s="129">
        <v>2021249.29</v>
      </c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100"/>
      <c r="AB79" s="100"/>
      <c r="AC79" s="100"/>
      <c r="AD79" s="100"/>
      <c r="AE79" s="100"/>
      <c r="AF79" s="100"/>
      <c r="AG79" s="100"/>
      <c r="AH79" s="100"/>
      <c r="AI79" s="355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0"/>
      <c r="BK79" s="100"/>
      <c r="BL79" s="100"/>
      <c r="BM79" s="100"/>
      <c r="BN79" s="100"/>
      <c r="BO79" s="100"/>
      <c r="BP79" s="100"/>
      <c r="BQ79" s="100"/>
      <c r="BR79" s="100"/>
      <c r="BS79" s="100"/>
      <c r="BT79" s="100"/>
      <c r="BU79" s="100"/>
      <c r="BV79" s="100"/>
      <c r="CA79" s="100"/>
    </row>
    <row r="80" spans="2:79" ht="15" hidden="1" thickBot="1" x14ac:dyDescent="0.35">
      <c r="B80" s="68" t="s">
        <v>513</v>
      </c>
      <c r="C80" s="129"/>
      <c r="D80" s="129"/>
      <c r="E80" s="129"/>
      <c r="F80" s="129"/>
      <c r="G80" s="129"/>
      <c r="H80" s="129">
        <v>59566.36</v>
      </c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100"/>
      <c r="AB80" s="100"/>
      <c r="AC80" s="100"/>
      <c r="AD80" s="100"/>
      <c r="AE80" s="100"/>
      <c r="AF80" s="100"/>
      <c r="AG80" s="100"/>
      <c r="AH80" s="100"/>
      <c r="AI80" s="355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  <c r="BH80" s="100"/>
      <c r="BI80" s="100"/>
      <c r="BJ80" s="100"/>
      <c r="BK80" s="100"/>
      <c r="BL80" s="100"/>
      <c r="BM80" s="100"/>
      <c r="BN80" s="100"/>
      <c r="BO80" s="100"/>
      <c r="BP80" s="100"/>
      <c r="BQ80" s="100"/>
      <c r="BR80" s="100"/>
      <c r="BS80" s="100"/>
      <c r="BT80" s="100"/>
      <c r="BU80" s="100"/>
      <c r="BV80" s="100"/>
      <c r="CA80" s="100"/>
    </row>
    <row r="81" spans="2:79" ht="15" thickBot="1" x14ac:dyDescent="0.35">
      <c r="B81" s="158" t="s">
        <v>514</v>
      </c>
      <c r="C81" s="159"/>
      <c r="D81" s="159"/>
      <c r="E81" s="159"/>
      <c r="F81" s="209"/>
      <c r="G81" s="209"/>
      <c r="H81" s="159">
        <f>SUM(H77:H80)</f>
        <v>5751296.1900000004</v>
      </c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100"/>
      <c r="AB81" s="100"/>
      <c r="AC81" s="100"/>
      <c r="AD81" s="100"/>
      <c r="AE81" s="100"/>
      <c r="AF81" s="100"/>
      <c r="AG81" s="100"/>
      <c r="AH81" s="100"/>
      <c r="AI81" s="355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00"/>
      <c r="BR81" s="100"/>
      <c r="BS81" s="100"/>
      <c r="BT81" s="100"/>
      <c r="BU81" s="100"/>
      <c r="BV81" s="100"/>
      <c r="CA81" s="100"/>
    </row>
    <row r="82" spans="2:79" hidden="1" x14ac:dyDescent="0.3">
      <c r="B82" s="81" t="s">
        <v>150</v>
      </c>
      <c r="C82" s="81"/>
      <c r="D82" s="176"/>
      <c r="E82" s="176"/>
      <c r="F82" s="176"/>
      <c r="G82" s="176"/>
      <c r="H82" s="176">
        <f>+AB83</f>
        <v>49199806.619999826</v>
      </c>
      <c r="I82" s="177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  <c r="AA82" s="176"/>
      <c r="AB82" s="176">
        <f>+AB24-AB75</f>
        <v>9327294.9899999946</v>
      </c>
      <c r="AC82" s="176">
        <f t="shared" ref="AC82:BU82" si="40">+AC24-AC75</f>
        <v>-25700628.49666664</v>
      </c>
      <c r="AD82" s="176">
        <f t="shared" si="40"/>
        <v>16073455.079999998</v>
      </c>
      <c r="AE82" s="176">
        <f t="shared" si="40"/>
        <v>-98054700.099999994</v>
      </c>
      <c r="AF82" s="176">
        <f t="shared" si="40"/>
        <v>-78702272.569999993</v>
      </c>
      <c r="AG82" s="176">
        <f t="shared" si="40"/>
        <v>81982218.866666675</v>
      </c>
      <c r="AH82" s="176">
        <f t="shared" si="40"/>
        <v>-69994390.633333325</v>
      </c>
      <c r="AI82" s="176"/>
      <c r="AJ82" s="176">
        <f t="shared" si="40"/>
        <v>-113001813.63333333</v>
      </c>
      <c r="AK82" s="176">
        <f t="shared" si="40"/>
        <v>-160869102.63333336</v>
      </c>
      <c r="AL82" s="176">
        <f t="shared" si="40"/>
        <v>-103638398.63333333</v>
      </c>
      <c r="AM82" s="176">
        <f t="shared" si="40"/>
        <v>-94628571.633333325</v>
      </c>
      <c r="AN82" s="176">
        <f t="shared" si="40"/>
        <v>-112271184.63333333</v>
      </c>
      <c r="AO82" s="176">
        <f t="shared" si="40"/>
        <v>-95905791.495588332</v>
      </c>
      <c r="AP82" s="176">
        <f t="shared" si="40"/>
        <v>-66199858.866397217</v>
      </c>
      <c r="AQ82" s="176">
        <f t="shared" si="40"/>
        <v>-109039757.2864763</v>
      </c>
      <c r="AR82" s="176">
        <f t="shared" si="40"/>
        <v>-96633019.866565332</v>
      </c>
      <c r="AS82" s="176">
        <f t="shared" si="40"/>
        <v>-86227034.021875679</v>
      </c>
      <c r="AT82" s="176">
        <f t="shared" si="40"/>
        <v>-126715282.76303966</v>
      </c>
      <c r="AU82" s="176">
        <f t="shared" si="40"/>
        <v>-82455311.382912472</v>
      </c>
      <c r="AV82" s="176">
        <f t="shared" si="40"/>
        <v>-75558264.371789753</v>
      </c>
      <c r="AW82" s="176">
        <f t="shared" si="40"/>
        <v>-153135007.46351677</v>
      </c>
      <c r="AX82" s="176">
        <f t="shared" si="40"/>
        <v>-101118740.689115</v>
      </c>
      <c r="AY82" s="176">
        <f t="shared" si="40"/>
        <v>-71985587.689115003</v>
      </c>
      <c r="AZ82" s="176">
        <f t="shared" si="40"/>
        <v>-75728125.959024295</v>
      </c>
      <c r="BA82" s="176">
        <f t="shared" si="40"/>
        <v>-55126367.903933585</v>
      </c>
      <c r="BB82" s="176">
        <f t="shared" si="40"/>
        <v>-55138860.826092117</v>
      </c>
      <c r="BC82" s="176">
        <f t="shared" si="40"/>
        <v>-68239610.589458227</v>
      </c>
      <c r="BD82" s="176">
        <f t="shared" si="40"/>
        <v>-39128287.218842335</v>
      </c>
      <c r="BE82" s="176">
        <f t="shared" si="40"/>
        <v>-38527971.521254487</v>
      </c>
      <c r="BF82" s="176">
        <f t="shared" si="40"/>
        <v>-30299986</v>
      </c>
      <c r="BG82" s="176">
        <f t="shared" si="40"/>
        <v>-12877495</v>
      </c>
      <c r="BH82" s="176">
        <f t="shared" si="40"/>
        <v>-6173306</v>
      </c>
      <c r="BI82" s="176">
        <f t="shared" si="40"/>
        <v>-4953333</v>
      </c>
      <c r="BJ82" s="176">
        <f t="shared" si="40"/>
        <v>-4953333</v>
      </c>
      <c r="BK82" s="176">
        <f t="shared" si="40"/>
        <v>-4953333</v>
      </c>
      <c r="BL82" s="176">
        <f t="shared" si="40"/>
        <v>-4953333</v>
      </c>
      <c r="BM82" s="176">
        <f t="shared" si="40"/>
        <v>-4953333</v>
      </c>
      <c r="BN82" s="176">
        <f t="shared" si="40"/>
        <v>-4248297</v>
      </c>
      <c r="BO82" s="176">
        <f t="shared" si="40"/>
        <v>-4155492</v>
      </c>
      <c r="BP82" s="176">
        <f t="shared" si="40"/>
        <v>-3832412</v>
      </c>
      <c r="BQ82" s="176">
        <f t="shared" si="40"/>
        <v>-3832412</v>
      </c>
      <c r="BR82" s="176">
        <f t="shared" si="40"/>
        <v>-3832412</v>
      </c>
      <c r="BS82" s="176">
        <f t="shared" si="40"/>
        <v>-3587062</v>
      </c>
      <c r="BT82" s="176">
        <f t="shared" si="40"/>
        <v>-3565264</v>
      </c>
      <c r="BU82" s="176">
        <f t="shared" si="40"/>
        <v>-3565264</v>
      </c>
      <c r="BV82" s="176">
        <f t="shared" ref="BV82:CA82" si="41">+BV25-BV76</f>
        <v>-4984359071.9599934</v>
      </c>
      <c r="BW82" s="176">
        <f t="shared" si="41"/>
        <v>-6188716659.069994</v>
      </c>
      <c r="BX82" s="176">
        <f t="shared" si="41"/>
        <v>-6188716659.069994</v>
      </c>
      <c r="BY82" s="176">
        <f t="shared" si="41"/>
        <v>-6188716659.069994</v>
      </c>
      <c r="BZ82" s="176">
        <f t="shared" si="41"/>
        <v>-6188716659.069994</v>
      </c>
      <c r="CA82" s="176">
        <f t="shared" si="41"/>
        <v>-51685688.160000086</v>
      </c>
    </row>
    <row r="83" spans="2:79" ht="19.8" customHeight="1" x14ac:dyDescent="0.3">
      <c r="B83" s="81" t="s">
        <v>151</v>
      </c>
      <c r="C83" s="81"/>
      <c r="D83" s="176"/>
      <c r="E83" s="176"/>
      <c r="F83" s="176"/>
      <c r="G83" s="176"/>
      <c r="H83" s="176">
        <f>+H82</f>
        <v>49199806.619999826</v>
      </c>
      <c r="I83" s="177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302"/>
      <c r="AB83" s="176">
        <f>+AB25-AB76+H81</f>
        <v>49199806.619999826</v>
      </c>
      <c r="AC83" s="176">
        <f>+AB83+AC82</f>
        <v>23499178.123333186</v>
      </c>
      <c r="AD83" s="176">
        <f t="shared" ref="AD83:BU83" si="42">+AC83+AD82</f>
        <v>39572633.203333184</v>
      </c>
      <c r="AE83" s="176">
        <f t="shared" si="42"/>
        <v>-58482066.89666681</v>
      </c>
      <c r="AF83" s="176">
        <f t="shared" si="42"/>
        <v>-137184339.46666682</v>
      </c>
      <c r="AG83" s="176">
        <f t="shared" si="42"/>
        <v>-55202120.600000143</v>
      </c>
      <c r="AH83" s="176">
        <f t="shared" si="42"/>
        <v>-125196511.23333347</v>
      </c>
      <c r="AI83" s="176">
        <f>+AH83</f>
        <v>-125196511.23333347</v>
      </c>
      <c r="AJ83" s="176">
        <f>+AH83+AJ82</f>
        <v>-238198324.86666679</v>
      </c>
      <c r="AK83" s="176">
        <f t="shared" si="42"/>
        <v>-399067427.50000012</v>
      </c>
      <c r="AL83" s="176">
        <f t="shared" si="42"/>
        <v>-502705826.13333344</v>
      </c>
      <c r="AM83" s="176">
        <f t="shared" si="42"/>
        <v>-597334397.76666677</v>
      </c>
      <c r="AN83" s="176">
        <f t="shared" si="42"/>
        <v>-709605582.4000001</v>
      </c>
      <c r="AO83" s="176">
        <f t="shared" si="42"/>
        <v>-805511373.8955884</v>
      </c>
      <c r="AP83" s="176">
        <f t="shared" si="42"/>
        <v>-871711232.76198566</v>
      </c>
      <c r="AQ83" s="176">
        <f t="shared" si="42"/>
        <v>-980750990.04846191</v>
      </c>
      <c r="AR83" s="176">
        <f t="shared" si="42"/>
        <v>-1077384009.9150271</v>
      </c>
      <c r="AS83" s="176">
        <f t="shared" si="42"/>
        <v>-1163611043.9369028</v>
      </c>
      <c r="AT83" s="176">
        <f t="shared" si="42"/>
        <v>-1290326326.6999424</v>
      </c>
      <c r="AU83" s="176">
        <f t="shared" si="42"/>
        <v>-1372781638.0828547</v>
      </c>
      <c r="AV83" s="176">
        <f t="shared" si="42"/>
        <v>-1448339902.4546444</v>
      </c>
      <c r="AW83" s="176">
        <f t="shared" si="42"/>
        <v>-1601474909.9181612</v>
      </c>
      <c r="AX83" s="176">
        <f t="shared" si="42"/>
        <v>-1702593650.6072762</v>
      </c>
      <c r="AY83" s="176">
        <f t="shared" si="42"/>
        <v>-1774579238.2963912</v>
      </c>
      <c r="AZ83" s="176">
        <f t="shared" si="42"/>
        <v>-1850307364.2554154</v>
      </c>
      <c r="BA83" s="176">
        <f t="shared" si="42"/>
        <v>-1905433732.159349</v>
      </c>
      <c r="BB83" s="176">
        <f t="shared" si="42"/>
        <v>-1960572592.985441</v>
      </c>
      <c r="BC83" s="176">
        <f t="shared" si="42"/>
        <v>-2028812203.5748992</v>
      </c>
      <c r="BD83" s="176">
        <f t="shared" si="42"/>
        <v>-2067940490.7937415</v>
      </c>
      <c r="BE83" s="176">
        <f t="shared" si="42"/>
        <v>-2106468462.314996</v>
      </c>
      <c r="BF83" s="176">
        <f t="shared" si="42"/>
        <v>-2136768448.314996</v>
      </c>
      <c r="BG83" s="176">
        <f t="shared" si="42"/>
        <v>-2149645943.3149958</v>
      </c>
      <c r="BH83" s="176">
        <f t="shared" si="42"/>
        <v>-2155819249.3149958</v>
      </c>
      <c r="BI83" s="176">
        <f t="shared" si="42"/>
        <v>-2160772582.3149958</v>
      </c>
      <c r="BJ83" s="176">
        <f t="shared" si="42"/>
        <v>-2165725915.3149958</v>
      </c>
      <c r="BK83" s="176">
        <f t="shared" si="42"/>
        <v>-2170679248.3149958</v>
      </c>
      <c r="BL83" s="176">
        <f t="shared" si="42"/>
        <v>-2175632581.3149958</v>
      </c>
      <c r="BM83" s="176">
        <f t="shared" si="42"/>
        <v>-2180585914.3149958</v>
      </c>
      <c r="BN83" s="176">
        <f t="shared" si="42"/>
        <v>-2184834211.3149958</v>
      </c>
      <c r="BO83" s="176">
        <f t="shared" si="42"/>
        <v>-2188989703.3149958</v>
      </c>
      <c r="BP83" s="176">
        <f t="shared" si="42"/>
        <v>-2192822115.3149958</v>
      </c>
      <c r="BQ83" s="176">
        <f t="shared" si="42"/>
        <v>-2196654527.3149958</v>
      </c>
      <c r="BR83" s="176">
        <f t="shared" si="42"/>
        <v>-2200486939.3149958</v>
      </c>
      <c r="BS83" s="176">
        <f t="shared" si="42"/>
        <v>-2204074001.3149958</v>
      </c>
      <c r="BT83" s="176">
        <f t="shared" si="42"/>
        <v>-2207639265.3149958</v>
      </c>
      <c r="BU83" s="176">
        <f t="shared" si="42"/>
        <v>-2211204529.3149958</v>
      </c>
      <c r="BV83" s="176"/>
      <c r="BW83" s="176"/>
      <c r="BX83" s="176"/>
      <c r="BY83" s="176"/>
      <c r="BZ83" s="176"/>
      <c r="CA83" s="176"/>
    </row>
    <row r="84" spans="2:79" x14ac:dyDescent="0.25">
      <c r="AA84" s="178"/>
      <c r="AB84" s="178"/>
      <c r="AC84" s="178"/>
      <c r="AD84" s="178"/>
      <c r="AE84" s="178"/>
      <c r="AF84" s="178"/>
      <c r="AG84" s="207"/>
    </row>
    <row r="85" spans="2:79" x14ac:dyDescent="0.3">
      <c r="AA85" s="178"/>
      <c r="AB85" s="301"/>
      <c r="AC85" s="178"/>
    </row>
    <row r="86" spans="2:79" x14ac:dyDescent="0.3">
      <c r="E86" s="278"/>
      <c r="H86" s="208"/>
      <c r="AA86" s="178"/>
      <c r="AB86" s="178"/>
    </row>
    <row r="87" spans="2:79" x14ac:dyDescent="0.3">
      <c r="E87" s="279"/>
      <c r="H87" s="303"/>
    </row>
  </sheetData>
  <pageMargins left="0.75" right="0.75" top="1" bottom="1" header="0.511811023622047" footer="0.511811023622047"/>
  <pageSetup paperSize="9" orientation="portrait" horizontalDpi="300" verticalDpi="300"/>
  <ignoredErrors>
    <ignoredError sqref="I45:I73" formula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1. RESUMEN EJECUTIVO</vt:lpstr>
      <vt:lpstr>2. COSTOS JUN-26</vt:lpstr>
      <vt:lpstr>4. CUENTAS POR PAGAR</vt:lpstr>
      <vt:lpstr>Intereses 06-26</vt:lpstr>
      <vt:lpstr>5. ANTICIPOS</vt:lpstr>
      <vt:lpstr>BCE-06-26</vt:lpstr>
      <vt:lpstr>1. RESUMEN EJECUTIVO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Antonely Villalona</cp:lastModifiedBy>
  <cp:revision>0</cp:revision>
  <dcterms:created xsi:type="dcterms:W3CDTF">2026-06-06T19:39:15Z</dcterms:created>
  <dcterms:modified xsi:type="dcterms:W3CDTF">2026-07-29T13:22:25Z</dcterms:modified>
  <dc:language>en-US</dc:language>
</cp:coreProperties>
</file>