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hapich/Desktop/Microplastic_Data_Portal-main/data/Clean_DrinkingWater_Data/"/>
    </mc:Choice>
  </mc:AlternateContent>
  <xr:revisionPtr revIDLastSave="0" documentId="13_ncr:1_{3132EDEE-FB72-A447-9557-45DA57BF6916}" xr6:coauthVersionLast="47" xr6:coauthVersionMax="47" xr10:uidLastSave="{00000000-0000-0000-0000-000000000000}"/>
  <bookViews>
    <workbookView xWindow="-46800" yWindow="500" windowWidth="29400" windowHeight="17420" xr2:uid="{F42CF658-CD84-3642-888F-A225030BA3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6" i="1" l="1"/>
  <c r="D285" i="1"/>
  <c r="D284" i="1"/>
  <c r="D272" i="1"/>
  <c r="D271" i="1"/>
  <c r="D270" i="1"/>
  <c r="D269" i="1"/>
  <c r="D268" i="1"/>
  <c r="D267" i="1"/>
  <c r="D265" i="1"/>
  <c r="D264" i="1"/>
  <c r="D263" i="1"/>
  <c r="D262" i="1"/>
  <c r="D261" i="1"/>
  <c r="D260" i="1"/>
  <c r="D259" i="1"/>
  <c r="D258" i="1"/>
  <c r="D257" i="1"/>
  <c r="D223" i="1"/>
  <c r="D220" i="1"/>
  <c r="D222" i="1"/>
  <c r="D221" i="1"/>
  <c r="D219" i="1"/>
  <c r="D218" i="1"/>
  <c r="D217" i="1"/>
  <c r="D215" i="1"/>
  <c r="D216" i="1"/>
  <c r="D214" i="1"/>
  <c r="D213" i="1"/>
  <c r="D212" i="1"/>
  <c r="D211" i="1"/>
  <c r="D209" i="1"/>
  <c r="D210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3" i="1"/>
  <c r="D192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</calcChain>
</file>

<file path=xl/sharedStrings.xml><?xml version="1.0" encoding="utf-8"?>
<sst xmlns="http://schemas.openxmlformats.org/spreadsheetml/2006/main" count="1225" uniqueCount="205">
  <si>
    <t>Percentage</t>
  </si>
  <si>
    <t>Size</t>
  </si>
  <si>
    <t>1.10.1016/j.watres.2017.11.011</t>
  </si>
  <si>
    <t>N/A</t>
  </si>
  <si>
    <t>&gt;100 um</t>
  </si>
  <si>
    <t>50-100 um</t>
  </si>
  <si>
    <t>20-50 um</t>
  </si>
  <si>
    <t>10-20 um</t>
  </si>
  <si>
    <t>5-10 um</t>
  </si>
  <si>
    <t>2.10.1016/j.watres.2017.11.011</t>
  </si>
  <si>
    <t>3.10.1016/j.watres.2017.11.011</t>
  </si>
  <si>
    <t>4.10.1016/j.watres.2017.11.011</t>
  </si>
  <si>
    <t>1-5 mm</t>
  </si>
  <si>
    <t>1.10.1039/c6ay01184e</t>
  </si>
  <si>
    <t>1-5 um</t>
  </si>
  <si>
    <t>10-50 um</t>
  </si>
  <si>
    <t>remaining percent</t>
  </si>
  <si>
    <t>WTP1_Treated.10.1016/j.sciotenv.2018.08.178</t>
  </si>
  <si>
    <t>WTP2_Treated.10.1016/j.sciotenv.2018.08.178</t>
  </si>
  <si>
    <t>WTP3_Treated.10.1016/j.sciotenv.2018.08.178</t>
  </si>
  <si>
    <t>10-45 um</t>
  </si>
  <si>
    <t>45-125 um</t>
  </si>
  <si>
    <t>125-300 um</t>
  </si>
  <si>
    <t>300-500 um</t>
  </si>
  <si>
    <t>&gt;500 um</t>
  </si>
  <si>
    <t>settled_10.1016/j.chemosphere.2021.132587</t>
  </si>
  <si>
    <t>filtered_10.1016/j.chemosphere.2021.132587</t>
  </si>
  <si>
    <t>clearwell_10.1016/j.chemosphere.2021.132587</t>
  </si>
  <si>
    <t>distribution_10.1016/j.chemosphere.2021.132587</t>
  </si>
  <si>
    <t>8-316 um</t>
  </si>
  <si>
    <t>V.10.1016/j.watres.2020.11.6519</t>
  </si>
  <si>
    <t>BJP.10.1016/j.watres.2020.11.6519</t>
  </si>
  <si>
    <t>BJH.10.1016/j.watres.2020.11.6519</t>
  </si>
  <si>
    <t>BOP.10.1016/j.watres.2020.11.6519</t>
  </si>
  <si>
    <t>BOH.10.1016/j.watres.2020.11.6519</t>
  </si>
  <si>
    <t>50 um</t>
  </si>
  <si>
    <t>500 um</t>
  </si>
  <si>
    <t>3000 um</t>
  </si>
  <si>
    <t>1.10.1007/s11270-022-05649-y</t>
  </si>
  <si>
    <t>110-124 nm</t>
  </si>
  <si>
    <t>1.10.1016/j.scitotenv.2021.152623</t>
  </si>
  <si>
    <t>A_BioTreatment.10.1016/j.scitotenv.2021.150545</t>
  </si>
  <si>
    <t>A_BioTreatment_PE.10.1016/j.scitotenv.2021.150545</t>
  </si>
  <si>
    <t>100-500 um</t>
  </si>
  <si>
    <t>20-100 um</t>
  </si>
  <si>
    <t>A_BioTreatment_PP.10.1016/j.scitotenv.2021.150545</t>
  </si>
  <si>
    <t>A_BioTreatment_PVC.10.1016/j.scitotenv.2021.150545</t>
  </si>
  <si>
    <t>A_Sedimentation.10.1016/j.scitotenv.2021.150545</t>
  </si>
  <si>
    <t>A_Sedimentation_PE.10.1016/j.scitotenv.2021.150545</t>
  </si>
  <si>
    <t>A_Sedimentation_PP.10.1016/j.scitotenv.2021.150545</t>
  </si>
  <si>
    <t>A_Sedimentation_PVC.10.1016/j.scitotenv.2021.150545</t>
  </si>
  <si>
    <t>500 um-1 mm</t>
  </si>
  <si>
    <t>A_Ozonation.10.1016/j.scitotenv.2021.150545</t>
  </si>
  <si>
    <t>A_Ozonation_PE.10.1016/j.scitotenv.2021.150545</t>
  </si>
  <si>
    <t>A_Ozonation_PP.10.1016/j.scitotenv.2021.150545</t>
  </si>
  <si>
    <t>A_Ozonation_PVC.10.1016/j.scitotenv.2021.150545</t>
  </si>
  <si>
    <t>20-100um</t>
  </si>
  <si>
    <t>A_BAC.10.1016/j.scitotenv.2021.150545</t>
  </si>
  <si>
    <t>A_BAC_PE.10.1016/j.scitotenv.2021.150545</t>
  </si>
  <si>
    <t>A_BAC_PP.10.1016/j.scitotenv.2021.150545</t>
  </si>
  <si>
    <t>A_BAC_PVC.10.1016/j.scitotenv.2021.150545</t>
  </si>
  <si>
    <t>A_Flocc.10.1016/j.scitotenv.2021.150545</t>
  </si>
  <si>
    <t>A_Flocc_PE.10.1016/j.scitotenv.2021.150545</t>
  </si>
  <si>
    <t>A_Flocc_PP.10.1016/j.scitotenv.2021.150545</t>
  </si>
  <si>
    <t>A_Flocc_PVC.10.1016/j.scitotenv.2021.150545</t>
  </si>
  <si>
    <t>A_Sand.10.1016/j.scitotenv.2021.150545</t>
  </si>
  <si>
    <t>A_Sand_PE.10.1016/j.scitotenv.2021.150545</t>
  </si>
  <si>
    <t>A_Sand_PP.10.1016/j.scitotenv.2021.150545</t>
  </si>
  <si>
    <t>A_Sand_PVC.10.1016/j.scitotenv.2021.150545</t>
  </si>
  <si>
    <t>A_Treated.10.1016/j.scitotenv.2021.150545</t>
  </si>
  <si>
    <t>A_Treated_PE.10.1016/j.scitotenv.2021.150545</t>
  </si>
  <si>
    <t>A_Treated_PP.10.1016/j.scitotenv.2021.150545</t>
  </si>
  <si>
    <t>A_Treated_PVC.10.1016/j.scitotenv.2021.150545</t>
  </si>
  <si>
    <t>B_BioTreatment.10.1016/j.scitotenv.2021.150545</t>
  </si>
  <si>
    <t>B_BioTreatment_PA.10.1016/j.scitotenv.2021.150545</t>
  </si>
  <si>
    <t>B_BioTreatment_VINYL.10.1016/j.scitotenv.2021.150545</t>
  </si>
  <si>
    <t>B_BioTreatment_VINYON.10.1016/j.scitotenv.2021.150545</t>
  </si>
  <si>
    <t>B_Sedimentation.10.1016/j.scitotenv.2021.150545</t>
  </si>
  <si>
    <t>B_Sedimentation_PA.10.1016/j.scitotenv.2021.150545</t>
  </si>
  <si>
    <t>B_Sedimentation_VINYL.10.1016/j.scitotenv.2021.150545</t>
  </si>
  <si>
    <t>B_Sedimentation_VINYON.10.1016/j.scitotenv.2021.150545</t>
  </si>
  <si>
    <t>B_Ozonation.10.1016/j.scitotenv.2021.150545</t>
  </si>
  <si>
    <t>B_Ozonation_PA.10.1016/j.scitotenv.2021.150545</t>
  </si>
  <si>
    <t>B_Ozonation_VINYL.10.1016/j.scitotenv.2021.150545</t>
  </si>
  <si>
    <t>B_Ozonation_VINYON.10.1016/j.scitotenv.2021.150545</t>
  </si>
  <si>
    <t>B_BAC.10.1016/j.scitotenv.2021.150545</t>
  </si>
  <si>
    <t>B_BAC_PA.10.1016/j.scitotenv.2021.150545</t>
  </si>
  <si>
    <t>B_BAC_VINYL.10.1016/j.scitotenv.2021.150545</t>
  </si>
  <si>
    <t>B_BAC_VINYON.10.1016/j.scitotenv.2021.150545</t>
  </si>
  <si>
    <t>B_Flocc.10.1016/j.scitotenv.2021.150545</t>
  </si>
  <si>
    <t>B_Flocc_PA.10.1016/j.scitotenv.2021.150545</t>
  </si>
  <si>
    <t>B_Flocc_VINYL.10.1016/j.scitotenv.2021.150545</t>
  </si>
  <si>
    <t>B_Flocc_VINYON.10.1016/j.scitotenv.2021.150545</t>
  </si>
  <si>
    <t>B_Sand.10.1016/j.scitotenv.2021.150545</t>
  </si>
  <si>
    <t>B_Sand_PA.10.1016/j.scitotenv.2021.150545</t>
  </si>
  <si>
    <t>B_Sand_VINYL.10.1016/j.scitotenv.2021.150545</t>
  </si>
  <si>
    <t>B_Sand_VINYON.10.1016/j.scitotenv.2021.150545</t>
  </si>
  <si>
    <t>B_Treated.10.1016/j.scitotenv.2021.150545</t>
  </si>
  <si>
    <t>B_Treated_PA.10.1016/j.scitotenv.2021.150545</t>
  </si>
  <si>
    <t>B_Treated_VINYL.10.1016/j.scitotenv.2021.150545</t>
  </si>
  <si>
    <t>B_Treated_VINYON.10.1016/j.scitotenv.2021.150545</t>
  </si>
  <si>
    <t>C_BioTreatment.10.1016/j.scitotenv.2021.150545</t>
  </si>
  <si>
    <t>C_BioTreatment_PET.10.1016/j.scitotenv.2021.150545</t>
  </si>
  <si>
    <t>C_BioTreatment_VINYL.10.1016/j.scitotenv.2021.150545</t>
  </si>
  <si>
    <t>C_BioTreatment_OTHERS.10.1016/j.scitotenv.2021.150545</t>
  </si>
  <si>
    <t>C_Sedimentation.10.1016/j.scitotenv.2021.150545</t>
  </si>
  <si>
    <t>C_Sedimentation_PET.10.1016/j.scitotenv.2021.150545</t>
  </si>
  <si>
    <t>C_Sedimentation_VINYL.10.1016/j.scitotenv.2021.150545</t>
  </si>
  <si>
    <t>C_Sedimentation_OTHERS.10.1016/j.scitotenv.2021.150545</t>
  </si>
  <si>
    <t>C_Ozonation.10.1016/j.scitotenv.2021.150545</t>
  </si>
  <si>
    <t>C_Ozonation_VINYL.10.1016/j.scitotenv.2021.150545</t>
  </si>
  <si>
    <t>C_Ozonation_OTHERS.10.1016/j.scitotenv.2021.150545</t>
  </si>
  <si>
    <t>C_BAC.10.1016/j.scitotenv.2021.150545</t>
  </si>
  <si>
    <t>C_BAC_VINYL.10.1016/j.scitotenv.2021.150545</t>
  </si>
  <si>
    <t>1-5mm</t>
  </si>
  <si>
    <t>C_BAC_OTHERS.10.1016/j.scitotenv.2021.150545</t>
  </si>
  <si>
    <t>C_Flocc.10.1016/j.scitotenv.2021.150545</t>
  </si>
  <si>
    <t>C_Flocc_VINYL.10.1016/j.scitotenv.2021.150545</t>
  </si>
  <si>
    <t>C_Flocc_OTHERS.10.1016/j.scitotenv.2021.150545</t>
  </si>
  <si>
    <t>C_Sand.10.1016/j.scitotenv.2021.150545</t>
  </si>
  <si>
    <t>C_Sand_OTHERS.10.1016/j.scitotenv.2021.150545</t>
  </si>
  <si>
    <t>1-10 um</t>
  </si>
  <si>
    <t>1-50 um</t>
  </si>
  <si>
    <t>5-100 um</t>
  </si>
  <si>
    <t>Nethen_10.1016/j.scitotenv.2019.02.431</t>
  </si>
  <si>
    <t>Holdorf_10.1016/j.scitotenv.2019.02.431</t>
  </si>
  <si>
    <t>Aqua_10.1016/j.scitotenv.2019.02.431</t>
  </si>
  <si>
    <t>Auqafina_10.1016/j.scitotenv.2019.02.431</t>
  </si>
  <si>
    <t>Bisleri_10.1016/j.scitotenv.2019.02.431</t>
  </si>
  <si>
    <t>Dasani_10.1016/j.scitotenv.2019.02.431</t>
  </si>
  <si>
    <t>E-Pura_10.1016/j.scitotenv.2019.02.431</t>
  </si>
  <si>
    <t>Evian_10.1016/j.scitotenv.2019.02.431</t>
  </si>
  <si>
    <t>PlasticGerosteiner_10.1016/j.scitotenv.2019.02.431</t>
  </si>
  <si>
    <t>GlassGerosteiner_10.1016/j.scitotenv.2019.02.431</t>
  </si>
  <si>
    <t>Minalba_10.1016/j.scitotenv.2019.02.431</t>
  </si>
  <si>
    <t>NestlePureLife_10.1016/j.scitotenv.2019.02.431</t>
  </si>
  <si>
    <t>SanPellegrino_10.1016/j.scitotenv.2019.02.431</t>
  </si>
  <si>
    <t>Wahaha_10.1016/j.scitotenv.2019.02.431</t>
  </si>
  <si>
    <t>SingleUsePET_10.1016/j.scitotenv.2019.02.431</t>
  </si>
  <si>
    <t>ResuablePET_10.1016/j.scitotenv.2019.02.431</t>
  </si>
  <si>
    <t>GlassBottles_10.1016/j.scitotenv.2019.02.431</t>
  </si>
  <si>
    <t>SingleUsePlastic_10.1016/j.scitotenv.2019.02.431</t>
  </si>
  <si>
    <t>ReturnablePlastic_10.1016/j.scitotenv.2019.02.431</t>
  </si>
  <si>
    <t>GlassBottles2_10.1016/j.scitotenv.2019.02.431</t>
  </si>
  <si>
    <t>BeverageCartons_10.1016/j.scitotenv.2019.02.431</t>
  </si>
  <si>
    <t>&lt;1.5 um</t>
  </si>
  <si>
    <t>1.5-5 um</t>
  </si>
  <si>
    <t>&gt;10 um</t>
  </si>
  <si>
    <t>MineralWater_SingleUsePET_10.1016/j.impact.2021.100302</t>
  </si>
  <si>
    <t>MineralWater_ReusablePET_10.1016/j.impact.2021.100302</t>
  </si>
  <si>
    <t>MineralWater_Glass_10.1016/j.impact.2021.100302</t>
  </si>
  <si>
    <t>RawDrinkingWater_10.1016/j.impact.2021.100302</t>
  </si>
  <si>
    <t>RawDrinkingWater.1_10.1016/j.impact.2021.100302</t>
  </si>
  <si>
    <t>RawDrinkingWater.2_10.1016/j.impact.2021.100302</t>
  </si>
  <si>
    <t>RawDrinkingWater.3_10.1016/j.impact.2021.100302</t>
  </si>
  <si>
    <t>31-100%</t>
  </si>
  <si>
    <t>TapWater_10.1016/j.impact.2021.100302</t>
  </si>
  <si>
    <t>RawWater_10.1016/j.impact.2021.100302</t>
  </si>
  <si>
    <t>10-50 particles/L</t>
  </si>
  <si>
    <t>TreatedDrinkingWater2_10.1016/j.impact.2021.100302</t>
  </si>
  <si>
    <t>50-150 um</t>
  </si>
  <si>
    <t>&gt; 25um</t>
  </si>
  <si>
    <t>20 um- 5 mm</t>
  </si>
  <si>
    <t>MineralWaterPET_10.1016/j.impact.2021.100302</t>
  </si>
  <si>
    <t>Mintenig_10.1007/s11783-021-1492-5</t>
  </si>
  <si>
    <t>Sarkar_10.1007/s11783-021-1492-5</t>
  </si>
  <si>
    <t>Johnson_10.1007/s11783-021-1492-5</t>
  </si>
  <si>
    <t>Dalmau-Soler_10.1007/s11783-021-1492-5</t>
  </si>
  <si>
    <t>0-20 um</t>
  </si>
  <si>
    <t>AverageAll_10.1016/j.envres.2022.112855</t>
  </si>
  <si>
    <t>1-100 um</t>
  </si>
  <si>
    <t>Pivokonsky1.10.1016/j.cotox.2021.09.003</t>
  </si>
  <si>
    <t>Pivokonsky2.10.1016/j.cotox.2021.09.003</t>
  </si>
  <si>
    <t>4-10 um</t>
  </si>
  <si>
    <t>Finished.10.1016/j.scitotenv.2019.134520</t>
  </si>
  <si>
    <t>April_DWTP.10.1007/s11356-021-13769-x</t>
  </si>
  <si>
    <t>April_Tap.10.1007/s11356-021-13769-x</t>
  </si>
  <si>
    <t>May_DWTP.10.1007/s11356-021-13769-x</t>
  </si>
  <si>
    <t>May_Tap.10.1007/s11356-021-13769-x</t>
  </si>
  <si>
    <t>June_DWTP.10.1007/s11356-021-13769-x</t>
  </si>
  <si>
    <t>June_Tap.10.1007/s11356-021-13769-x</t>
  </si>
  <si>
    <t>July_DWTP.10.1007/s11356-021-13769-x</t>
  </si>
  <si>
    <t>July_Tap.10.1007/s11356-021-13769-x</t>
  </si>
  <si>
    <t>&lt;0.5 mm</t>
  </si>
  <si>
    <t>0.5-1 mm</t>
  </si>
  <si>
    <t>1-2 mm</t>
  </si>
  <si>
    <t>2-5 mm</t>
  </si>
  <si>
    <t>TCQS.10.1016/j.scitotenv.2021.148001</t>
  </si>
  <si>
    <t>SHN.10.1016/j.scitotenv.2021.148001</t>
  </si>
  <si>
    <t>CHQ.10.1016/j.scitotenv.2021.148001</t>
  </si>
  <si>
    <t>CHH.10.1016/j.scitotenv.2021.148001</t>
  </si>
  <si>
    <t>ZHB.10.1016/j.scitotenv.2021.148001</t>
  </si>
  <si>
    <t>DAS.10.1016/j.scitotenv.2021.148001</t>
  </si>
  <si>
    <t>XHS.10.1016/j.scitotenv.2021.148001</t>
  </si>
  <si>
    <t>HNZ.10.1016/j.scitotenv.2021.148001</t>
  </si>
  <si>
    <t>TCH.10.1016/j.scitotenv.2021.148001</t>
  </si>
  <si>
    <t>WHH.10.1016/j.scitotenv.2021.148001</t>
  </si>
  <si>
    <t>Spr.10.1016/j.scitotenv.2021.148001</t>
  </si>
  <si>
    <t>Sum.10.1016/j.scitotenv.2021.148001</t>
  </si>
  <si>
    <t>Aut.10.1016/j.scitotenv.2021.148001</t>
  </si>
  <si>
    <t>Win.10.1016/j.scitotenv.2021.148001</t>
  </si>
  <si>
    <t>0.25-0.60</t>
  </si>
  <si>
    <t>0.30-0.50</t>
  </si>
  <si>
    <t>Subsample_ID</t>
  </si>
  <si>
    <t>Sample_ID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</si>
</sst>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85C7B-B7BE-9F4A-A81A-A464971ACF46}">
  <dimension ref="A1:D374"/>
  <sheetViews>
    <sheetView tabSelected="1" zoomScale="140" zoomScaleNormal="140" workbookViewId="0">
      <selection activeCell="E285" sqref="E285"/>
    </sheetView>
  </sheetViews>
  <sheetFormatPr baseColWidth="10" defaultRowHeight="16" x14ac:dyDescent="0.2"/>
  <cols>
    <col min="1" max="1" width="21.33203125" customWidth="1"/>
    <col min="2" max="2" width="32.1640625" customWidth="1"/>
  </cols>
  <sheetData>
    <row r="1" spans="1:4" x14ac:dyDescent="0.2">
      <c r="A1" t="s">
        <v>204</v>
      </c>
      <c r="B1" t="s">
        <v>203</v>
      </c>
      <c r="C1" t="s">
        <v>1</v>
      </c>
      <c r="D1" t="s">
        <v>0</v>
      </c>
    </row>
    <row r="2" spans="1:4" x14ac:dyDescent="0.2">
      <c r="A2" t="s">
        <v>2</v>
      </c>
      <c r="B2" t="s">
        <v>3</v>
      </c>
      <c r="C2" t="s">
        <v>4</v>
      </c>
      <c r="D2" s="3">
        <v>0.02</v>
      </c>
    </row>
    <row r="3" spans="1:4" x14ac:dyDescent="0.2">
      <c r="A3" t="s">
        <v>2</v>
      </c>
      <c r="B3" t="s">
        <v>3</v>
      </c>
      <c r="C3" t="s">
        <v>5</v>
      </c>
      <c r="D3" s="3">
        <v>0.05</v>
      </c>
    </row>
    <row r="4" spans="1:4" x14ac:dyDescent="0.2">
      <c r="A4" t="s">
        <v>2</v>
      </c>
      <c r="B4" t="s">
        <v>3</v>
      </c>
      <c r="C4" t="s">
        <v>6</v>
      </c>
      <c r="D4" s="3">
        <v>0.22</v>
      </c>
    </row>
    <row r="5" spans="1:4" x14ac:dyDescent="0.2">
      <c r="A5" t="s">
        <v>2</v>
      </c>
      <c r="B5" t="s">
        <v>3</v>
      </c>
      <c r="C5" t="s">
        <v>7</v>
      </c>
      <c r="D5" s="3">
        <v>0.3</v>
      </c>
    </row>
    <row r="6" spans="1:4" x14ac:dyDescent="0.2">
      <c r="A6" t="s">
        <v>2</v>
      </c>
      <c r="B6" t="s">
        <v>3</v>
      </c>
      <c r="C6" t="s">
        <v>8</v>
      </c>
      <c r="D6" s="3">
        <v>0.41</v>
      </c>
    </row>
    <row r="7" spans="1:4" x14ac:dyDescent="0.2">
      <c r="A7" t="s">
        <v>9</v>
      </c>
      <c r="B7" t="s">
        <v>3</v>
      </c>
      <c r="C7" t="s">
        <v>4</v>
      </c>
      <c r="D7" s="3">
        <v>0.01</v>
      </c>
    </row>
    <row r="8" spans="1:4" x14ac:dyDescent="0.2">
      <c r="A8" t="s">
        <v>9</v>
      </c>
      <c r="B8" t="s">
        <v>3</v>
      </c>
      <c r="C8" t="s">
        <v>5</v>
      </c>
      <c r="D8" s="3">
        <v>0.02</v>
      </c>
    </row>
    <row r="9" spans="1:4" x14ac:dyDescent="0.2">
      <c r="A9" t="s">
        <v>9</v>
      </c>
      <c r="B9" t="s">
        <v>3</v>
      </c>
      <c r="C9" t="s">
        <v>6</v>
      </c>
      <c r="D9" s="3">
        <v>0.12</v>
      </c>
    </row>
    <row r="10" spans="1:4" x14ac:dyDescent="0.2">
      <c r="A10" t="s">
        <v>9</v>
      </c>
      <c r="B10" t="s">
        <v>3</v>
      </c>
      <c r="C10" t="s">
        <v>7</v>
      </c>
      <c r="D10" s="3">
        <v>0.28999999999999998</v>
      </c>
    </row>
    <row r="11" spans="1:4" x14ac:dyDescent="0.2">
      <c r="A11" t="s">
        <v>9</v>
      </c>
      <c r="B11" t="s">
        <v>3</v>
      </c>
      <c r="C11" t="s">
        <v>8</v>
      </c>
      <c r="D11" s="3">
        <v>0.56000000000000005</v>
      </c>
    </row>
    <row r="12" spans="1:4" x14ac:dyDescent="0.2">
      <c r="A12" s="1" t="s">
        <v>10</v>
      </c>
      <c r="B12" t="s">
        <v>3</v>
      </c>
      <c r="C12" t="s">
        <v>4</v>
      </c>
      <c r="D12" s="3">
        <v>0.03</v>
      </c>
    </row>
    <row r="13" spans="1:4" x14ac:dyDescent="0.2">
      <c r="A13" s="1" t="s">
        <v>10</v>
      </c>
      <c r="B13" t="s">
        <v>3</v>
      </c>
      <c r="C13" t="s">
        <v>5</v>
      </c>
      <c r="D13" s="3">
        <v>7.0000000000000007E-2</v>
      </c>
    </row>
    <row r="14" spans="1:4" x14ac:dyDescent="0.2">
      <c r="A14" s="1" t="s">
        <v>10</v>
      </c>
      <c r="B14" t="s">
        <v>3</v>
      </c>
      <c r="C14" t="s">
        <v>6</v>
      </c>
      <c r="D14" s="3">
        <v>0.14000000000000001</v>
      </c>
    </row>
    <row r="15" spans="1:4" x14ac:dyDescent="0.2">
      <c r="A15" s="1" t="s">
        <v>10</v>
      </c>
      <c r="B15" t="s">
        <v>3</v>
      </c>
      <c r="C15" t="s">
        <v>7</v>
      </c>
      <c r="D15" s="3">
        <v>0.32</v>
      </c>
    </row>
    <row r="16" spans="1:4" x14ac:dyDescent="0.2">
      <c r="A16" s="1" t="s">
        <v>10</v>
      </c>
      <c r="B16" t="s">
        <v>3</v>
      </c>
      <c r="C16" t="s">
        <v>8</v>
      </c>
      <c r="D16" s="3">
        <v>0.45</v>
      </c>
    </row>
    <row r="17" spans="1:4" x14ac:dyDescent="0.2">
      <c r="A17" t="s">
        <v>11</v>
      </c>
      <c r="B17" t="s">
        <v>3</v>
      </c>
      <c r="C17" t="s">
        <v>4</v>
      </c>
      <c r="D17" s="3">
        <v>7.0000000000000007E-2</v>
      </c>
    </row>
    <row r="18" spans="1:4" x14ac:dyDescent="0.2">
      <c r="A18" t="s">
        <v>11</v>
      </c>
      <c r="B18" t="s">
        <v>3</v>
      </c>
      <c r="C18" t="s">
        <v>5</v>
      </c>
      <c r="D18" s="3">
        <v>0.1</v>
      </c>
    </row>
    <row r="19" spans="1:4" x14ac:dyDescent="0.2">
      <c r="A19" t="s">
        <v>11</v>
      </c>
      <c r="B19" t="s">
        <v>3</v>
      </c>
      <c r="C19" t="s">
        <v>6</v>
      </c>
      <c r="D19" s="3">
        <v>0.16</v>
      </c>
    </row>
    <row r="20" spans="1:4" x14ac:dyDescent="0.2">
      <c r="A20" t="s">
        <v>11</v>
      </c>
      <c r="B20" t="s">
        <v>3</v>
      </c>
      <c r="C20" t="s">
        <v>7</v>
      </c>
      <c r="D20" s="3">
        <v>0.28000000000000003</v>
      </c>
    </row>
    <row r="21" spans="1:4" x14ac:dyDescent="0.2">
      <c r="A21" t="s">
        <v>11</v>
      </c>
      <c r="B21" t="s">
        <v>3</v>
      </c>
      <c r="C21" t="s">
        <v>8</v>
      </c>
      <c r="D21" s="3">
        <v>0.39</v>
      </c>
    </row>
    <row r="22" spans="1:4" x14ac:dyDescent="0.2">
      <c r="A22" t="s">
        <v>13</v>
      </c>
      <c r="B22" t="s">
        <v>3</v>
      </c>
      <c r="C22" t="s">
        <v>12</v>
      </c>
      <c r="D22" t="s">
        <v>3</v>
      </c>
    </row>
    <row r="23" spans="1:4" x14ac:dyDescent="0.2">
      <c r="A23" s="1" t="s">
        <v>17</v>
      </c>
      <c r="B23" t="s">
        <v>3</v>
      </c>
      <c r="C23" t="s">
        <v>14</v>
      </c>
      <c r="D23" s="3" t="s">
        <v>201</v>
      </c>
    </row>
    <row r="24" spans="1:4" x14ac:dyDescent="0.2">
      <c r="A24" s="1" t="s">
        <v>17</v>
      </c>
      <c r="B24" t="s">
        <v>3</v>
      </c>
      <c r="C24" t="s">
        <v>8</v>
      </c>
      <c r="D24" s="3" t="s">
        <v>202</v>
      </c>
    </row>
    <row r="25" spans="1:4" x14ac:dyDescent="0.2">
      <c r="A25" s="1" t="s">
        <v>17</v>
      </c>
      <c r="B25" t="s">
        <v>3</v>
      </c>
      <c r="C25" s="2" t="s">
        <v>15</v>
      </c>
      <c r="D25" t="s">
        <v>16</v>
      </c>
    </row>
    <row r="26" spans="1:4" x14ac:dyDescent="0.2">
      <c r="A26" t="s">
        <v>18</v>
      </c>
      <c r="B26" t="s">
        <v>3</v>
      </c>
      <c r="C26" t="s">
        <v>14</v>
      </c>
      <c r="D26" s="3" t="s">
        <v>201</v>
      </c>
    </row>
    <row r="27" spans="1:4" x14ac:dyDescent="0.2">
      <c r="A27" t="s">
        <v>18</v>
      </c>
      <c r="B27" t="s">
        <v>3</v>
      </c>
      <c r="C27" t="s">
        <v>8</v>
      </c>
      <c r="D27" s="3" t="s">
        <v>202</v>
      </c>
    </row>
    <row r="28" spans="1:4" x14ac:dyDescent="0.2">
      <c r="A28" t="s">
        <v>18</v>
      </c>
      <c r="B28" t="s">
        <v>3</v>
      </c>
      <c r="C28" s="2" t="s">
        <v>15</v>
      </c>
      <c r="D28" t="s">
        <v>16</v>
      </c>
    </row>
    <row r="29" spans="1:4" x14ac:dyDescent="0.2">
      <c r="A29" t="s">
        <v>19</v>
      </c>
      <c r="B29" t="s">
        <v>3</v>
      </c>
      <c r="C29" t="s">
        <v>14</v>
      </c>
      <c r="D29" s="3" t="s">
        <v>201</v>
      </c>
    </row>
    <row r="30" spans="1:4" x14ac:dyDescent="0.2">
      <c r="A30" t="s">
        <v>19</v>
      </c>
      <c r="B30" t="s">
        <v>3</v>
      </c>
      <c r="C30" t="s">
        <v>8</v>
      </c>
      <c r="D30" s="3" t="s">
        <v>202</v>
      </c>
    </row>
    <row r="31" spans="1:4" x14ac:dyDescent="0.2">
      <c r="A31" t="s">
        <v>19</v>
      </c>
      <c r="B31" t="s">
        <v>3</v>
      </c>
      <c r="C31" s="2" t="s">
        <v>15</v>
      </c>
      <c r="D31" t="s">
        <v>16</v>
      </c>
    </row>
    <row r="32" spans="1:4" x14ac:dyDescent="0.2">
      <c r="A32" t="s">
        <v>25</v>
      </c>
      <c r="B32" t="s">
        <v>3</v>
      </c>
      <c r="C32" t="s">
        <v>20</v>
      </c>
      <c r="D32" t="s">
        <v>3</v>
      </c>
    </row>
    <row r="33" spans="1:4" x14ac:dyDescent="0.2">
      <c r="A33" t="s">
        <v>25</v>
      </c>
      <c r="B33" t="s">
        <v>3</v>
      </c>
      <c r="C33" t="s">
        <v>21</v>
      </c>
      <c r="D33" t="s">
        <v>3</v>
      </c>
    </row>
    <row r="34" spans="1:4" x14ac:dyDescent="0.2">
      <c r="A34" t="s">
        <v>25</v>
      </c>
      <c r="B34" t="s">
        <v>3</v>
      </c>
      <c r="C34" t="s">
        <v>22</v>
      </c>
      <c r="D34" t="s">
        <v>3</v>
      </c>
    </row>
    <row r="35" spans="1:4" x14ac:dyDescent="0.2">
      <c r="A35" t="s">
        <v>25</v>
      </c>
      <c r="B35" t="s">
        <v>3</v>
      </c>
      <c r="C35" t="s">
        <v>23</v>
      </c>
      <c r="D35" t="s">
        <v>3</v>
      </c>
    </row>
    <row r="36" spans="1:4" x14ac:dyDescent="0.2">
      <c r="A36" t="s">
        <v>25</v>
      </c>
      <c r="B36" t="s">
        <v>3</v>
      </c>
      <c r="C36" t="s">
        <v>24</v>
      </c>
      <c r="D36" t="s">
        <v>3</v>
      </c>
    </row>
    <row r="37" spans="1:4" x14ac:dyDescent="0.2">
      <c r="A37" t="s">
        <v>26</v>
      </c>
      <c r="B37" t="s">
        <v>3</v>
      </c>
      <c r="C37" t="s">
        <v>20</v>
      </c>
      <c r="D37" t="s">
        <v>3</v>
      </c>
    </row>
    <row r="38" spans="1:4" x14ac:dyDescent="0.2">
      <c r="A38" t="s">
        <v>26</v>
      </c>
      <c r="B38" t="s">
        <v>3</v>
      </c>
      <c r="C38" t="s">
        <v>21</v>
      </c>
      <c r="D38" t="s">
        <v>3</v>
      </c>
    </row>
    <row r="39" spans="1:4" x14ac:dyDescent="0.2">
      <c r="A39" t="s">
        <v>26</v>
      </c>
      <c r="B39" t="s">
        <v>3</v>
      </c>
      <c r="C39" t="s">
        <v>22</v>
      </c>
      <c r="D39" t="s">
        <v>3</v>
      </c>
    </row>
    <row r="40" spans="1:4" x14ac:dyDescent="0.2">
      <c r="A40" t="s">
        <v>26</v>
      </c>
      <c r="B40" t="s">
        <v>3</v>
      </c>
      <c r="C40" t="s">
        <v>23</v>
      </c>
      <c r="D40" t="s">
        <v>3</v>
      </c>
    </row>
    <row r="41" spans="1:4" x14ac:dyDescent="0.2">
      <c r="A41" t="s">
        <v>26</v>
      </c>
      <c r="B41" t="s">
        <v>3</v>
      </c>
      <c r="C41" t="s">
        <v>24</v>
      </c>
      <c r="D41" t="s">
        <v>3</v>
      </c>
    </row>
    <row r="42" spans="1:4" x14ac:dyDescent="0.2">
      <c r="A42" t="s">
        <v>27</v>
      </c>
      <c r="B42" t="s">
        <v>3</v>
      </c>
      <c r="C42" t="s">
        <v>20</v>
      </c>
      <c r="D42" t="s">
        <v>3</v>
      </c>
    </row>
    <row r="43" spans="1:4" x14ac:dyDescent="0.2">
      <c r="A43" t="s">
        <v>27</v>
      </c>
      <c r="B43" t="s">
        <v>3</v>
      </c>
      <c r="C43" t="s">
        <v>21</v>
      </c>
      <c r="D43" t="s">
        <v>3</v>
      </c>
    </row>
    <row r="44" spans="1:4" x14ac:dyDescent="0.2">
      <c r="A44" t="s">
        <v>27</v>
      </c>
      <c r="B44" t="s">
        <v>3</v>
      </c>
      <c r="C44" t="s">
        <v>22</v>
      </c>
      <c r="D44" t="s">
        <v>3</v>
      </c>
    </row>
    <row r="45" spans="1:4" x14ac:dyDescent="0.2">
      <c r="A45" t="s">
        <v>27</v>
      </c>
      <c r="B45" t="s">
        <v>3</v>
      </c>
      <c r="C45" t="s">
        <v>23</v>
      </c>
      <c r="D45" t="s">
        <v>3</v>
      </c>
    </row>
    <row r="46" spans="1:4" x14ac:dyDescent="0.2">
      <c r="A46" t="s">
        <v>27</v>
      </c>
      <c r="B46" t="s">
        <v>3</v>
      </c>
      <c r="C46" t="s">
        <v>24</v>
      </c>
      <c r="D46" t="s">
        <v>3</v>
      </c>
    </row>
    <row r="47" spans="1:4" x14ac:dyDescent="0.2">
      <c r="A47" t="s">
        <v>28</v>
      </c>
      <c r="B47" t="s">
        <v>3</v>
      </c>
      <c r="C47" t="s">
        <v>20</v>
      </c>
      <c r="D47" t="s">
        <v>3</v>
      </c>
    </row>
    <row r="48" spans="1:4" x14ac:dyDescent="0.2">
      <c r="A48" t="s">
        <v>28</v>
      </c>
      <c r="B48" t="s">
        <v>3</v>
      </c>
      <c r="C48" t="s">
        <v>21</v>
      </c>
      <c r="D48" t="s">
        <v>3</v>
      </c>
    </row>
    <row r="49" spans="1:4" x14ac:dyDescent="0.2">
      <c r="A49" t="s">
        <v>28</v>
      </c>
      <c r="B49" t="s">
        <v>3</v>
      </c>
      <c r="C49" t="s">
        <v>22</v>
      </c>
      <c r="D49" t="s">
        <v>3</v>
      </c>
    </row>
    <row r="50" spans="1:4" x14ac:dyDescent="0.2">
      <c r="A50" t="s">
        <v>28</v>
      </c>
      <c r="B50" t="s">
        <v>3</v>
      </c>
      <c r="C50" t="s">
        <v>23</v>
      </c>
      <c r="D50" t="s">
        <v>3</v>
      </c>
    </row>
    <row r="51" spans="1:4" x14ac:dyDescent="0.2">
      <c r="A51" t="s">
        <v>28</v>
      </c>
      <c r="B51" t="s">
        <v>3</v>
      </c>
      <c r="C51" t="s">
        <v>24</v>
      </c>
      <c r="D51" t="s">
        <v>3</v>
      </c>
    </row>
    <row r="52" spans="1:4" x14ac:dyDescent="0.2">
      <c r="A52" t="s">
        <v>30</v>
      </c>
      <c r="B52" t="s">
        <v>3</v>
      </c>
      <c r="C52" t="s">
        <v>29</v>
      </c>
      <c r="D52" t="s">
        <v>3</v>
      </c>
    </row>
    <row r="53" spans="1:4" x14ac:dyDescent="0.2">
      <c r="A53" t="s">
        <v>31</v>
      </c>
      <c r="B53" t="s">
        <v>3</v>
      </c>
      <c r="C53" t="s">
        <v>29</v>
      </c>
      <c r="D53" t="s">
        <v>3</v>
      </c>
    </row>
    <row r="54" spans="1:4" x14ac:dyDescent="0.2">
      <c r="A54" t="s">
        <v>32</v>
      </c>
      <c r="B54" t="s">
        <v>3</v>
      </c>
      <c r="C54" t="s">
        <v>29</v>
      </c>
      <c r="D54" t="s">
        <v>3</v>
      </c>
    </row>
    <row r="55" spans="1:4" x14ac:dyDescent="0.2">
      <c r="A55" t="s">
        <v>33</v>
      </c>
      <c r="B55" t="s">
        <v>3</v>
      </c>
      <c r="C55" t="s">
        <v>29</v>
      </c>
      <c r="D55" t="s">
        <v>3</v>
      </c>
    </row>
    <row r="56" spans="1:4" x14ac:dyDescent="0.2">
      <c r="A56" t="s">
        <v>34</v>
      </c>
      <c r="B56" t="s">
        <v>3</v>
      </c>
      <c r="C56" t="s">
        <v>29</v>
      </c>
      <c r="D56" t="s">
        <v>3</v>
      </c>
    </row>
    <row r="57" spans="1:4" x14ac:dyDescent="0.2">
      <c r="A57" t="s">
        <v>38</v>
      </c>
      <c r="B57" t="s">
        <v>3</v>
      </c>
      <c r="C57" t="s">
        <v>35</v>
      </c>
      <c r="D57" t="s">
        <v>3</v>
      </c>
    </row>
    <row r="58" spans="1:4" x14ac:dyDescent="0.2">
      <c r="A58" t="s">
        <v>38</v>
      </c>
      <c r="B58" t="s">
        <v>3</v>
      </c>
      <c r="C58" t="s">
        <v>36</v>
      </c>
      <c r="D58" t="s">
        <v>3</v>
      </c>
    </row>
    <row r="59" spans="1:4" x14ac:dyDescent="0.2">
      <c r="A59" t="s">
        <v>38</v>
      </c>
      <c r="B59" t="s">
        <v>3</v>
      </c>
      <c r="C59" t="s">
        <v>37</v>
      </c>
      <c r="D59" t="s">
        <v>3</v>
      </c>
    </row>
    <row r="60" spans="1:4" x14ac:dyDescent="0.2">
      <c r="A60" t="s">
        <v>40</v>
      </c>
      <c r="B60" t="s">
        <v>3</v>
      </c>
      <c r="C60" t="s">
        <v>39</v>
      </c>
      <c r="D60" t="s">
        <v>3</v>
      </c>
    </row>
    <row r="61" spans="1:4" x14ac:dyDescent="0.2">
      <c r="A61" t="s">
        <v>41</v>
      </c>
      <c r="B61" t="s">
        <v>42</v>
      </c>
      <c r="C61" t="s">
        <v>8</v>
      </c>
      <c r="D61">
        <v>0.67213114754098358</v>
      </c>
    </row>
    <row r="62" spans="1:4" x14ac:dyDescent="0.2">
      <c r="A62" t="s">
        <v>41</v>
      </c>
      <c r="B62" t="s">
        <v>42</v>
      </c>
      <c r="C62" t="s">
        <v>7</v>
      </c>
      <c r="D62">
        <v>0.32786885245901637</v>
      </c>
    </row>
    <row r="63" spans="1:4" x14ac:dyDescent="0.2">
      <c r="A63" t="s">
        <v>41</v>
      </c>
      <c r="B63" t="s">
        <v>45</v>
      </c>
      <c r="C63" t="s">
        <v>8</v>
      </c>
      <c r="D63">
        <v>0.48916171110684831</v>
      </c>
    </row>
    <row r="64" spans="1:4" x14ac:dyDescent="0.2">
      <c r="A64" t="s">
        <v>41</v>
      </c>
      <c r="B64" t="s">
        <v>45</v>
      </c>
      <c r="C64" t="s">
        <v>7</v>
      </c>
      <c r="D64">
        <v>0.49875311720698257</v>
      </c>
    </row>
    <row r="65" spans="1:4" x14ac:dyDescent="0.2">
      <c r="A65" t="s">
        <v>41</v>
      </c>
      <c r="B65" t="s">
        <v>45</v>
      </c>
      <c r="C65" t="s">
        <v>43</v>
      </c>
      <c r="D65">
        <f>0.6/(510+520+0.6+12)</f>
        <v>5.7548436600805678E-4</v>
      </c>
    </row>
    <row r="66" spans="1:4" x14ac:dyDescent="0.2">
      <c r="A66" t="s">
        <v>41</v>
      </c>
      <c r="B66" t="s">
        <v>45</v>
      </c>
      <c r="C66" t="s">
        <v>44</v>
      </c>
      <c r="D66">
        <f>12/(510+520+0.6+12)</f>
        <v>1.1509687320161137E-2</v>
      </c>
    </row>
    <row r="67" spans="1:4" x14ac:dyDescent="0.2">
      <c r="A67" t="s">
        <v>41</v>
      </c>
      <c r="B67" t="s">
        <v>46</v>
      </c>
      <c r="C67" t="s">
        <v>7</v>
      </c>
      <c r="D67">
        <f>150/(150+410)</f>
        <v>0.26785714285714285</v>
      </c>
    </row>
    <row r="68" spans="1:4" x14ac:dyDescent="0.2">
      <c r="A68" t="s">
        <v>41</v>
      </c>
      <c r="B68" t="s">
        <v>46</v>
      </c>
      <c r="C68" t="s">
        <v>8</v>
      </c>
      <c r="D68">
        <f>410/(150+410)</f>
        <v>0.7321428571428571</v>
      </c>
    </row>
    <row r="69" spans="1:4" x14ac:dyDescent="0.2">
      <c r="A69" t="s">
        <v>47</v>
      </c>
      <c r="B69" t="s">
        <v>48</v>
      </c>
      <c r="C69" t="s">
        <v>44</v>
      </c>
      <c r="D69">
        <f>6/(6+280+900)</f>
        <v>5.0590219224283303E-3</v>
      </c>
    </row>
    <row r="70" spans="1:4" x14ac:dyDescent="0.2">
      <c r="A70" t="s">
        <v>47</v>
      </c>
      <c r="B70" t="s">
        <v>48</v>
      </c>
      <c r="C70" t="s">
        <v>7</v>
      </c>
      <c r="D70">
        <f>280/(6+280+900)</f>
        <v>0.23608768971332209</v>
      </c>
    </row>
    <row r="71" spans="1:4" x14ac:dyDescent="0.2">
      <c r="A71" t="s">
        <v>47</v>
      </c>
      <c r="B71" t="s">
        <v>48</v>
      </c>
      <c r="C71" t="s">
        <v>8</v>
      </c>
      <c r="D71">
        <f>900/(6+280+900)</f>
        <v>0.75885328836424959</v>
      </c>
    </row>
    <row r="72" spans="1:4" x14ac:dyDescent="0.2">
      <c r="A72" t="s">
        <v>47</v>
      </c>
      <c r="B72" t="s">
        <v>49</v>
      </c>
      <c r="C72" t="s">
        <v>44</v>
      </c>
      <c r="D72">
        <f>9/(9+380+1100)</f>
        <v>6.044325050369375E-3</v>
      </c>
    </row>
    <row r="73" spans="1:4" x14ac:dyDescent="0.2">
      <c r="A73" t="s">
        <v>47</v>
      </c>
      <c r="B73" t="s">
        <v>49</v>
      </c>
      <c r="C73" t="s">
        <v>7</v>
      </c>
      <c r="D73">
        <f>380/(9+380+1100)</f>
        <v>0.2552048354600403</v>
      </c>
    </row>
    <row r="74" spans="1:4" x14ac:dyDescent="0.2">
      <c r="A74" t="s">
        <v>47</v>
      </c>
      <c r="B74" t="s">
        <v>49</v>
      </c>
      <c r="C74" t="s">
        <v>8</v>
      </c>
      <c r="D74">
        <f>1100/(9+380+1100)</f>
        <v>0.73875083948959031</v>
      </c>
    </row>
    <row r="75" spans="1:4" x14ac:dyDescent="0.2">
      <c r="A75" t="s">
        <v>47</v>
      </c>
      <c r="B75" t="s">
        <v>50</v>
      </c>
      <c r="C75" t="s">
        <v>44</v>
      </c>
      <c r="D75">
        <f>0.4/(0.4+70+30)</f>
        <v>3.9840637450199202E-3</v>
      </c>
    </row>
    <row r="76" spans="1:4" x14ac:dyDescent="0.2">
      <c r="A76" t="s">
        <v>47</v>
      </c>
      <c r="B76" t="s">
        <v>50</v>
      </c>
      <c r="C76" t="s">
        <v>7</v>
      </c>
      <c r="D76">
        <f>70/(0.4+70+30)</f>
        <v>0.69721115537848599</v>
      </c>
    </row>
    <row r="77" spans="1:4" x14ac:dyDescent="0.2">
      <c r="A77" t="s">
        <v>47</v>
      </c>
      <c r="B77" t="s">
        <v>50</v>
      </c>
      <c r="C77" t="s">
        <v>8</v>
      </c>
      <c r="D77">
        <f>30/(0.4+70+30)</f>
        <v>0.29880478087649398</v>
      </c>
    </row>
    <row r="78" spans="1:4" x14ac:dyDescent="0.2">
      <c r="A78" t="s">
        <v>52</v>
      </c>
      <c r="B78" t="s">
        <v>53</v>
      </c>
      <c r="C78" t="s">
        <v>51</v>
      </c>
      <c r="D78">
        <f>0.2/(0.2+0.2+2.8+250+100)</f>
        <v>5.6625141562853911E-4</v>
      </c>
    </row>
    <row r="79" spans="1:4" x14ac:dyDescent="0.2">
      <c r="A79" t="s">
        <v>52</v>
      </c>
      <c r="B79" t="s">
        <v>53</v>
      </c>
      <c r="C79" t="s">
        <v>43</v>
      </c>
      <c r="D79">
        <f>0.2/(0.2+0.2+2.8+250+100)</f>
        <v>5.6625141562853911E-4</v>
      </c>
    </row>
    <row r="80" spans="1:4" x14ac:dyDescent="0.2">
      <c r="A80" t="s">
        <v>52</v>
      </c>
      <c r="B80" t="s">
        <v>53</v>
      </c>
      <c r="C80" t="s">
        <v>44</v>
      </c>
      <c r="D80">
        <f>2.8/(0.2+0.2+2.8+250+100)</f>
        <v>7.9275198187995465E-3</v>
      </c>
    </row>
    <row r="81" spans="1:4" x14ac:dyDescent="0.2">
      <c r="A81" t="s">
        <v>52</v>
      </c>
      <c r="B81" t="s">
        <v>53</v>
      </c>
      <c r="C81" t="s">
        <v>8</v>
      </c>
      <c r="D81">
        <f>250/(0.2+0.2+2.8+250+100)</f>
        <v>0.70781426953567383</v>
      </c>
    </row>
    <row r="82" spans="1:4" x14ac:dyDescent="0.2">
      <c r="A82" t="s">
        <v>52</v>
      </c>
      <c r="B82" t="s">
        <v>53</v>
      </c>
      <c r="C82" t="s">
        <v>7</v>
      </c>
      <c r="D82">
        <f>100/(0.2+0.2+2.8+250+100)</f>
        <v>0.28312570781426954</v>
      </c>
    </row>
    <row r="83" spans="1:4" x14ac:dyDescent="0.2">
      <c r="A83" t="s">
        <v>52</v>
      </c>
      <c r="B83" t="s">
        <v>54</v>
      </c>
      <c r="C83" t="s">
        <v>44</v>
      </c>
      <c r="D83">
        <f>1/(1+0.2+620+1100)</f>
        <v>5.8099000697188008E-4</v>
      </c>
    </row>
    <row r="84" spans="1:4" x14ac:dyDescent="0.2">
      <c r="A84" t="s">
        <v>52</v>
      </c>
      <c r="B84" t="s">
        <v>54</v>
      </c>
      <c r="C84" t="s">
        <v>43</v>
      </c>
      <c r="D84">
        <f>0.2/(1+0.2+620+1100)</f>
        <v>1.1619800139437602E-4</v>
      </c>
    </row>
    <row r="85" spans="1:4" x14ac:dyDescent="0.2">
      <c r="A85" t="s">
        <v>52</v>
      </c>
      <c r="B85" t="s">
        <v>54</v>
      </c>
      <c r="C85" t="s">
        <v>7</v>
      </c>
      <c r="D85">
        <f>620/(1+0.2+620+1100)</f>
        <v>0.36021380432256567</v>
      </c>
    </row>
    <row r="86" spans="1:4" x14ac:dyDescent="0.2">
      <c r="A86" t="s">
        <v>52</v>
      </c>
      <c r="B86" t="s">
        <v>54</v>
      </c>
      <c r="C86" t="s">
        <v>8</v>
      </c>
      <c r="D86">
        <f>1100/(1+0.2+620+1100)</f>
        <v>0.63908900766906807</v>
      </c>
    </row>
    <row r="87" spans="1:4" x14ac:dyDescent="0.2">
      <c r="A87" t="s">
        <v>52</v>
      </c>
      <c r="B87" t="s">
        <v>55</v>
      </c>
      <c r="C87" t="s">
        <v>8</v>
      </c>
      <c r="D87">
        <f>200/(200+450)</f>
        <v>0.30769230769230771</v>
      </c>
    </row>
    <row r="88" spans="1:4" x14ac:dyDescent="0.2">
      <c r="A88" t="s">
        <v>52</v>
      </c>
      <c r="B88" t="s">
        <v>55</v>
      </c>
      <c r="C88" t="s">
        <v>7</v>
      </c>
      <c r="D88">
        <f>450/(200+450)</f>
        <v>0.69230769230769229</v>
      </c>
    </row>
    <row r="89" spans="1:4" x14ac:dyDescent="0.2">
      <c r="A89" t="s">
        <v>57</v>
      </c>
      <c r="B89" t="s">
        <v>58</v>
      </c>
      <c r="C89" t="s">
        <v>56</v>
      </c>
      <c r="D89">
        <f>1.1/(1.1+0.1+120+150)</f>
        <v>4.0560471976401188E-3</v>
      </c>
    </row>
    <row r="90" spans="1:4" x14ac:dyDescent="0.2">
      <c r="A90" t="s">
        <v>57</v>
      </c>
      <c r="B90" t="s">
        <v>58</v>
      </c>
      <c r="C90" t="s">
        <v>43</v>
      </c>
      <c r="D90">
        <f>0.1/(1.1+0.1+120+150)</f>
        <v>3.6873156342182896E-4</v>
      </c>
    </row>
    <row r="91" spans="1:4" x14ac:dyDescent="0.2">
      <c r="A91" t="s">
        <v>57</v>
      </c>
      <c r="B91" t="s">
        <v>58</v>
      </c>
      <c r="C91" t="s">
        <v>7</v>
      </c>
      <c r="D91">
        <f>120/(1.1+0.1+120+150)</f>
        <v>0.44247787610619471</v>
      </c>
    </row>
    <row r="92" spans="1:4" x14ac:dyDescent="0.2">
      <c r="A92" t="s">
        <v>57</v>
      </c>
      <c r="B92" t="s">
        <v>58</v>
      </c>
      <c r="C92" t="s">
        <v>8</v>
      </c>
      <c r="D92">
        <f>150/(1.1+0.1+120+150)</f>
        <v>0.55309734513274333</v>
      </c>
    </row>
    <row r="93" spans="1:4" x14ac:dyDescent="0.2">
      <c r="A93" t="s">
        <v>57</v>
      </c>
      <c r="B93" t="s">
        <v>59</v>
      </c>
      <c r="C93" t="s">
        <v>44</v>
      </c>
      <c r="D93">
        <f>0.4/(0.4+0.1+80+120)</f>
        <v>1.9950124688279305E-3</v>
      </c>
    </row>
    <row r="94" spans="1:4" x14ac:dyDescent="0.2">
      <c r="A94" t="s">
        <v>57</v>
      </c>
      <c r="B94" t="s">
        <v>59</v>
      </c>
      <c r="C94" t="s">
        <v>43</v>
      </c>
      <c r="D94">
        <f>0.1/(0.4+0.1+80+120)</f>
        <v>4.9875311720698262E-4</v>
      </c>
    </row>
    <row r="95" spans="1:4" x14ac:dyDescent="0.2">
      <c r="A95" t="s">
        <v>57</v>
      </c>
      <c r="B95" t="s">
        <v>59</v>
      </c>
      <c r="C95" t="s">
        <v>7</v>
      </c>
      <c r="D95">
        <f>80/(0.4+0.1+80+120)</f>
        <v>0.39900249376558605</v>
      </c>
    </row>
    <row r="96" spans="1:4" x14ac:dyDescent="0.2">
      <c r="A96" t="s">
        <v>57</v>
      </c>
      <c r="B96" t="s">
        <v>59</v>
      </c>
      <c r="C96" t="s">
        <v>8</v>
      </c>
      <c r="D96">
        <f>120/(0.4+0.1+80+120)</f>
        <v>0.59850374064837908</v>
      </c>
    </row>
    <row r="97" spans="1:4" x14ac:dyDescent="0.2">
      <c r="A97" t="s">
        <v>57</v>
      </c>
      <c r="B97" t="s">
        <v>60</v>
      </c>
      <c r="C97" t="s">
        <v>44</v>
      </c>
      <c r="D97">
        <f>0.4/(0.4+0.1+80+120)</f>
        <v>1.9950124688279305E-3</v>
      </c>
    </row>
    <row r="98" spans="1:4" x14ac:dyDescent="0.2">
      <c r="A98" t="s">
        <v>57</v>
      </c>
      <c r="B98" t="s">
        <v>60</v>
      </c>
      <c r="C98" t="s">
        <v>43</v>
      </c>
      <c r="D98">
        <f>0.1/(0.4+0.1+80+120)</f>
        <v>4.9875311720698262E-4</v>
      </c>
    </row>
    <row r="99" spans="1:4" x14ac:dyDescent="0.2">
      <c r="A99" t="s">
        <v>57</v>
      </c>
      <c r="B99" t="s">
        <v>60</v>
      </c>
      <c r="C99" t="s">
        <v>7</v>
      </c>
      <c r="D99">
        <f>80/(0.4+0.1+80+120)</f>
        <v>0.39900249376558605</v>
      </c>
    </row>
    <row r="100" spans="1:4" x14ac:dyDescent="0.2">
      <c r="A100" t="s">
        <v>57</v>
      </c>
      <c r="B100" t="s">
        <v>60</v>
      </c>
      <c r="C100" t="s">
        <v>8</v>
      </c>
      <c r="D100">
        <f>120/(0.4+0.1+80+120)</f>
        <v>0.59850374064837908</v>
      </c>
    </row>
    <row r="101" spans="1:4" x14ac:dyDescent="0.2">
      <c r="A101" t="s">
        <v>61</v>
      </c>
      <c r="B101" t="s">
        <v>62</v>
      </c>
      <c r="C101" t="s">
        <v>44</v>
      </c>
      <c r="D101">
        <f>12/(12+0.2+50+0.5)</f>
        <v>0.19138755980861244</v>
      </c>
    </row>
    <row r="102" spans="1:4" x14ac:dyDescent="0.2">
      <c r="A102" t="s">
        <v>61</v>
      </c>
      <c r="B102" t="s">
        <v>62</v>
      </c>
      <c r="C102" t="s">
        <v>43</v>
      </c>
      <c r="D102">
        <f>0.2/(12+0.2+50+0.5)</f>
        <v>3.189792663476874E-3</v>
      </c>
    </row>
    <row r="103" spans="1:4" x14ac:dyDescent="0.2">
      <c r="A103" t="s">
        <v>61</v>
      </c>
      <c r="B103" t="s">
        <v>62</v>
      </c>
      <c r="C103" t="s">
        <v>8</v>
      </c>
      <c r="D103">
        <f>50/(12+0.2+50+0.5)</f>
        <v>0.79744816586921852</v>
      </c>
    </row>
    <row r="104" spans="1:4" x14ac:dyDescent="0.2">
      <c r="A104" t="s">
        <v>61</v>
      </c>
      <c r="B104" t="s">
        <v>62</v>
      </c>
      <c r="C104" t="s">
        <v>7</v>
      </c>
      <c r="D104">
        <f>0.5/(12+0.2+50+0.5)</f>
        <v>7.9744816586921844E-3</v>
      </c>
    </row>
    <row r="105" spans="1:4" x14ac:dyDescent="0.2">
      <c r="A105" t="s">
        <v>61</v>
      </c>
      <c r="B105" t="s">
        <v>63</v>
      </c>
      <c r="C105" t="s">
        <v>44</v>
      </c>
      <c r="D105">
        <f>9/(9+0.1+470+295)</f>
        <v>1.1626404857253584E-2</v>
      </c>
    </row>
    <row r="106" spans="1:4" x14ac:dyDescent="0.2">
      <c r="A106" t="s">
        <v>61</v>
      </c>
      <c r="B106" t="s">
        <v>63</v>
      </c>
      <c r="C106" t="s">
        <v>43</v>
      </c>
      <c r="D106">
        <f>0.1/(9+0.1+470+295)</f>
        <v>1.2918227619170651E-4</v>
      </c>
    </row>
    <row r="107" spans="1:4" x14ac:dyDescent="0.2">
      <c r="A107" t="s">
        <v>61</v>
      </c>
      <c r="B107" t="s">
        <v>63</v>
      </c>
      <c r="C107" t="s">
        <v>8</v>
      </c>
      <c r="D107">
        <f>470/(9+0.1+470+295)</f>
        <v>0.60715669810102058</v>
      </c>
    </row>
    <row r="108" spans="1:4" x14ac:dyDescent="0.2">
      <c r="A108" t="s">
        <v>61</v>
      </c>
      <c r="B108" t="s">
        <v>63</v>
      </c>
      <c r="C108" t="s">
        <v>7</v>
      </c>
      <c r="D108">
        <f>295/(9+0.1+470+295)</f>
        <v>0.38108771476553416</v>
      </c>
    </row>
    <row r="109" spans="1:4" x14ac:dyDescent="0.2">
      <c r="A109" t="s">
        <v>61</v>
      </c>
      <c r="B109" t="s">
        <v>64</v>
      </c>
      <c r="C109" t="s">
        <v>44</v>
      </c>
      <c r="D109">
        <f>0.7/(0.7+0.1+50+150)</f>
        <v>3.4860557768924298E-3</v>
      </c>
    </row>
    <row r="110" spans="1:4" x14ac:dyDescent="0.2">
      <c r="A110" t="s">
        <v>61</v>
      </c>
      <c r="B110" t="s">
        <v>64</v>
      </c>
      <c r="C110" t="s">
        <v>43</v>
      </c>
      <c r="D110">
        <f>0.1/(0.7+0.1+50+150)</f>
        <v>4.9800796812749003E-4</v>
      </c>
    </row>
    <row r="111" spans="1:4" x14ac:dyDescent="0.2">
      <c r="A111" t="s">
        <v>61</v>
      </c>
      <c r="B111" t="s">
        <v>64</v>
      </c>
      <c r="C111" t="s">
        <v>7</v>
      </c>
      <c r="D111">
        <f>50/(0.7+0.1+50+150)</f>
        <v>0.24900398406374499</v>
      </c>
    </row>
    <row r="112" spans="1:4" x14ac:dyDescent="0.2">
      <c r="A112" t="s">
        <v>61</v>
      </c>
      <c r="B112" t="s">
        <v>64</v>
      </c>
      <c r="C112" t="s">
        <v>8</v>
      </c>
      <c r="D112">
        <f>150/(0.7+0.1+50+150)</f>
        <v>0.74701195219123506</v>
      </c>
    </row>
    <row r="113" spans="1:4" x14ac:dyDescent="0.2">
      <c r="A113" t="s">
        <v>65</v>
      </c>
      <c r="B113" t="s">
        <v>66</v>
      </c>
      <c r="C113" t="s">
        <v>44</v>
      </c>
      <c r="D113">
        <f>0.6/(0.6+100+180)</f>
        <v>2.1382751247327153E-3</v>
      </c>
    </row>
    <row r="114" spans="1:4" x14ac:dyDescent="0.2">
      <c r="A114" t="s">
        <v>65</v>
      </c>
      <c r="B114" t="s">
        <v>66</v>
      </c>
      <c r="C114" t="s">
        <v>7</v>
      </c>
      <c r="D114">
        <f>100/(0.6+100+180)</f>
        <v>0.35637918745545255</v>
      </c>
    </row>
    <row r="115" spans="1:4" x14ac:dyDescent="0.2">
      <c r="A115" t="s">
        <v>65</v>
      </c>
      <c r="B115" t="s">
        <v>66</v>
      </c>
      <c r="C115" t="s">
        <v>8</v>
      </c>
      <c r="D115">
        <f>180/(0.6+100+180)</f>
        <v>0.64148253741981465</v>
      </c>
    </row>
    <row r="116" spans="1:4" x14ac:dyDescent="0.2">
      <c r="A116" t="s">
        <v>65</v>
      </c>
      <c r="B116" t="s">
        <v>67</v>
      </c>
      <c r="C116" t="s">
        <v>44</v>
      </c>
      <c r="D116">
        <f>0.4/(0.4+70+190)</f>
        <v>1.5360983102918589E-3</v>
      </c>
    </row>
    <row r="117" spans="1:4" x14ac:dyDescent="0.2">
      <c r="A117" t="s">
        <v>65</v>
      </c>
      <c r="B117" t="s">
        <v>67</v>
      </c>
      <c r="C117" t="s">
        <v>7</v>
      </c>
      <c r="D117">
        <f>70/(0.4+70+190)</f>
        <v>0.26881720430107531</v>
      </c>
    </row>
    <row r="118" spans="1:4" x14ac:dyDescent="0.2">
      <c r="A118" t="s">
        <v>65</v>
      </c>
      <c r="B118" t="s">
        <v>67</v>
      </c>
      <c r="C118" t="s">
        <v>8</v>
      </c>
      <c r="D118">
        <f>190/(0.4+70+190)</f>
        <v>0.72964669738863297</v>
      </c>
    </row>
    <row r="119" spans="1:4" x14ac:dyDescent="0.2">
      <c r="A119" t="s">
        <v>65</v>
      </c>
      <c r="B119" t="s">
        <v>68</v>
      </c>
      <c r="C119" t="s">
        <v>7</v>
      </c>
      <c r="D119">
        <f>80/(80+120)</f>
        <v>0.4</v>
      </c>
    </row>
    <row r="120" spans="1:4" x14ac:dyDescent="0.2">
      <c r="A120" t="s">
        <v>65</v>
      </c>
      <c r="B120" t="s">
        <v>68</v>
      </c>
      <c r="C120" t="s">
        <v>8</v>
      </c>
      <c r="D120">
        <f>120/(80+120)</f>
        <v>0.6</v>
      </c>
    </row>
    <row r="121" spans="1:4" x14ac:dyDescent="0.2">
      <c r="A121" t="s">
        <v>69</v>
      </c>
      <c r="B121" t="s">
        <v>70</v>
      </c>
      <c r="C121" t="s">
        <v>43</v>
      </c>
      <c r="D121">
        <f>0.1/(0.1+110+70)</f>
        <v>5.5524708495280405E-4</v>
      </c>
    </row>
    <row r="122" spans="1:4" x14ac:dyDescent="0.2">
      <c r="A122" t="s">
        <v>69</v>
      </c>
      <c r="B122" t="s">
        <v>70</v>
      </c>
      <c r="C122" t="s">
        <v>7</v>
      </c>
      <c r="D122">
        <f>110/(0.1+110+70)</f>
        <v>0.61077179344808441</v>
      </c>
    </row>
    <row r="123" spans="1:4" x14ac:dyDescent="0.2">
      <c r="A123" t="s">
        <v>69</v>
      </c>
      <c r="B123" t="s">
        <v>70</v>
      </c>
      <c r="C123" t="s">
        <v>8</v>
      </c>
      <c r="D123">
        <f>70/(0.1+110+70)</f>
        <v>0.38867295946696279</v>
      </c>
    </row>
    <row r="124" spans="1:4" x14ac:dyDescent="0.2">
      <c r="A124" t="s">
        <v>69</v>
      </c>
      <c r="B124" t="s">
        <v>71</v>
      </c>
      <c r="C124" t="s">
        <v>44</v>
      </c>
      <c r="D124">
        <f>0.1/(0.1+100+100)</f>
        <v>4.9975012493753133E-4</v>
      </c>
    </row>
    <row r="125" spans="1:4" x14ac:dyDescent="0.2">
      <c r="A125" t="s">
        <v>69</v>
      </c>
      <c r="B125" t="s">
        <v>71</v>
      </c>
      <c r="C125" t="s">
        <v>7</v>
      </c>
      <c r="D125">
        <f>100/(0.1+100+100)</f>
        <v>0.49975012493753124</v>
      </c>
    </row>
    <row r="126" spans="1:4" x14ac:dyDescent="0.2">
      <c r="A126" t="s">
        <v>69</v>
      </c>
      <c r="B126" t="s">
        <v>71</v>
      </c>
      <c r="C126" t="s">
        <v>8</v>
      </c>
      <c r="D126">
        <f>100/(0.1+100+100)</f>
        <v>0.49975012493753124</v>
      </c>
    </row>
    <row r="127" spans="1:4" x14ac:dyDescent="0.2">
      <c r="A127" t="s">
        <v>69</v>
      </c>
      <c r="B127" t="s">
        <v>72</v>
      </c>
      <c r="C127" t="s">
        <v>7</v>
      </c>
      <c r="D127">
        <f>40/90</f>
        <v>0.44444444444444442</v>
      </c>
    </row>
    <row r="128" spans="1:4" x14ac:dyDescent="0.2">
      <c r="A128" t="s">
        <v>69</v>
      </c>
      <c r="B128" t="s">
        <v>72</v>
      </c>
      <c r="C128" t="s">
        <v>8</v>
      </c>
      <c r="D128">
        <f>50/90</f>
        <v>0.55555555555555558</v>
      </c>
    </row>
    <row r="129" spans="1:4" x14ac:dyDescent="0.2">
      <c r="A129" t="s">
        <v>73</v>
      </c>
      <c r="B129" t="s">
        <v>74</v>
      </c>
      <c r="C129" t="s">
        <v>44</v>
      </c>
      <c r="D129">
        <f>3.6/(3.6+0.5+95+295)</f>
        <v>9.1347373763004305E-3</v>
      </c>
    </row>
    <row r="130" spans="1:4" x14ac:dyDescent="0.2">
      <c r="A130" t="s">
        <v>73</v>
      </c>
      <c r="B130" t="s">
        <v>74</v>
      </c>
      <c r="C130" t="s">
        <v>43</v>
      </c>
      <c r="D130">
        <f>0.5/(3.6+0.5+95+295)</f>
        <v>1.2687135244861709E-3</v>
      </c>
    </row>
    <row r="131" spans="1:4" x14ac:dyDescent="0.2">
      <c r="A131" t="s">
        <v>73</v>
      </c>
      <c r="B131" t="s">
        <v>74</v>
      </c>
      <c r="C131" t="s">
        <v>7</v>
      </c>
      <c r="D131">
        <f>95/(3.6+0.5+95+295)</f>
        <v>0.24105556965237249</v>
      </c>
    </row>
    <row r="132" spans="1:4" x14ac:dyDescent="0.2">
      <c r="A132" t="s">
        <v>73</v>
      </c>
      <c r="B132" t="s">
        <v>74</v>
      </c>
      <c r="C132" t="s">
        <v>8</v>
      </c>
      <c r="D132">
        <f>295/(3.6+0.5+95+295)</f>
        <v>0.74854097944684084</v>
      </c>
    </row>
    <row r="133" spans="1:4" x14ac:dyDescent="0.2">
      <c r="A133" t="s">
        <v>73</v>
      </c>
      <c r="B133" t="s">
        <v>75</v>
      </c>
      <c r="C133" t="s">
        <v>43</v>
      </c>
      <c r="D133">
        <f>0.3/(0.3+2+710+380)</f>
        <v>2.7464982147761604E-4</v>
      </c>
    </row>
    <row r="134" spans="1:4" x14ac:dyDescent="0.2">
      <c r="A134" t="s">
        <v>73</v>
      </c>
      <c r="B134" t="s">
        <v>75</v>
      </c>
      <c r="C134" t="s">
        <v>44</v>
      </c>
      <c r="D134">
        <f>2/(0.3+2+710+380)</f>
        <v>1.8309988098507736E-3</v>
      </c>
    </row>
    <row r="135" spans="1:4" x14ac:dyDescent="0.2">
      <c r="A135" t="s">
        <v>73</v>
      </c>
      <c r="B135" t="s">
        <v>75</v>
      </c>
      <c r="C135" t="s">
        <v>7</v>
      </c>
      <c r="D135">
        <f>710/(0.3+2+710+380)</f>
        <v>0.65000457749702467</v>
      </c>
    </row>
    <row r="136" spans="1:4" x14ac:dyDescent="0.2">
      <c r="A136" t="s">
        <v>73</v>
      </c>
      <c r="B136" t="s">
        <v>75</v>
      </c>
      <c r="C136" t="s">
        <v>8</v>
      </c>
      <c r="D136">
        <f>380/(0.3+2+710+380)</f>
        <v>0.34788977387164699</v>
      </c>
    </row>
    <row r="137" spans="1:4" x14ac:dyDescent="0.2">
      <c r="A137" t="s">
        <v>73</v>
      </c>
      <c r="B137" t="s">
        <v>76</v>
      </c>
      <c r="C137" t="s">
        <v>8</v>
      </c>
      <c r="D137">
        <f>1350/(1350+680)</f>
        <v>0.66502463054187189</v>
      </c>
    </row>
    <row r="138" spans="1:4" x14ac:dyDescent="0.2">
      <c r="A138" t="s">
        <v>73</v>
      </c>
      <c r="B138" t="s">
        <v>76</v>
      </c>
      <c r="C138" t="s">
        <v>7</v>
      </c>
      <c r="D138">
        <f>680/(1350+680)</f>
        <v>0.33497536945812806</v>
      </c>
    </row>
    <row r="139" spans="1:4" x14ac:dyDescent="0.2">
      <c r="A139" t="s">
        <v>77</v>
      </c>
      <c r="B139" t="s">
        <v>78</v>
      </c>
      <c r="C139" t="s">
        <v>44</v>
      </c>
      <c r="D139">
        <f>1.2/(1.2+0.1+400+50)</f>
        <v>2.6589851539995566E-3</v>
      </c>
    </row>
    <row r="140" spans="1:4" x14ac:dyDescent="0.2">
      <c r="A140" t="s">
        <v>77</v>
      </c>
      <c r="B140" t="s">
        <v>78</v>
      </c>
      <c r="C140" t="s">
        <v>43</v>
      </c>
      <c r="D140">
        <f>0.1/(1.2+0.1+400+50)</f>
        <v>2.2158209616662973E-4</v>
      </c>
    </row>
    <row r="141" spans="1:4" x14ac:dyDescent="0.2">
      <c r="A141" t="s">
        <v>77</v>
      </c>
      <c r="B141" t="s">
        <v>78</v>
      </c>
      <c r="C141" t="s">
        <v>8</v>
      </c>
      <c r="D141">
        <f>400/(1.2+0.1+400+50)</f>
        <v>0.88632838466651898</v>
      </c>
    </row>
    <row r="142" spans="1:4" x14ac:dyDescent="0.2">
      <c r="A142" t="s">
        <v>77</v>
      </c>
      <c r="B142" t="s">
        <v>78</v>
      </c>
      <c r="C142" t="s">
        <v>7</v>
      </c>
      <c r="D142">
        <f>50/(1.2+0.1+400+50)</f>
        <v>0.11079104808331487</v>
      </c>
    </row>
    <row r="143" spans="1:4" x14ac:dyDescent="0.2">
      <c r="A143" t="s">
        <v>77</v>
      </c>
      <c r="B143" t="s">
        <v>79</v>
      </c>
      <c r="C143" t="s">
        <v>44</v>
      </c>
      <c r="D143">
        <f>12/(12+280+750)</f>
        <v>1.1516314779270634E-2</v>
      </c>
    </row>
    <row r="144" spans="1:4" x14ac:dyDescent="0.2">
      <c r="A144" t="s">
        <v>77</v>
      </c>
      <c r="B144" t="s">
        <v>79</v>
      </c>
      <c r="C144" t="s">
        <v>7</v>
      </c>
      <c r="D144">
        <f>280/(12+280+750)</f>
        <v>0.2687140115163148</v>
      </c>
    </row>
    <row r="145" spans="1:4" x14ac:dyDescent="0.2">
      <c r="A145" t="s">
        <v>77</v>
      </c>
      <c r="B145" t="s">
        <v>79</v>
      </c>
      <c r="C145" t="s">
        <v>8</v>
      </c>
      <c r="D145">
        <f>750/(12+280+750)</f>
        <v>0.71976967370441458</v>
      </c>
    </row>
    <row r="146" spans="1:4" x14ac:dyDescent="0.2">
      <c r="A146" t="s">
        <v>77</v>
      </c>
      <c r="B146" t="s">
        <v>80</v>
      </c>
      <c r="C146" t="s">
        <v>44</v>
      </c>
      <c r="D146">
        <f>4/(4+0.1+100+400)</f>
        <v>7.9349335449315616E-3</v>
      </c>
    </row>
    <row r="147" spans="1:4" x14ac:dyDescent="0.2">
      <c r="A147" t="s">
        <v>77</v>
      </c>
      <c r="B147" t="s">
        <v>80</v>
      </c>
      <c r="C147" t="s">
        <v>43</v>
      </c>
      <c r="D147">
        <f>0.1/(4+0.1+100+400)</f>
        <v>1.9837333862328903E-4</v>
      </c>
    </row>
    <row r="148" spans="1:4" x14ac:dyDescent="0.2">
      <c r="A148" t="s">
        <v>77</v>
      </c>
      <c r="B148" t="s">
        <v>80</v>
      </c>
      <c r="C148" t="s">
        <v>7</v>
      </c>
      <c r="D148">
        <f>100/(4+0.1+100+400)</f>
        <v>0.19837333862328901</v>
      </c>
    </row>
    <row r="149" spans="1:4" x14ac:dyDescent="0.2">
      <c r="A149" t="s">
        <v>77</v>
      </c>
      <c r="B149" t="s">
        <v>80</v>
      </c>
      <c r="C149" t="s">
        <v>8</v>
      </c>
      <c r="D149">
        <f>400/(4+0.1+100+400)</f>
        <v>0.79349335449315606</v>
      </c>
    </row>
    <row r="150" spans="1:4" x14ac:dyDescent="0.2">
      <c r="A150" t="s">
        <v>81</v>
      </c>
      <c r="B150" t="s">
        <v>82</v>
      </c>
      <c r="C150" t="s">
        <v>7</v>
      </c>
      <c r="D150">
        <f>100/300</f>
        <v>0.33333333333333331</v>
      </c>
    </row>
    <row r="151" spans="1:4" x14ac:dyDescent="0.2">
      <c r="A151" t="s">
        <v>81</v>
      </c>
      <c r="B151" t="s">
        <v>82</v>
      </c>
      <c r="C151" t="s">
        <v>8</v>
      </c>
      <c r="D151">
        <f>200/300</f>
        <v>0.66666666666666663</v>
      </c>
    </row>
    <row r="152" spans="1:4" x14ac:dyDescent="0.2">
      <c r="A152" t="s">
        <v>81</v>
      </c>
      <c r="B152" t="s">
        <v>83</v>
      </c>
      <c r="C152" t="s">
        <v>51</v>
      </c>
      <c r="D152">
        <f>0.1/(0.1+1.7+100+150)</f>
        <v>3.9714058776806987E-4</v>
      </c>
    </row>
    <row r="153" spans="1:4" x14ac:dyDescent="0.2">
      <c r="A153" t="s">
        <v>81</v>
      </c>
      <c r="B153" t="s">
        <v>83</v>
      </c>
      <c r="C153" t="s">
        <v>44</v>
      </c>
      <c r="D153">
        <f>1.7/(0.1+1.7+100+150)</f>
        <v>6.7513899920571881E-3</v>
      </c>
    </row>
    <row r="154" spans="1:4" x14ac:dyDescent="0.2">
      <c r="A154" t="s">
        <v>81</v>
      </c>
      <c r="B154" t="s">
        <v>83</v>
      </c>
      <c r="C154" t="s">
        <v>7</v>
      </c>
      <c r="D154">
        <f>100/(0.1+1.7+100+150)</f>
        <v>0.39714058776806987</v>
      </c>
    </row>
    <row r="155" spans="1:4" x14ac:dyDescent="0.2">
      <c r="A155" t="s">
        <v>81</v>
      </c>
      <c r="B155" t="s">
        <v>83</v>
      </c>
      <c r="C155" t="s">
        <v>8</v>
      </c>
      <c r="D155">
        <f>150/(0.1+1.7+100+150)</f>
        <v>0.59571088165210484</v>
      </c>
    </row>
    <row r="156" spans="1:4" x14ac:dyDescent="0.2">
      <c r="A156" t="s">
        <v>81</v>
      </c>
      <c r="B156" t="s">
        <v>84</v>
      </c>
      <c r="C156" t="s">
        <v>43</v>
      </c>
      <c r="D156">
        <f>0.2/(0.2+2.2+150+400)</f>
        <v>3.6205648081100655E-4</v>
      </c>
    </row>
    <row r="157" spans="1:4" x14ac:dyDescent="0.2">
      <c r="A157" t="s">
        <v>81</v>
      </c>
      <c r="B157" t="s">
        <v>84</v>
      </c>
      <c r="C157" t="s">
        <v>44</v>
      </c>
      <c r="D157">
        <f>2.2/(0.2+2.2+150+400)</f>
        <v>3.9826212889210724E-3</v>
      </c>
    </row>
    <row r="158" spans="1:4" x14ac:dyDescent="0.2">
      <c r="A158" t="s">
        <v>81</v>
      </c>
      <c r="B158" t="s">
        <v>84</v>
      </c>
      <c r="C158" t="s">
        <v>7</v>
      </c>
      <c r="D158">
        <f>150/(0.2+2.2+150+400)</f>
        <v>0.27154236060825487</v>
      </c>
    </row>
    <row r="159" spans="1:4" x14ac:dyDescent="0.2">
      <c r="A159" t="s">
        <v>81</v>
      </c>
      <c r="B159" t="s">
        <v>84</v>
      </c>
      <c r="C159" t="s">
        <v>8</v>
      </c>
      <c r="D159">
        <f>400/(0.2+2.2+150+400)</f>
        <v>0.72411296162201311</v>
      </c>
    </row>
    <row r="160" spans="1:4" x14ac:dyDescent="0.2">
      <c r="A160" t="s">
        <v>85</v>
      </c>
      <c r="B160" t="s">
        <v>86</v>
      </c>
      <c r="C160" t="s">
        <v>43</v>
      </c>
      <c r="D160">
        <f>0.2/(0.2+2.9+210+200)</f>
        <v>4.8414427499394818E-4</v>
      </c>
    </row>
    <row r="161" spans="1:4" x14ac:dyDescent="0.2">
      <c r="A161" t="s">
        <v>85</v>
      </c>
      <c r="B161" t="s">
        <v>86</v>
      </c>
      <c r="C161" t="s">
        <v>44</v>
      </c>
      <c r="D161">
        <f>2.9/(0.2+2.9+210+200)</f>
        <v>7.0200919874122483E-3</v>
      </c>
    </row>
    <row r="162" spans="1:4" x14ac:dyDescent="0.2">
      <c r="A162" t="s">
        <v>85</v>
      </c>
      <c r="B162" t="s">
        <v>86</v>
      </c>
      <c r="C162" t="s">
        <v>7</v>
      </c>
      <c r="D162">
        <f>210/(0.2+2.9+210+200)</f>
        <v>0.50835148874364555</v>
      </c>
    </row>
    <row r="163" spans="1:4" x14ac:dyDescent="0.2">
      <c r="A163" t="s">
        <v>85</v>
      </c>
      <c r="B163" t="s">
        <v>86</v>
      </c>
      <c r="C163" t="s">
        <v>8</v>
      </c>
      <c r="D163">
        <f>200/(0.2+2.9+210+200)</f>
        <v>0.48414427499394819</v>
      </c>
    </row>
    <row r="164" spans="1:4" x14ac:dyDescent="0.2">
      <c r="A164" t="s">
        <v>85</v>
      </c>
      <c r="B164" t="s">
        <v>87</v>
      </c>
      <c r="C164" t="s">
        <v>7</v>
      </c>
      <c r="D164">
        <f>80/(80+150)</f>
        <v>0.34782608695652173</v>
      </c>
    </row>
    <row r="165" spans="1:4" x14ac:dyDescent="0.2">
      <c r="A165" t="s">
        <v>85</v>
      </c>
      <c r="B165" t="s">
        <v>87</v>
      </c>
      <c r="C165" t="s">
        <v>8</v>
      </c>
      <c r="D165">
        <f>150/(80+150)</f>
        <v>0.65217391304347827</v>
      </c>
    </row>
    <row r="166" spans="1:4" x14ac:dyDescent="0.2">
      <c r="A166" t="s">
        <v>85</v>
      </c>
      <c r="B166" t="s">
        <v>88</v>
      </c>
      <c r="C166" t="s">
        <v>44</v>
      </c>
      <c r="D166">
        <f>1.9/(1.9+0.1+80+150)</f>
        <v>8.1896551724137921E-3</v>
      </c>
    </row>
    <row r="167" spans="1:4" x14ac:dyDescent="0.2">
      <c r="A167" t="s">
        <v>85</v>
      </c>
      <c r="B167" t="s">
        <v>88</v>
      </c>
      <c r="C167" t="s">
        <v>43</v>
      </c>
      <c r="D167">
        <f>0.1/(1.9+0.1+80+150)</f>
        <v>4.3103448275862074E-4</v>
      </c>
    </row>
    <row r="168" spans="1:4" x14ac:dyDescent="0.2">
      <c r="A168" t="s">
        <v>85</v>
      </c>
      <c r="B168" t="s">
        <v>88</v>
      </c>
      <c r="C168" t="s">
        <v>7</v>
      </c>
      <c r="D168">
        <f>80/(1.9+0.1+80+150)</f>
        <v>0.34482758620689657</v>
      </c>
    </row>
    <row r="169" spans="1:4" x14ac:dyDescent="0.2">
      <c r="A169" t="s">
        <v>85</v>
      </c>
      <c r="B169" t="s">
        <v>88</v>
      </c>
      <c r="C169" t="s">
        <v>8</v>
      </c>
      <c r="D169">
        <f>150/(1.9+0.1+80+150)</f>
        <v>0.64655172413793105</v>
      </c>
    </row>
    <row r="170" spans="1:4" x14ac:dyDescent="0.2">
      <c r="A170" t="s">
        <v>89</v>
      </c>
      <c r="B170" t="s">
        <v>90</v>
      </c>
      <c r="C170" t="s">
        <v>44</v>
      </c>
      <c r="D170">
        <f>1.4/(1.4+80+195)</f>
        <v>5.065123010130246E-3</v>
      </c>
    </row>
    <row r="171" spans="1:4" x14ac:dyDescent="0.2">
      <c r="A171" t="s">
        <v>89</v>
      </c>
      <c r="B171" t="s">
        <v>90</v>
      </c>
      <c r="C171" t="s">
        <v>7</v>
      </c>
      <c r="D171">
        <f>80/(1.4+80+195)</f>
        <v>0.28943560057887124</v>
      </c>
    </row>
    <row r="172" spans="1:4" x14ac:dyDescent="0.2">
      <c r="A172" t="s">
        <v>89</v>
      </c>
      <c r="B172" t="s">
        <v>90</v>
      </c>
      <c r="C172" t="s">
        <v>8</v>
      </c>
      <c r="D172">
        <f>195/(1.4+80+195)</f>
        <v>0.70549927641099863</v>
      </c>
    </row>
    <row r="173" spans="1:4" x14ac:dyDescent="0.2">
      <c r="A173" t="s">
        <v>89</v>
      </c>
      <c r="B173" t="s">
        <v>91</v>
      </c>
      <c r="C173" t="s">
        <v>7</v>
      </c>
      <c r="D173">
        <f>40/140</f>
        <v>0.2857142857142857</v>
      </c>
    </row>
    <row r="174" spans="1:4" x14ac:dyDescent="0.2">
      <c r="A174" t="s">
        <v>89</v>
      </c>
      <c r="B174" t="s">
        <v>91</v>
      </c>
      <c r="C174" t="s">
        <v>8</v>
      </c>
      <c r="D174">
        <f>100/140</f>
        <v>0.7142857142857143</v>
      </c>
    </row>
    <row r="175" spans="1:4" x14ac:dyDescent="0.2">
      <c r="A175" t="s">
        <v>89</v>
      </c>
      <c r="B175" t="s">
        <v>92</v>
      </c>
      <c r="C175" t="s">
        <v>12</v>
      </c>
      <c r="D175">
        <f>0.1/(1.5+160)</f>
        <v>6.1919504643962852E-4</v>
      </c>
    </row>
    <row r="176" spans="1:4" x14ac:dyDescent="0.2">
      <c r="A176" t="s">
        <v>89</v>
      </c>
      <c r="B176" t="s">
        <v>92</v>
      </c>
      <c r="C176" t="s">
        <v>51</v>
      </c>
      <c r="D176">
        <f>0.1/(1.5+160)</f>
        <v>6.1919504643962852E-4</v>
      </c>
    </row>
    <row r="177" spans="1:4" x14ac:dyDescent="0.2">
      <c r="A177" t="s">
        <v>89</v>
      </c>
      <c r="B177" t="s">
        <v>92</v>
      </c>
      <c r="C177" t="s">
        <v>43</v>
      </c>
      <c r="D177">
        <f>0.1/(1.5+160)</f>
        <v>6.1919504643962852E-4</v>
      </c>
    </row>
    <row r="178" spans="1:4" x14ac:dyDescent="0.2">
      <c r="A178" t="s">
        <v>89</v>
      </c>
      <c r="B178" t="s">
        <v>92</v>
      </c>
      <c r="C178" t="s">
        <v>44</v>
      </c>
      <c r="D178">
        <f>1.2/(1.5+160)</f>
        <v>7.4303405572755414E-3</v>
      </c>
    </row>
    <row r="179" spans="1:4" x14ac:dyDescent="0.2">
      <c r="A179" t="s">
        <v>89</v>
      </c>
      <c r="B179" t="s">
        <v>92</v>
      </c>
      <c r="C179" t="s">
        <v>7</v>
      </c>
      <c r="D179">
        <f>60/(1.5+160)</f>
        <v>0.37151702786377711</v>
      </c>
    </row>
    <row r="180" spans="1:4" x14ac:dyDescent="0.2">
      <c r="A180" t="s">
        <v>89</v>
      </c>
      <c r="B180" t="s">
        <v>92</v>
      </c>
      <c r="C180" t="s">
        <v>8</v>
      </c>
      <c r="D180">
        <f>100/(1.5+160)</f>
        <v>0.61919504643962853</v>
      </c>
    </row>
    <row r="181" spans="1:4" x14ac:dyDescent="0.2">
      <c r="A181" t="s">
        <v>93</v>
      </c>
      <c r="B181" t="s">
        <v>94</v>
      </c>
      <c r="C181" t="s">
        <v>44</v>
      </c>
      <c r="D181">
        <f>0.3/150.3</f>
        <v>1.996007984031936E-3</v>
      </c>
    </row>
    <row r="182" spans="1:4" x14ac:dyDescent="0.2">
      <c r="A182" t="s">
        <v>93</v>
      </c>
      <c r="B182" t="s">
        <v>94</v>
      </c>
      <c r="C182" t="s">
        <v>7</v>
      </c>
      <c r="D182">
        <f>100/150.3</f>
        <v>0.66533599467731197</v>
      </c>
    </row>
    <row r="183" spans="1:4" x14ac:dyDescent="0.2">
      <c r="A183" t="s">
        <v>93</v>
      </c>
      <c r="B183" t="s">
        <v>94</v>
      </c>
      <c r="C183" t="s">
        <v>8</v>
      </c>
      <c r="D183">
        <f>50/150.3</f>
        <v>0.33266799733865599</v>
      </c>
    </row>
    <row r="184" spans="1:4" x14ac:dyDescent="0.2">
      <c r="A184" t="s">
        <v>93</v>
      </c>
      <c r="B184" t="s">
        <v>95</v>
      </c>
      <c r="C184" t="s">
        <v>44</v>
      </c>
      <c r="D184">
        <f>0.1/(0.1+80+50)</f>
        <v>7.6863950807071495E-4</v>
      </c>
    </row>
    <row r="185" spans="1:4" x14ac:dyDescent="0.2">
      <c r="A185" t="s">
        <v>93</v>
      </c>
      <c r="B185" t="s">
        <v>95</v>
      </c>
      <c r="C185" t="s">
        <v>8</v>
      </c>
      <c r="D185">
        <f>80/(0.1+80+50)</f>
        <v>0.61491160645657195</v>
      </c>
    </row>
    <row r="186" spans="1:4" x14ac:dyDescent="0.2">
      <c r="A186" t="s">
        <v>93</v>
      </c>
      <c r="B186" t="s">
        <v>95</v>
      </c>
      <c r="C186" t="s">
        <v>7</v>
      </c>
      <c r="D186">
        <f>50/(0.1+80+50)</f>
        <v>0.38431975403535745</v>
      </c>
    </row>
    <row r="187" spans="1:4" x14ac:dyDescent="0.2">
      <c r="A187" t="s">
        <v>93</v>
      </c>
      <c r="B187" t="s">
        <v>96</v>
      </c>
      <c r="C187" t="s">
        <v>8</v>
      </c>
      <c r="D187">
        <f>40/55</f>
        <v>0.72727272727272729</v>
      </c>
    </row>
    <row r="188" spans="1:4" x14ac:dyDescent="0.2">
      <c r="A188" t="s">
        <v>93</v>
      </c>
      <c r="B188" t="s">
        <v>96</v>
      </c>
      <c r="C188" t="s">
        <v>7</v>
      </c>
      <c r="D188">
        <f>15/55</f>
        <v>0.27272727272727271</v>
      </c>
    </row>
    <row r="189" spans="1:4" x14ac:dyDescent="0.2">
      <c r="A189" t="s">
        <v>97</v>
      </c>
      <c r="B189" t="s">
        <v>98</v>
      </c>
      <c r="C189" t="s">
        <v>7</v>
      </c>
      <c r="D189">
        <f>80/160</f>
        <v>0.5</v>
      </c>
    </row>
    <row r="190" spans="1:4" x14ac:dyDescent="0.2">
      <c r="A190" t="s">
        <v>97</v>
      </c>
      <c r="B190" t="s">
        <v>98</v>
      </c>
      <c r="C190" t="s">
        <v>8</v>
      </c>
      <c r="D190">
        <f>80/160</f>
        <v>0.5</v>
      </c>
    </row>
    <row r="191" spans="1:4" x14ac:dyDescent="0.2">
      <c r="A191" t="s">
        <v>97</v>
      </c>
      <c r="B191" t="s">
        <v>99</v>
      </c>
      <c r="C191" t="s">
        <v>44</v>
      </c>
      <c r="D191">
        <v>1</v>
      </c>
    </row>
    <row r="192" spans="1:4" x14ac:dyDescent="0.2">
      <c r="A192" t="s">
        <v>97</v>
      </c>
      <c r="B192" t="s">
        <v>100</v>
      </c>
      <c r="C192" t="s">
        <v>8</v>
      </c>
      <c r="D192">
        <f>10/30</f>
        <v>0.33333333333333331</v>
      </c>
    </row>
    <row r="193" spans="1:4" x14ac:dyDescent="0.2">
      <c r="A193" t="s">
        <v>97</v>
      </c>
      <c r="B193" t="s">
        <v>100</v>
      </c>
      <c r="C193" t="s">
        <v>7</v>
      </c>
      <c r="D193">
        <f>20/30</f>
        <v>0.66666666666666663</v>
      </c>
    </row>
    <row r="194" spans="1:4" x14ac:dyDescent="0.2">
      <c r="A194" t="s">
        <v>101</v>
      </c>
      <c r="B194" t="s">
        <v>102</v>
      </c>
      <c r="C194" t="s">
        <v>43</v>
      </c>
      <c r="D194">
        <v>1</v>
      </c>
    </row>
    <row r="195" spans="1:4" x14ac:dyDescent="0.2">
      <c r="A195" t="s">
        <v>101</v>
      </c>
      <c r="B195" t="s">
        <v>103</v>
      </c>
      <c r="C195" t="s">
        <v>51</v>
      </c>
      <c r="D195">
        <f>0.05/0.2</f>
        <v>0.25</v>
      </c>
    </row>
    <row r="196" spans="1:4" x14ac:dyDescent="0.2">
      <c r="A196" t="s">
        <v>101</v>
      </c>
      <c r="B196" t="s">
        <v>103</v>
      </c>
      <c r="C196" t="s">
        <v>43</v>
      </c>
      <c r="D196">
        <f>0.15/0.2</f>
        <v>0.74999999999999989</v>
      </c>
    </row>
    <row r="197" spans="1:4" x14ac:dyDescent="0.2">
      <c r="A197" t="s">
        <v>101</v>
      </c>
      <c r="B197" t="s">
        <v>104</v>
      </c>
      <c r="C197" t="s">
        <v>12</v>
      </c>
      <c r="D197">
        <f>0.1/0.25</f>
        <v>0.4</v>
      </c>
    </row>
    <row r="198" spans="1:4" x14ac:dyDescent="0.2">
      <c r="A198" t="s">
        <v>101</v>
      </c>
      <c r="B198" t="s">
        <v>104</v>
      </c>
      <c r="C198" t="s">
        <v>43</v>
      </c>
      <c r="D198">
        <f>0.15/0.25</f>
        <v>0.6</v>
      </c>
    </row>
    <row r="199" spans="1:4" x14ac:dyDescent="0.2">
      <c r="A199" t="s">
        <v>105</v>
      </c>
      <c r="B199" t="s">
        <v>106</v>
      </c>
      <c r="C199" t="s">
        <v>51</v>
      </c>
      <c r="D199">
        <f>0.03/0.05</f>
        <v>0.6</v>
      </c>
    </row>
    <row r="200" spans="1:4" x14ac:dyDescent="0.2">
      <c r="A200" t="s">
        <v>105</v>
      </c>
      <c r="B200" t="s">
        <v>106</v>
      </c>
      <c r="C200" t="s">
        <v>43</v>
      </c>
      <c r="D200">
        <f>0.02/0.05</f>
        <v>0.39999999999999997</v>
      </c>
    </row>
    <row r="201" spans="1:4" x14ac:dyDescent="0.2">
      <c r="A201" t="s">
        <v>105</v>
      </c>
      <c r="B201" t="s">
        <v>107</v>
      </c>
      <c r="C201" t="s">
        <v>51</v>
      </c>
      <c r="D201">
        <f>0.06/0.07</f>
        <v>0.85714285714285698</v>
      </c>
    </row>
    <row r="202" spans="1:4" x14ac:dyDescent="0.2">
      <c r="A202" t="s">
        <v>105</v>
      </c>
      <c r="B202" t="s">
        <v>107</v>
      </c>
      <c r="C202" t="s">
        <v>43</v>
      </c>
      <c r="D202">
        <f>0.01/0.07</f>
        <v>0.14285714285714285</v>
      </c>
    </row>
    <row r="203" spans="1:4" x14ac:dyDescent="0.2">
      <c r="A203" t="s">
        <v>105</v>
      </c>
      <c r="B203" t="s">
        <v>108</v>
      </c>
      <c r="C203" t="s">
        <v>12</v>
      </c>
      <c r="D203">
        <f>0.11/(0.11+0.14+0.1)</f>
        <v>0.31428571428571433</v>
      </c>
    </row>
    <row r="204" spans="1:4" x14ac:dyDescent="0.2">
      <c r="A204" t="s">
        <v>105</v>
      </c>
      <c r="B204" t="s">
        <v>108</v>
      </c>
      <c r="C204" t="s">
        <v>51</v>
      </c>
      <c r="D204">
        <f>0.14/(0.11+0.14+0.1)</f>
        <v>0.40000000000000008</v>
      </c>
    </row>
    <row r="205" spans="1:4" x14ac:dyDescent="0.2">
      <c r="A205" t="s">
        <v>105</v>
      </c>
      <c r="B205" t="s">
        <v>108</v>
      </c>
      <c r="C205" t="s">
        <v>43</v>
      </c>
      <c r="D205">
        <f>0.1/(0.11+0.14+0.1)</f>
        <v>0.28571428571428575</v>
      </c>
    </row>
    <row r="206" spans="1:4" x14ac:dyDescent="0.2">
      <c r="A206" t="s">
        <v>109</v>
      </c>
      <c r="B206" t="s">
        <v>110</v>
      </c>
      <c r="C206" t="s">
        <v>51</v>
      </c>
      <c r="D206">
        <f>0.07/0.14</f>
        <v>0.5</v>
      </c>
    </row>
    <row r="207" spans="1:4" x14ac:dyDescent="0.2">
      <c r="A207" t="s">
        <v>109</v>
      </c>
      <c r="B207" t="s">
        <v>110</v>
      </c>
      <c r="C207" t="s">
        <v>43</v>
      </c>
      <c r="D207">
        <f>0.07/0.14</f>
        <v>0.5</v>
      </c>
    </row>
    <row r="208" spans="1:4" x14ac:dyDescent="0.2">
      <c r="A208" t="s">
        <v>109</v>
      </c>
      <c r="B208" t="s">
        <v>111</v>
      </c>
      <c r="C208" t="s">
        <v>12</v>
      </c>
      <c r="D208">
        <f>0.08/(0.08+0.03+0.08)</f>
        <v>0.42105263157894735</v>
      </c>
    </row>
    <row r="209" spans="1:4" x14ac:dyDescent="0.2">
      <c r="A209" t="s">
        <v>109</v>
      </c>
      <c r="B209" t="s">
        <v>111</v>
      </c>
      <c r="C209" t="s">
        <v>51</v>
      </c>
      <c r="D209">
        <f>0.03/(0.08+0.03+0.08)</f>
        <v>0.15789473684210525</v>
      </c>
    </row>
    <row r="210" spans="1:4" x14ac:dyDescent="0.2">
      <c r="A210" t="s">
        <v>109</v>
      </c>
      <c r="B210" t="s">
        <v>111</v>
      </c>
      <c r="C210" t="s">
        <v>43</v>
      </c>
      <c r="D210">
        <f>0.08/(0.08+0.03+0.08)</f>
        <v>0.42105263157894735</v>
      </c>
    </row>
    <row r="211" spans="1:4" x14ac:dyDescent="0.2">
      <c r="A211" t="s">
        <v>112</v>
      </c>
      <c r="B211" t="s">
        <v>113</v>
      </c>
      <c r="C211" t="s">
        <v>12</v>
      </c>
      <c r="D211">
        <f>0.04/(0.04+0.04+2.6)</f>
        <v>1.4925373134328358E-2</v>
      </c>
    </row>
    <row r="212" spans="1:4" x14ac:dyDescent="0.2">
      <c r="A212" t="s">
        <v>112</v>
      </c>
      <c r="B212" t="s">
        <v>113</v>
      </c>
      <c r="C212" t="s">
        <v>51</v>
      </c>
      <c r="D212">
        <f>0.04/(0.04+0.04+2.6)</f>
        <v>1.4925373134328358E-2</v>
      </c>
    </row>
    <row r="213" spans="1:4" x14ac:dyDescent="0.2">
      <c r="A213" t="s">
        <v>112</v>
      </c>
      <c r="B213" t="s">
        <v>113</v>
      </c>
      <c r="C213" t="s">
        <v>43</v>
      </c>
      <c r="D213">
        <f>2.6/(0.04+0.04+2.6)</f>
        <v>0.97014925373134331</v>
      </c>
    </row>
    <row r="214" spans="1:4" x14ac:dyDescent="0.2">
      <c r="A214" t="s">
        <v>112</v>
      </c>
      <c r="B214" t="s">
        <v>115</v>
      </c>
      <c r="C214" t="s">
        <v>114</v>
      </c>
      <c r="D214">
        <f>0.02/(0.02+0.09+0.02)</f>
        <v>0.15384615384615385</v>
      </c>
    </row>
    <row r="215" spans="1:4" x14ac:dyDescent="0.2">
      <c r="A215" t="s">
        <v>112</v>
      </c>
      <c r="B215" t="s">
        <v>115</v>
      </c>
      <c r="C215" t="s">
        <v>51</v>
      </c>
      <c r="D215">
        <f>0.09/(0.02+0.09+0.02)</f>
        <v>0.69230769230769229</v>
      </c>
    </row>
    <row r="216" spans="1:4" x14ac:dyDescent="0.2">
      <c r="A216" t="s">
        <v>112</v>
      </c>
      <c r="B216" t="s">
        <v>115</v>
      </c>
      <c r="C216" t="s">
        <v>43</v>
      </c>
      <c r="D216">
        <f>0.02/(0.02+0.09+0.02)</f>
        <v>0.15384615384615385</v>
      </c>
    </row>
    <row r="217" spans="1:4" x14ac:dyDescent="0.2">
      <c r="A217" t="s">
        <v>116</v>
      </c>
      <c r="B217" t="s">
        <v>117</v>
      </c>
      <c r="C217" t="s">
        <v>51</v>
      </c>
      <c r="D217">
        <f>0.06/0.1</f>
        <v>0.6</v>
      </c>
    </row>
    <row r="218" spans="1:4" x14ac:dyDescent="0.2">
      <c r="A218" t="s">
        <v>116</v>
      </c>
      <c r="B218" t="s">
        <v>117</v>
      </c>
      <c r="C218" t="s">
        <v>43</v>
      </c>
      <c r="D218">
        <f>0.04/0.1</f>
        <v>0.39999999999999997</v>
      </c>
    </row>
    <row r="219" spans="1:4" x14ac:dyDescent="0.2">
      <c r="A219" t="s">
        <v>116</v>
      </c>
      <c r="B219" t="s">
        <v>118</v>
      </c>
      <c r="C219" t="s">
        <v>12</v>
      </c>
      <c r="D219">
        <f>0.07/(0.07+0.03+0.07+0.07+0.02)</f>
        <v>0.26923076923076927</v>
      </c>
    </row>
    <row r="220" spans="1:4" x14ac:dyDescent="0.2">
      <c r="A220" t="s">
        <v>116</v>
      </c>
      <c r="B220" t="s">
        <v>118</v>
      </c>
      <c r="C220" t="s">
        <v>51</v>
      </c>
      <c r="D220">
        <f>0.03/(0.07+0.03+0.07+0.07+0.02)</f>
        <v>0.11538461538461538</v>
      </c>
    </row>
    <row r="221" spans="1:4" x14ac:dyDescent="0.2">
      <c r="A221" t="s">
        <v>116</v>
      </c>
      <c r="B221" t="s">
        <v>118</v>
      </c>
      <c r="C221" t="s">
        <v>43</v>
      </c>
      <c r="D221">
        <f>0.07/(0.07+0.03+0.07+0.07+0.02)</f>
        <v>0.26923076923076927</v>
      </c>
    </row>
    <row r="222" spans="1:4" x14ac:dyDescent="0.2">
      <c r="A222" t="s">
        <v>119</v>
      </c>
      <c r="B222" t="s">
        <v>120</v>
      </c>
      <c r="C222" t="s">
        <v>12</v>
      </c>
      <c r="D222">
        <f>0.07/(0.07+0.03+0.07+0.07+0.02)</f>
        <v>0.26923076923076927</v>
      </c>
    </row>
    <row r="223" spans="1:4" x14ac:dyDescent="0.2">
      <c r="A223" t="s">
        <v>119</v>
      </c>
      <c r="B223" t="s">
        <v>120</v>
      </c>
      <c r="C223" t="s">
        <v>51</v>
      </c>
      <c r="D223">
        <f>0.02/(0.07+0.03+0.07+0.07+0.02)</f>
        <v>7.6923076923076927E-2</v>
      </c>
    </row>
    <row r="224" spans="1:4" x14ac:dyDescent="0.2">
      <c r="A224" t="s">
        <v>124</v>
      </c>
      <c r="B224" t="s">
        <v>3</v>
      </c>
      <c r="C224" t="s">
        <v>5</v>
      </c>
      <c r="D224" t="s">
        <v>3</v>
      </c>
    </row>
    <row r="225" spans="1:4" x14ac:dyDescent="0.2">
      <c r="A225" t="s">
        <v>125</v>
      </c>
      <c r="B225" t="s">
        <v>3</v>
      </c>
      <c r="C225" t="s">
        <v>5</v>
      </c>
      <c r="D225" t="s">
        <v>3</v>
      </c>
    </row>
    <row r="226" spans="1:4" x14ac:dyDescent="0.2">
      <c r="A226" t="s">
        <v>126</v>
      </c>
      <c r="B226" t="s">
        <v>3</v>
      </c>
      <c r="C226" t="s">
        <v>44</v>
      </c>
      <c r="D226" t="s">
        <v>3</v>
      </c>
    </row>
    <row r="227" spans="1:4" x14ac:dyDescent="0.2">
      <c r="A227" t="s">
        <v>127</v>
      </c>
      <c r="B227" t="s">
        <v>3</v>
      </c>
      <c r="C227" t="s">
        <v>44</v>
      </c>
      <c r="D227" t="s">
        <v>3</v>
      </c>
    </row>
    <row r="228" spans="1:4" x14ac:dyDescent="0.2">
      <c r="A228" t="s">
        <v>128</v>
      </c>
      <c r="B228" t="s">
        <v>3</v>
      </c>
      <c r="C228" t="s">
        <v>44</v>
      </c>
      <c r="D228" t="s">
        <v>3</v>
      </c>
    </row>
    <row r="229" spans="1:4" x14ac:dyDescent="0.2">
      <c r="A229" t="s">
        <v>129</v>
      </c>
      <c r="B229" t="s">
        <v>3</v>
      </c>
      <c r="C229" t="s">
        <v>44</v>
      </c>
      <c r="D229" t="s">
        <v>3</v>
      </c>
    </row>
    <row r="230" spans="1:4" x14ac:dyDescent="0.2">
      <c r="A230" t="s">
        <v>130</v>
      </c>
      <c r="B230" t="s">
        <v>3</v>
      </c>
      <c r="C230" t="s">
        <v>44</v>
      </c>
      <c r="D230" t="s">
        <v>3</v>
      </c>
    </row>
    <row r="231" spans="1:4" x14ac:dyDescent="0.2">
      <c r="A231" t="s">
        <v>131</v>
      </c>
      <c r="B231" t="s">
        <v>3</v>
      </c>
      <c r="C231" t="s">
        <v>44</v>
      </c>
      <c r="D231" t="s">
        <v>3</v>
      </c>
    </row>
    <row r="232" spans="1:4" x14ac:dyDescent="0.2">
      <c r="A232" t="s">
        <v>132</v>
      </c>
      <c r="B232" t="s">
        <v>3</v>
      </c>
      <c r="C232" t="s">
        <v>44</v>
      </c>
      <c r="D232" t="s">
        <v>3</v>
      </c>
    </row>
    <row r="233" spans="1:4" x14ac:dyDescent="0.2">
      <c r="A233" t="s">
        <v>133</v>
      </c>
      <c r="B233" t="s">
        <v>3</v>
      </c>
      <c r="C233" t="s">
        <v>44</v>
      </c>
      <c r="D233" t="s">
        <v>3</v>
      </c>
    </row>
    <row r="234" spans="1:4" x14ac:dyDescent="0.2">
      <c r="A234" t="s">
        <v>134</v>
      </c>
      <c r="B234" t="s">
        <v>3</v>
      </c>
      <c r="C234" t="s">
        <v>44</v>
      </c>
      <c r="D234" t="s">
        <v>3</v>
      </c>
    </row>
    <row r="235" spans="1:4" x14ac:dyDescent="0.2">
      <c r="A235" t="s">
        <v>135</v>
      </c>
      <c r="B235" t="s">
        <v>3</v>
      </c>
      <c r="C235" t="s">
        <v>44</v>
      </c>
      <c r="D235" t="s">
        <v>3</v>
      </c>
    </row>
    <row r="236" spans="1:4" x14ac:dyDescent="0.2">
      <c r="A236" t="s">
        <v>136</v>
      </c>
      <c r="B236" t="s">
        <v>3</v>
      </c>
      <c r="C236" t="s">
        <v>44</v>
      </c>
      <c r="D236" t="s">
        <v>3</v>
      </c>
    </row>
    <row r="237" spans="1:4" x14ac:dyDescent="0.2">
      <c r="A237" t="s">
        <v>137</v>
      </c>
      <c r="B237" t="s">
        <v>3</v>
      </c>
      <c r="C237" t="s">
        <v>44</v>
      </c>
      <c r="D237" t="s">
        <v>3</v>
      </c>
    </row>
    <row r="238" spans="1:4" x14ac:dyDescent="0.2">
      <c r="A238" t="s">
        <v>138</v>
      </c>
      <c r="B238" t="s">
        <v>3</v>
      </c>
      <c r="C238" t="s">
        <v>121</v>
      </c>
      <c r="D238" t="s">
        <v>3</v>
      </c>
    </row>
    <row r="239" spans="1:4" x14ac:dyDescent="0.2">
      <c r="A239" t="s">
        <v>139</v>
      </c>
      <c r="B239" t="s">
        <v>3</v>
      </c>
      <c r="C239" t="s">
        <v>122</v>
      </c>
      <c r="D239" t="s">
        <v>3</v>
      </c>
    </row>
    <row r="240" spans="1:4" x14ac:dyDescent="0.2">
      <c r="A240" t="s">
        <v>140</v>
      </c>
      <c r="B240" t="s">
        <v>3</v>
      </c>
      <c r="C240" t="s">
        <v>122</v>
      </c>
      <c r="D240" t="s">
        <v>3</v>
      </c>
    </row>
    <row r="241" spans="1:4" x14ac:dyDescent="0.2">
      <c r="A241" t="s">
        <v>141</v>
      </c>
      <c r="B241" t="s">
        <v>3</v>
      </c>
      <c r="C241" t="s">
        <v>123</v>
      </c>
      <c r="D241" t="s">
        <v>3</v>
      </c>
    </row>
    <row r="242" spans="1:4" x14ac:dyDescent="0.2">
      <c r="A242" t="s">
        <v>142</v>
      </c>
      <c r="B242" t="s">
        <v>3</v>
      </c>
      <c r="C242" t="s">
        <v>123</v>
      </c>
      <c r="D242" t="s">
        <v>3</v>
      </c>
    </row>
    <row r="243" spans="1:4" x14ac:dyDescent="0.2">
      <c r="A243" t="s">
        <v>143</v>
      </c>
      <c r="B243" t="s">
        <v>3</v>
      </c>
      <c r="C243" t="s">
        <v>123</v>
      </c>
      <c r="D243" t="s">
        <v>3</v>
      </c>
    </row>
    <row r="244" spans="1:4" x14ac:dyDescent="0.2">
      <c r="A244" t="s">
        <v>144</v>
      </c>
      <c r="B244" t="s">
        <v>3</v>
      </c>
      <c r="C244" t="s">
        <v>123</v>
      </c>
      <c r="D244" t="s">
        <v>3</v>
      </c>
    </row>
    <row r="245" spans="1:4" x14ac:dyDescent="0.2">
      <c r="A245" t="s">
        <v>148</v>
      </c>
      <c r="B245" t="s">
        <v>3</v>
      </c>
      <c r="C245" t="s">
        <v>145</v>
      </c>
      <c r="D245" s="3">
        <v>0.53600000000000003</v>
      </c>
    </row>
    <row r="246" spans="1:4" x14ac:dyDescent="0.2">
      <c r="A246" t="s">
        <v>148</v>
      </c>
      <c r="B246" t="s">
        <v>3</v>
      </c>
      <c r="C246" t="s">
        <v>146</v>
      </c>
      <c r="D246" s="3">
        <v>0.44700000000000001</v>
      </c>
    </row>
    <row r="247" spans="1:4" x14ac:dyDescent="0.2">
      <c r="A247" t="s">
        <v>148</v>
      </c>
      <c r="B247" t="s">
        <v>3</v>
      </c>
      <c r="C247" t="s">
        <v>8</v>
      </c>
      <c r="D247" s="3">
        <v>1.7000000000000001E-2</v>
      </c>
    </row>
    <row r="248" spans="1:4" x14ac:dyDescent="0.2">
      <c r="A248" t="s">
        <v>148</v>
      </c>
      <c r="B248" t="s">
        <v>3</v>
      </c>
      <c r="C248" t="s">
        <v>147</v>
      </c>
      <c r="D248" s="3">
        <v>0</v>
      </c>
    </row>
    <row r="249" spans="1:4" x14ac:dyDescent="0.2">
      <c r="A249" t="s">
        <v>149</v>
      </c>
      <c r="B249" t="s">
        <v>3</v>
      </c>
      <c r="C249" t="s">
        <v>145</v>
      </c>
      <c r="D249" s="3">
        <v>0.47</v>
      </c>
    </row>
    <row r="250" spans="1:4" x14ac:dyDescent="0.2">
      <c r="A250" t="s">
        <v>149</v>
      </c>
      <c r="B250" t="s">
        <v>3</v>
      </c>
      <c r="C250" t="s">
        <v>146</v>
      </c>
      <c r="D250" s="3">
        <v>0.48399999999999999</v>
      </c>
    </row>
    <row r="251" spans="1:4" x14ac:dyDescent="0.2">
      <c r="A251" t="s">
        <v>149</v>
      </c>
      <c r="B251" t="s">
        <v>3</v>
      </c>
      <c r="C251" t="s">
        <v>8</v>
      </c>
      <c r="D251" s="3">
        <v>2.9000000000000001E-2</v>
      </c>
    </row>
    <row r="252" spans="1:4" x14ac:dyDescent="0.2">
      <c r="A252" t="s">
        <v>149</v>
      </c>
      <c r="B252" t="s">
        <v>3</v>
      </c>
      <c r="C252" t="s">
        <v>147</v>
      </c>
      <c r="D252" s="3">
        <v>1.7000000000000001E-2</v>
      </c>
    </row>
    <row r="253" spans="1:4" x14ac:dyDescent="0.2">
      <c r="A253" t="s">
        <v>150</v>
      </c>
      <c r="B253" t="s">
        <v>3</v>
      </c>
      <c r="C253" t="s">
        <v>145</v>
      </c>
      <c r="D253" s="3">
        <v>0.16400000000000001</v>
      </c>
    </row>
    <row r="254" spans="1:4" x14ac:dyDescent="0.2">
      <c r="A254" t="s">
        <v>150</v>
      </c>
      <c r="B254" t="s">
        <v>3</v>
      </c>
      <c r="C254" t="s">
        <v>146</v>
      </c>
      <c r="D254" s="3">
        <v>0.61399999999999999</v>
      </c>
    </row>
    <row r="255" spans="1:4" x14ac:dyDescent="0.2">
      <c r="A255" t="s">
        <v>150</v>
      </c>
      <c r="B255" t="s">
        <v>3</v>
      </c>
      <c r="C255" t="s">
        <v>8</v>
      </c>
      <c r="D255" s="3">
        <v>0.154</v>
      </c>
    </row>
    <row r="256" spans="1:4" x14ac:dyDescent="0.2">
      <c r="A256" t="s">
        <v>150</v>
      </c>
      <c r="B256" t="s">
        <v>3</v>
      </c>
      <c r="C256" t="s">
        <v>147</v>
      </c>
      <c r="D256" s="3">
        <v>6.9000000000000006E-2</v>
      </c>
    </row>
    <row r="257" spans="1:4" x14ac:dyDescent="0.2">
      <c r="A257" t="s">
        <v>151</v>
      </c>
      <c r="B257" t="s">
        <v>152</v>
      </c>
      <c r="C257" t="s">
        <v>14</v>
      </c>
      <c r="D257">
        <f>1178/(1178+785+228)</f>
        <v>0.53765403925148336</v>
      </c>
    </row>
    <row r="258" spans="1:4" x14ac:dyDescent="0.2">
      <c r="A258" t="s">
        <v>151</v>
      </c>
      <c r="B258" t="s">
        <v>152</v>
      </c>
      <c r="C258" t="s">
        <v>8</v>
      </c>
      <c r="D258">
        <f>785/(1178+785+228)</f>
        <v>0.35828388863532634</v>
      </c>
    </row>
    <row r="259" spans="1:4" x14ac:dyDescent="0.2">
      <c r="A259" t="s">
        <v>151</v>
      </c>
      <c r="B259" t="s">
        <v>152</v>
      </c>
      <c r="C259" t="s">
        <v>15</v>
      </c>
      <c r="D259">
        <f>228/(1178+785+228)</f>
        <v>0.10406207211319032</v>
      </c>
    </row>
    <row r="260" spans="1:4" x14ac:dyDescent="0.2">
      <c r="A260" t="s">
        <v>151</v>
      </c>
      <c r="B260" t="s">
        <v>153</v>
      </c>
      <c r="C260" t="s">
        <v>14</v>
      </c>
      <c r="D260">
        <f>1178/(1178+785+228)</f>
        <v>0.53765403925148336</v>
      </c>
    </row>
    <row r="261" spans="1:4" x14ac:dyDescent="0.2">
      <c r="A261" t="s">
        <v>151</v>
      </c>
      <c r="B261" t="s">
        <v>153</v>
      </c>
      <c r="C261" t="s">
        <v>8</v>
      </c>
      <c r="D261">
        <f>785/(1178+785+228)</f>
        <v>0.35828388863532634</v>
      </c>
    </row>
    <row r="262" spans="1:4" x14ac:dyDescent="0.2">
      <c r="A262" t="s">
        <v>151</v>
      </c>
      <c r="B262" t="s">
        <v>153</v>
      </c>
      <c r="C262" t="s">
        <v>15</v>
      </c>
      <c r="D262">
        <f>228/(1178+785+228)</f>
        <v>0.10406207211319032</v>
      </c>
    </row>
    <row r="263" spans="1:4" x14ac:dyDescent="0.2">
      <c r="A263" t="s">
        <v>151</v>
      </c>
      <c r="B263" t="s">
        <v>154</v>
      </c>
      <c r="C263" t="s">
        <v>14</v>
      </c>
      <c r="D263">
        <f>1178/(1178+785+228)</f>
        <v>0.53765403925148336</v>
      </c>
    </row>
    <row r="264" spans="1:4" x14ac:dyDescent="0.2">
      <c r="A264" t="s">
        <v>151</v>
      </c>
      <c r="B264" t="s">
        <v>154</v>
      </c>
      <c r="C264" t="s">
        <v>8</v>
      </c>
      <c r="D264">
        <f>785/(1178+785+228)</f>
        <v>0.35828388863532634</v>
      </c>
    </row>
    <row r="265" spans="1:4" x14ac:dyDescent="0.2">
      <c r="A265" t="s">
        <v>151</v>
      </c>
      <c r="B265" t="s">
        <v>154</v>
      </c>
      <c r="C265" t="s">
        <v>15</v>
      </c>
      <c r="D265">
        <f>228/(1178+785+228)</f>
        <v>0.10406207211319032</v>
      </c>
    </row>
    <row r="266" spans="1:4" x14ac:dyDescent="0.2">
      <c r="A266" t="s">
        <v>156</v>
      </c>
      <c r="B266" t="s">
        <v>3</v>
      </c>
      <c r="C266" t="s">
        <v>122</v>
      </c>
      <c r="D266" t="s">
        <v>155</v>
      </c>
    </row>
    <row r="267" spans="1:4" x14ac:dyDescent="0.2">
      <c r="A267" t="s">
        <v>157</v>
      </c>
      <c r="B267" t="s">
        <v>3</v>
      </c>
      <c r="C267" t="s">
        <v>14</v>
      </c>
      <c r="D267">
        <f>3760/(3760+1520+731)</f>
        <v>0.62551988021959737</v>
      </c>
    </row>
    <row r="268" spans="1:4" x14ac:dyDescent="0.2">
      <c r="A268" t="s">
        <v>157</v>
      </c>
      <c r="B268" t="s">
        <v>3</v>
      </c>
      <c r="C268" t="s">
        <v>8</v>
      </c>
      <c r="D268">
        <f>1520/(3760+1520+731)</f>
        <v>0.25286973881217767</v>
      </c>
    </row>
    <row r="269" spans="1:4" x14ac:dyDescent="0.2">
      <c r="A269" t="s">
        <v>157</v>
      </c>
      <c r="B269" t="s">
        <v>3</v>
      </c>
      <c r="C269" t="s">
        <v>15</v>
      </c>
      <c r="D269">
        <f>731/(3760+1520+731)</f>
        <v>0.12161038096822492</v>
      </c>
    </row>
    <row r="270" spans="1:4" x14ac:dyDescent="0.2">
      <c r="A270" t="s">
        <v>159</v>
      </c>
      <c r="B270" t="s">
        <v>3</v>
      </c>
      <c r="C270" t="s">
        <v>14</v>
      </c>
      <c r="D270">
        <f>793/(793+136+1)</f>
        <v>0.85268817204301073</v>
      </c>
    </row>
    <row r="271" spans="1:4" x14ac:dyDescent="0.2">
      <c r="A271" t="s">
        <v>159</v>
      </c>
      <c r="B271" t="s">
        <v>3</v>
      </c>
      <c r="C271" t="s">
        <v>8</v>
      </c>
      <c r="D271">
        <f>136/(793+136+1)</f>
        <v>0.14623655913978495</v>
      </c>
    </row>
    <row r="272" spans="1:4" x14ac:dyDescent="0.2">
      <c r="A272" t="s">
        <v>159</v>
      </c>
      <c r="B272" t="s">
        <v>3</v>
      </c>
      <c r="C272" t="s">
        <v>158</v>
      </c>
      <c r="D272">
        <f>1/(793+136+1)</f>
        <v>1.0752688172043011E-3</v>
      </c>
    </row>
    <row r="273" spans="1:4" x14ac:dyDescent="0.2">
      <c r="A273" t="s">
        <v>163</v>
      </c>
      <c r="B273" t="s">
        <v>3</v>
      </c>
      <c r="C273" t="s">
        <v>121</v>
      </c>
      <c r="D273" t="s">
        <v>3</v>
      </c>
    </row>
    <row r="274" spans="1:4" x14ac:dyDescent="0.2">
      <c r="A274" t="s">
        <v>164</v>
      </c>
      <c r="B274" t="s">
        <v>3</v>
      </c>
      <c r="C274" t="s">
        <v>160</v>
      </c>
      <c r="D274" t="s">
        <v>3</v>
      </c>
    </row>
    <row r="275" spans="1:4" x14ac:dyDescent="0.2">
      <c r="A275" t="s">
        <v>165</v>
      </c>
      <c r="B275" t="s">
        <v>3</v>
      </c>
      <c r="C275" t="s">
        <v>161</v>
      </c>
      <c r="D275" t="s">
        <v>3</v>
      </c>
    </row>
    <row r="276" spans="1:4" x14ac:dyDescent="0.2">
      <c r="A276" t="s">
        <v>166</v>
      </c>
      <c r="B276" t="s">
        <v>3</v>
      </c>
      <c r="C276" t="s">
        <v>161</v>
      </c>
      <c r="D276" t="s">
        <v>3</v>
      </c>
    </row>
    <row r="277" spans="1:4" x14ac:dyDescent="0.2">
      <c r="A277" t="s">
        <v>167</v>
      </c>
      <c r="B277" t="s">
        <v>3</v>
      </c>
      <c r="C277" t="s">
        <v>162</v>
      </c>
      <c r="D277" t="s">
        <v>3</v>
      </c>
    </row>
    <row r="278" spans="1:4" x14ac:dyDescent="0.2">
      <c r="A278" t="s">
        <v>169</v>
      </c>
      <c r="B278" t="s">
        <v>3</v>
      </c>
      <c r="C278" t="s">
        <v>168</v>
      </c>
      <c r="D278" s="3">
        <v>0.38600000000000001</v>
      </c>
    </row>
    <row r="279" spans="1:4" x14ac:dyDescent="0.2">
      <c r="A279" t="s">
        <v>169</v>
      </c>
      <c r="B279" t="s">
        <v>3</v>
      </c>
      <c r="C279" t="s">
        <v>6</v>
      </c>
      <c r="D279" s="3">
        <v>0.41399999999999998</v>
      </c>
    </row>
    <row r="280" spans="1:4" x14ac:dyDescent="0.2">
      <c r="A280" t="s">
        <v>171</v>
      </c>
      <c r="B280" t="s">
        <v>3</v>
      </c>
      <c r="C280" t="s">
        <v>170</v>
      </c>
      <c r="D280" t="s">
        <v>3</v>
      </c>
    </row>
    <row r="281" spans="1:4" x14ac:dyDescent="0.2">
      <c r="A281" t="s">
        <v>171</v>
      </c>
      <c r="B281" t="s">
        <v>3</v>
      </c>
      <c r="C281" t="s">
        <v>4</v>
      </c>
      <c r="D281" t="s">
        <v>3</v>
      </c>
    </row>
    <row r="282" spans="1:4" x14ac:dyDescent="0.2">
      <c r="A282" t="s">
        <v>172</v>
      </c>
      <c r="B282" t="s">
        <v>3</v>
      </c>
      <c r="C282" t="s">
        <v>170</v>
      </c>
      <c r="D282" t="s">
        <v>3</v>
      </c>
    </row>
    <row r="283" spans="1:4" x14ac:dyDescent="0.2">
      <c r="A283" t="s">
        <v>172</v>
      </c>
      <c r="B283" t="s">
        <v>3</v>
      </c>
      <c r="C283" t="s">
        <v>4</v>
      </c>
      <c r="D283" t="s">
        <v>3</v>
      </c>
    </row>
    <row r="284" spans="1:4" x14ac:dyDescent="0.2">
      <c r="A284" t="s">
        <v>174</v>
      </c>
      <c r="B284" t="s">
        <v>3</v>
      </c>
      <c r="C284" t="s">
        <v>14</v>
      </c>
      <c r="D284">
        <f>793/(793+136+1)</f>
        <v>0.85268817204301073</v>
      </c>
    </row>
    <row r="285" spans="1:4" x14ac:dyDescent="0.2">
      <c r="A285" t="s">
        <v>174</v>
      </c>
      <c r="B285" t="s">
        <v>3</v>
      </c>
      <c r="C285" t="s">
        <v>173</v>
      </c>
      <c r="D285">
        <f>136/(793+136+1)</f>
        <v>0.14623655913978495</v>
      </c>
    </row>
    <row r="286" spans="1:4" x14ac:dyDescent="0.2">
      <c r="A286" t="s">
        <v>174</v>
      </c>
      <c r="B286" t="s">
        <v>3</v>
      </c>
      <c r="C286" t="s">
        <v>15</v>
      </c>
      <c r="D286">
        <f>1/(793+136+1)</f>
        <v>1.0752688172043011E-3</v>
      </c>
    </row>
    <row r="287" spans="1:4" x14ac:dyDescent="0.2">
      <c r="A287" t="s">
        <v>175</v>
      </c>
      <c r="B287" t="s">
        <v>3</v>
      </c>
      <c r="C287" t="s">
        <v>121</v>
      </c>
      <c r="D287" t="s">
        <v>3</v>
      </c>
    </row>
    <row r="288" spans="1:4" x14ac:dyDescent="0.2">
      <c r="A288" t="s">
        <v>175</v>
      </c>
      <c r="B288" t="s">
        <v>3</v>
      </c>
      <c r="C288" t="s">
        <v>15</v>
      </c>
      <c r="D288" t="s">
        <v>3</v>
      </c>
    </row>
    <row r="289" spans="1:4" x14ac:dyDescent="0.2">
      <c r="A289" t="s">
        <v>175</v>
      </c>
      <c r="B289" t="s">
        <v>3</v>
      </c>
      <c r="C289" t="s">
        <v>5</v>
      </c>
      <c r="D289" t="s">
        <v>3</v>
      </c>
    </row>
    <row r="290" spans="1:4" x14ac:dyDescent="0.2">
      <c r="A290" t="s">
        <v>175</v>
      </c>
      <c r="B290" t="s">
        <v>3</v>
      </c>
      <c r="C290" t="s">
        <v>4</v>
      </c>
      <c r="D290" t="s">
        <v>3</v>
      </c>
    </row>
    <row r="291" spans="1:4" x14ac:dyDescent="0.2">
      <c r="A291" t="s">
        <v>176</v>
      </c>
      <c r="B291" t="s">
        <v>3</v>
      </c>
      <c r="C291" t="s">
        <v>121</v>
      </c>
      <c r="D291" t="s">
        <v>3</v>
      </c>
    </row>
    <row r="292" spans="1:4" x14ac:dyDescent="0.2">
      <c r="A292" t="s">
        <v>176</v>
      </c>
      <c r="B292" t="s">
        <v>3</v>
      </c>
      <c r="C292" t="s">
        <v>15</v>
      </c>
      <c r="D292" t="s">
        <v>3</v>
      </c>
    </row>
    <row r="293" spans="1:4" x14ac:dyDescent="0.2">
      <c r="A293" t="s">
        <v>176</v>
      </c>
      <c r="B293" t="s">
        <v>3</v>
      </c>
      <c r="C293" t="s">
        <v>5</v>
      </c>
      <c r="D293" t="s">
        <v>3</v>
      </c>
    </row>
    <row r="294" spans="1:4" x14ac:dyDescent="0.2">
      <c r="A294" t="s">
        <v>176</v>
      </c>
      <c r="B294" t="s">
        <v>3</v>
      </c>
      <c r="C294" t="s">
        <v>4</v>
      </c>
      <c r="D294" t="s">
        <v>3</v>
      </c>
    </row>
    <row r="295" spans="1:4" x14ac:dyDescent="0.2">
      <c r="A295" t="s">
        <v>177</v>
      </c>
      <c r="B295" t="s">
        <v>3</v>
      </c>
      <c r="C295" t="s">
        <v>121</v>
      </c>
      <c r="D295" t="s">
        <v>3</v>
      </c>
    </row>
    <row r="296" spans="1:4" x14ac:dyDescent="0.2">
      <c r="A296" t="s">
        <v>177</v>
      </c>
      <c r="B296" t="s">
        <v>3</v>
      </c>
      <c r="C296" t="s">
        <v>15</v>
      </c>
      <c r="D296" t="s">
        <v>3</v>
      </c>
    </row>
    <row r="297" spans="1:4" x14ac:dyDescent="0.2">
      <c r="A297" t="s">
        <v>177</v>
      </c>
      <c r="B297" t="s">
        <v>3</v>
      </c>
      <c r="C297" t="s">
        <v>5</v>
      </c>
      <c r="D297" t="s">
        <v>3</v>
      </c>
    </row>
    <row r="298" spans="1:4" x14ac:dyDescent="0.2">
      <c r="A298" t="s">
        <v>177</v>
      </c>
      <c r="B298" t="s">
        <v>3</v>
      </c>
      <c r="C298" t="s">
        <v>4</v>
      </c>
      <c r="D298" t="s">
        <v>3</v>
      </c>
    </row>
    <row r="299" spans="1:4" x14ac:dyDescent="0.2">
      <c r="A299" t="s">
        <v>178</v>
      </c>
      <c r="B299" t="s">
        <v>3</v>
      </c>
      <c r="C299" t="s">
        <v>121</v>
      </c>
      <c r="D299" t="s">
        <v>3</v>
      </c>
    </row>
    <row r="300" spans="1:4" x14ac:dyDescent="0.2">
      <c r="A300" t="s">
        <v>178</v>
      </c>
      <c r="B300" t="s">
        <v>3</v>
      </c>
      <c r="C300" t="s">
        <v>15</v>
      </c>
      <c r="D300" t="s">
        <v>3</v>
      </c>
    </row>
    <row r="301" spans="1:4" x14ac:dyDescent="0.2">
      <c r="A301" t="s">
        <v>178</v>
      </c>
      <c r="B301" t="s">
        <v>3</v>
      </c>
      <c r="C301" t="s">
        <v>5</v>
      </c>
      <c r="D301" t="s">
        <v>3</v>
      </c>
    </row>
    <row r="302" spans="1:4" x14ac:dyDescent="0.2">
      <c r="A302" t="s">
        <v>178</v>
      </c>
      <c r="B302" t="s">
        <v>3</v>
      </c>
      <c r="C302" t="s">
        <v>4</v>
      </c>
      <c r="D302" t="s">
        <v>3</v>
      </c>
    </row>
    <row r="303" spans="1:4" x14ac:dyDescent="0.2">
      <c r="A303" t="s">
        <v>179</v>
      </c>
      <c r="B303" t="s">
        <v>3</v>
      </c>
      <c r="C303" t="s">
        <v>121</v>
      </c>
      <c r="D303" t="s">
        <v>3</v>
      </c>
    </row>
    <row r="304" spans="1:4" x14ac:dyDescent="0.2">
      <c r="A304" t="s">
        <v>179</v>
      </c>
      <c r="B304" t="s">
        <v>3</v>
      </c>
      <c r="C304" t="s">
        <v>15</v>
      </c>
      <c r="D304" t="s">
        <v>3</v>
      </c>
    </row>
    <row r="305" spans="1:4" x14ac:dyDescent="0.2">
      <c r="A305" t="s">
        <v>179</v>
      </c>
      <c r="B305" t="s">
        <v>3</v>
      </c>
      <c r="C305" t="s">
        <v>5</v>
      </c>
      <c r="D305" t="s">
        <v>3</v>
      </c>
    </row>
    <row r="306" spans="1:4" x14ac:dyDescent="0.2">
      <c r="A306" t="s">
        <v>179</v>
      </c>
      <c r="B306" t="s">
        <v>3</v>
      </c>
      <c r="C306" t="s">
        <v>4</v>
      </c>
      <c r="D306" t="s">
        <v>3</v>
      </c>
    </row>
    <row r="307" spans="1:4" x14ac:dyDescent="0.2">
      <c r="A307" t="s">
        <v>180</v>
      </c>
      <c r="B307" t="s">
        <v>3</v>
      </c>
      <c r="C307" t="s">
        <v>121</v>
      </c>
      <c r="D307" t="s">
        <v>3</v>
      </c>
    </row>
    <row r="308" spans="1:4" x14ac:dyDescent="0.2">
      <c r="A308" t="s">
        <v>180</v>
      </c>
      <c r="B308" t="s">
        <v>3</v>
      </c>
      <c r="C308" t="s">
        <v>15</v>
      </c>
      <c r="D308" t="s">
        <v>3</v>
      </c>
    </row>
    <row r="309" spans="1:4" x14ac:dyDescent="0.2">
      <c r="A309" t="s">
        <v>180</v>
      </c>
      <c r="B309" t="s">
        <v>3</v>
      </c>
      <c r="C309" t="s">
        <v>5</v>
      </c>
      <c r="D309" t="s">
        <v>3</v>
      </c>
    </row>
    <row r="310" spans="1:4" x14ac:dyDescent="0.2">
      <c r="A310" t="s">
        <v>180</v>
      </c>
      <c r="B310" t="s">
        <v>3</v>
      </c>
      <c r="C310" t="s">
        <v>4</v>
      </c>
      <c r="D310" t="s">
        <v>3</v>
      </c>
    </row>
    <row r="311" spans="1:4" x14ac:dyDescent="0.2">
      <c r="A311" t="s">
        <v>181</v>
      </c>
      <c r="B311" t="s">
        <v>3</v>
      </c>
      <c r="C311" t="s">
        <v>121</v>
      </c>
      <c r="D311" t="s">
        <v>3</v>
      </c>
    </row>
    <row r="312" spans="1:4" x14ac:dyDescent="0.2">
      <c r="A312" t="s">
        <v>181</v>
      </c>
      <c r="B312" t="s">
        <v>3</v>
      </c>
      <c r="C312" t="s">
        <v>15</v>
      </c>
      <c r="D312" t="s">
        <v>3</v>
      </c>
    </row>
    <row r="313" spans="1:4" x14ac:dyDescent="0.2">
      <c r="A313" t="s">
        <v>181</v>
      </c>
      <c r="B313" t="s">
        <v>3</v>
      </c>
      <c r="C313" t="s">
        <v>5</v>
      </c>
      <c r="D313" t="s">
        <v>3</v>
      </c>
    </row>
    <row r="314" spans="1:4" x14ac:dyDescent="0.2">
      <c r="A314" t="s">
        <v>181</v>
      </c>
      <c r="B314" t="s">
        <v>3</v>
      </c>
      <c r="C314" t="s">
        <v>4</v>
      </c>
      <c r="D314" t="s">
        <v>3</v>
      </c>
    </row>
    <row r="315" spans="1:4" x14ac:dyDescent="0.2">
      <c r="A315" t="s">
        <v>182</v>
      </c>
      <c r="B315" t="s">
        <v>3</v>
      </c>
      <c r="C315" t="s">
        <v>121</v>
      </c>
      <c r="D315" t="s">
        <v>3</v>
      </c>
    </row>
    <row r="316" spans="1:4" x14ac:dyDescent="0.2">
      <c r="A316" t="s">
        <v>182</v>
      </c>
      <c r="B316" t="s">
        <v>3</v>
      </c>
      <c r="C316" t="s">
        <v>15</v>
      </c>
      <c r="D316" t="s">
        <v>3</v>
      </c>
    </row>
    <row r="317" spans="1:4" x14ac:dyDescent="0.2">
      <c r="A317" t="s">
        <v>182</v>
      </c>
      <c r="B317" t="s">
        <v>3</v>
      </c>
      <c r="C317" t="s">
        <v>5</v>
      </c>
      <c r="D317" t="s">
        <v>3</v>
      </c>
    </row>
    <row r="318" spans="1:4" x14ac:dyDescent="0.2">
      <c r="A318" t="s">
        <v>182</v>
      </c>
      <c r="B318" t="s">
        <v>3</v>
      </c>
      <c r="C318" t="s">
        <v>4</v>
      </c>
      <c r="D318" t="s">
        <v>3</v>
      </c>
    </row>
    <row r="319" spans="1:4" x14ac:dyDescent="0.2">
      <c r="A319" t="s">
        <v>187</v>
      </c>
      <c r="B319" t="s">
        <v>3</v>
      </c>
      <c r="C319" t="s">
        <v>183</v>
      </c>
      <c r="D319" s="3">
        <v>0.2427</v>
      </c>
    </row>
    <row r="320" spans="1:4" x14ac:dyDescent="0.2">
      <c r="A320" t="s">
        <v>187</v>
      </c>
      <c r="B320" t="s">
        <v>3</v>
      </c>
      <c r="C320" t="s">
        <v>184</v>
      </c>
      <c r="D320" s="3">
        <v>0.23219999999999999</v>
      </c>
    </row>
    <row r="321" spans="1:4" x14ac:dyDescent="0.2">
      <c r="A321" t="s">
        <v>187</v>
      </c>
      <c r="B321" t="s">
        <v>3</v>
      </c>
      <c r="C321" t="s">
        <v>185</v>
      </c>
      <c r="D321" s="3">
        <v>0.30230000000000001</v>
      </c>
    </row>
    <row r="322" spans="1:4" x14ac:dyDescent="0.2">
      <c r="A322" t="s">
        <v>187</v>
      </c>
      <c r="B322" t="s">
        <v>3</v>
      </c>
      <c r="C322" t="s">
        <v>186</v>
      </c>
      <c r="D322" s="3">
        <v>0.2228</v>
      </c>
    </row>
    <row r="323" spans="1:4" x14ac:dyDescent="0.2">
      <c r="A323" t="s">
        <v>188</v>
      </c>
      <c r="B323" t="s">
        <v>3</v>
      </c>
      <c r="C323" t="s">
        <v>183</v>
      </c>
      <c r="D323" s="3">
        <v>0.2427</v>
      </c>
    </row>
    <row r="324" spans="1:4" x14ac:dyDescent="0.2">
      <c r="A324" t="s">
        <v>188</v>
      </c>
      <c r="B324" t="s">
        <v>3</v>
      </c>
      <c r="C324" t="s">
        <v>184</v>
      </c>
      <c r="D324" s="3">
        <v>0.23219999999999999</v>
      </c>
    </row>
    <row r="325" spans="1:4" x14ac:dyDescent="0.2">
      <c r="A325" t="s">
        <v>188</v>
      </c>
      <c r="B325" t="s">
        <v>3</v>
      </c>
      <c r="C325" t="s">
        <v>185</v>
      </c>
      <c r="D325" s="3">
        <v>0.30230000000000001</v>
      </c>
    </row>
    <row r="326" spans="1:4" x14ac:dyDescent="0.2">
      <c r="A326" t="s">
        <v>188</v>
      </c>
      <c r="B326" t="s">
        <v>3</v>
      </c>
      <c r="C326" t="s">
        <v>186</v>
      </c>
      <c r="D326" s="3">
        <v>0.2228</v>
      </c>
    </row>
    <row r="327" spans="1:4" x14ac:dyDescent="0.2">
      <c r="A327" t="s">
        <v>189</v>
      </c>
      <c r="B327" t="s">
        <v>3</v>
      </c>
      <c r="C327" t="s">
        <v>183</v>
      </c>
      <c r="D327" s="3">
        <v>0.2427</v>
      </c>
    </row>
    <row r="328" spans="1:4" x14ac:dyDescent="0.2">
      <c r="A328" t="s">
        <v>189</v>
      </c>
      <c r="B328" t="s">
        <v>3</v>
      </c>
      <c r="C328" t="s">
        <v>184</v>
      </c>
      <c r="D328" s="3">
        <v>0.23219999999999999</v>
      </c>
    </row>
    <row r="329" spans="1:4" x14ac:dyDescent="0.2">
      <c r="A329" t="s">
        <v>189</v>
      </c>
      <c r="B329" t="s">
        <v>3</v>
      </c>
      <c r="C329" t="s">
        <v>185</v>
      </c>
      <c r="D329" s="3">
        <v>0.30230000000000001</v>
      </c>
    </row>
    <row r="330" spans="1:4" x14ac:dyDescent="0.2">
      <c r="A330" t="s">
        <v>189</v>
      </c>
      <c r="B330" t="s">
        <v>3</v>
      </c>
      <c r="C330" t="s">
        <v>186</v>
      </c>
      <c r="D330" s="3">
        <v>0.2228</v>
      </c>
    </row>
    <row r="331" spans="1:4" x14ac:dyDescent="0.2">
      <c r="A331" t="s">
        <v>190</v>
      </c>
      <c r="B331" t="s">
        <v>3</v>
      </c>
      <c r="C331" t="s">
        <v>183</v>
      </c>
      <c r="D331" s="3">
        <v>0.2427</v>
      </c>
    </row>
    <row r="332" spans="1:4" x14ac:dyDescent="0.2">
      <c r="A332" t="s">
        <v>190</v>
      </c>
      <c r="B332" t="s">
        <v>3</v>
      </c>
      <c r="C332" t="s">
        <v>184</v>
      </c>
      <c r="D332" s="3">
        <v>0.23219999999999999</v>
      </c>
    </row>
    <row r="333" spans="1:4" x14ac:dyDescent="0.2">
      <c r="A333" t="s">
        <v>190</v>
      </c>
      <c r="B333" t="s">
        <v>3</v>
      </c>
      <c r="C333" t="s">
        <v>185</v>
      </c>
      <c r="D333" s="3">
        <v>0.30230000000000001</v>
      </c>
    </row>
    <row r="334" spans="1:4" x14ac:dyDescent="0.2">
      <c r="A334" t="s">
        <v>190</v>
      </c>
      <c r="B334" t="s">
        <v>3</v>
      </c>
      <c r="C334" t="s">
        <v>186</v>
      </c>
      <c r="D334" s="3">
        <v>0.2228</v>
      </c>
    </row>
    <row r="335" spans="1:4" x14ac:dyDescent="0.2">
      <c r="A335" t="s">
        <v>191</v>
      </c>
      <c r="B335" t="s">
        <v>3</v>
      </c>
      <c r="C335" t="s">
        <v>183</v>
      </c>
      <c r="D335" s="3">
        <v>0.2427</v>
      </c>
    </row>
    <row r="336" spans="1:4" x14ac:dyDescent="0.2">
      <c r="A336" t="s">
        <v>191</v>
      </c>
      <c r="B336" t="s">
        <v>3</v>
      </c>
      <c r="C336" t="s">
        <v>184</v>
      </c>
      <c r="D336" s="3">
        <v>0.23219999999999999</v>
      </c>
    </row>
    <row r="337" spans="1:4" x14ac:dyDescent="0.2">
      <c r="A337" t="s">
        <v>191</v>
      </c>
      <c r="B337" t="s">
        <v>3</v>
      </c>
      <c r="C337" t="s">
        <v>185</v>
      </c>
      <c r="D337" s="3">
        <v>0.30230000000000001</v>
      </c>
    </row>
    <row r="338" spans="1:4" x14ac:dyDescent="0.2">
      <c r="A338" t="s">
        <v>191</v>
      </c>
      <c r="B338" t="s">
        <v>3</v>
      </c>
      <c r="C338" t="s">
        <v>186</v>
      </c>
      <c r="D338" s="3">
        <v>0.2228</v>
      </c>
    </row>
    <row r="339" spans="1:4" x14ac:dyDescent="0.2">
      <c r="A339" t="s">
        <v>192</v>
      </c>
      <c r="B339" t="s">
        <v>3</v>
      </c>
      <c r="C339" t="s">
        <v>183</v>
      </c>
      <c r="D339" s="3">
        <v>0.2427</v>
      </c>
    </row>
    <row r="340" spans="1:4" x14ac:dyDescent="0.2">
      <c r="A340" t="s">
        <v>192</v>
      </c>
      <c r="B340" t="s">
        <v>3</v>
      </c>
      <c r="C340" t="s">
        <v>184</v>
      </c>
      <c r="D340" s="3">
        <v>0.23219999999999999</v>
      </c>
    </row>
    <row r="341" spans="1:4" x14ac:dyDescent="0.2">
      <c r="A341" t="s">
        <v>192</v>
      </c>
      <c r="B341" t="s">
        <v>3</v>
      </c>
      <c r="C341" t="s">
        <v>185</v>
      </c>
      <c r="D341" s="3">
        <v>0.30230000000000001</v>
      </c>
    </row>
    <row r="342" spans="1:4" x14ac:dyDescent="0.2">
      <c r="A342" t="s">
        <v>192</v>
      </c>
      <c r="B342" t="s">
        <v>3</v>
      </c>
      <c r="C342" t="s">
        <v>186</v>
      </c>
      <c r="D342" s="3">
        <v>0.2228</v>
      </c>
    </row>
    <row r="343" spans="1:4" x14ac:dyDescent="0.2">
      <c r="A343" t="s">
        <v>193</v>
      </c>
      <c r="B343" t="s">
        <v>3</v>
      </c>
      <c r="C343" t="s">
        <v>183</v>
      </c>
      <c r="D343" s="3">
        <v>0.2427</v>
      </c>
    </row>
    <row r="344" spans="1:4" x14ac:dyDescent="0.2">
      <c r="A344" t="s">
        <v>193</v>
      </c>
      <c r="B344" t="s">
        <v>3</v>
      </c>
      <c r="C344" t="s">
        <v>184</v>
      </c>
      <c r="D344" s="3">
        <v>0.23219999999999999</v>
      </c>
    </row>
    <row r="345" spans="1:4" x14ac:dyDescent="0.2">
      <c r="A345" t="s">
        <v>193</v>
      </c>
      <c r="B345" t="s">
        <v>3</v>
      </c>
      <c r="C345" t="s">
        <v>185</v>
      </c>
      <c r="D345" s="3">
        <v>0.30230000000000001</v>
      </c>
    </row>
    <row r="346" spans="1:4" x14ac:dyDescent="0.2">
      <c r="A346" t="s">
        <v>193</v>
      </c>
      <c r="B346" t="s">
        <v>3</v>
      </c>
      <c r="C346" t="s">
        <v>186</v>
      </c>
      <c r="D346" s="3">
        <v>0.2228</v>
      </c>
    </row>
    <row r="347" spans="1:4" x14ac:dyDescent="0.2">
      <c r="A347" t="s">
        <v>194</v>
      </c>
      <c r="B347" t="s">
        <v>3</v>
      </c>
      <c r="C347" t="s">
        <v>183</v>
      </c>
      <c r="D347" s="3">
        <v>0.2427</v>
      </c>
    </row>
    <row r="348" spans="1:4" x14ac:dyDescent="0.2">
      <c r="A348" t="s">
        <v>194</v>
      </c>
      <c r="B348" t="s">
        <v>3</v>
      </c>
      <c r="C348" t="s">
        <v>184</v>
      </c>
      <c r="D348" s="3">
        <v>0.23219999999999999</v>
      </c>
    </row>
    <row r="349" spans="1:4" x14ac:dyDescent="0.2">
      <c r="A349" t="s">
        <v>194</v>
      </c>
      <c r="B349" t="s">
        <v>3</v>
      </c>
      <c r="C349" t="s">
        <v>185</v>
      </c>
      <c r="D349" s="3">
        <v>0.30230000000000001</v>
      </c>
    </row>
    <row r="350" spans="1:4" x14ac:dyDescent="0.2">
      <c r="A350" t="s">
        <v>194</v>
      </c>
      <c r="B350" t="s">
        <v>3</v>
      </c>
      <c r="C350" t="s">
        <v>186</v>
      </c>
      <c r="D350" s="3">
        <v>0.2228</v>
      </c>
    </row>
    <row r="351" spans="1:4" x14ac:dyDescent="0.2">
      <c r="A351" t="s">
        <v>195</v>
      </c>
      <c r="B351" t="s">
        <v>3</v>
      </c>
      <c r="C351" t="s">
        <v>183</v>
      </c>
      <c r="D351" s="3">
        <v>0.2427</v>
      </c>
    </row>
    <row r="352" spans="1:4" x14ac:dyDescent="0.2">
      <c r="A352" t="s">
        <v>195</v>
      </c>
      <c r="B352" t="s">
        <v>3</v>
      </c>
      <c r="C352" t="s">
        <v>184</v>
      </c>
      <c r="D352" s="3">
        <v>0.23219999999999999</v>
      </c>
    </row>
    <row r="353" spans="1:4" x14ac:dyDescent="0.2">
      <c r="A353" t="s">
        <v>195</v>
      </c>
      <c r="B353" t="s">
        <v>3</v>
      </c>
      <c r="C353" t="s">
        <v>185</v>
      </c>
      <c r="D353" s="3">
        <v>0.30230000000000001</v>
      </c>
    </row>
    <row r="354" spans="1:4" x14ac:dyDescent="0.2">
      <c r="A354" t="s">
        <v>195</v>
      </c>
      <c r="B354" t="s">
        <v>3</v>
      </c>
      <c r="C354" t="s">
        <v>186</v>
      </c>
      <c r="D354" s="3">
        <v>0.2228</v>
      </c>
    </row>
    <row r="355" spans="1:4" x14ac:dyDescent="0.2">
      <c r="A355" t="s">
        <v>196</v>
      </c>
      <c r="B355" t="s">
        <v>3</v>
      </c>
      <c r="C355" t="s">
        <v>183</v>
      </c>
      <c r="D355" s="3">
        <v>0.2427</v>
      </c>
    </row>
    <row r="356" spans="1:4" x14ac:dyDescent="0.2">
      <c r="A356" t="s">
        <v>196</v>
      </c>
      <c r="B356" t="s">
        <v>3</v>
      </c>
      <c r="C356" t="s">
        <v>184</v>
      </c>
      <c r="D356" s="3">
        <v>0.23219999999999999</v>
      </c>
    </row>
    <row r="357" spans="1:4" x14ac:dyDescent="0.2">
      <c r="A357" t="s">
        <v>196</v>
      </c>
      <c r="B357" t="s">
        <v>3</v>
      </c>
      <c r="C357" t="s">
        <v>185</v>
      </c>
      <c r="D357" s="3">
        <v>0.30230000000000001</v>
      </c>
    </row>
    <row r="358" spans="1:4" x14ac:dyDescent="0.2">
      <c r="A358" t="s">
        <v>196</v>
      </c>
      <c r="B358" t="s">
        <v>3</v>
      </c>
      <c r="C358" t="s">
        <v>186</v>
      </c>
      <c r="D358" s="3">
        <v>0.2228</v>
      </c>
    </row>
    <row r="359" spans="1:4" x14ac:dyDescent="0.2">
      <c r="A359" t="s">
        <v>197</v>
      </c>
      <c r="B359" t="s">
        <v>3</v>
      </c>
      <c r="C359" t="s">
        <v>183</v>
      </c>
      <c r="D359" s="3">
        <v>0.2427</v>
      </c>
    </row>
    <row r="360" spans="1:4" x14ac:dyDescent="0.2">
      <c r="A360" t="s">
        <v>197</v>
      </c>
      <c r="B360" t="s">
        <v>3</v>
      </c>
      <c r="C360" t="s">
        <v>184</v>
      </c>
      <c r="D360" s="3">
        <v>0.23219999999999999</v>
      </c>
    </row>
    <row r="361" spans="1:4" x14ac:dyDescent="0.2">
      <c r="A361" t="s">
        <v>197</v>
      </c>
      <c r="B361" t="s">
        <v>3</v>
      </c>
      <c r="C361" t="s">
        <v>185</v>
      </c>
      <c r="D361" s="3">
        <v>0.30230000000000001</v>
      </c>
    </row>
    <row r="362" spans="1:4" x14ac:dyDescent="0.2">
      <c r="A362" t="s">
        <v>197</v>
      </c>
      <c r="B362" t="s">
        <v>3</v>
      </c>
      <c r="C362" t="s">
        <v>186</v>
      </c>
      <c r="D362" s="3">
        <v>0.2228</v>
      </c>
    </row>
    <row r="363" spans="1:4" x14ac:dyDescent="0.2">
      <c r="A363" t="s">
        <v>198</v>
      </c>
      <c r="B363" t="s">
        <v>3</v>
      </c>
      <c r="C363" t="s">
        <v>183</v>
      </c>
      <c r="D363" s="3">
        <v>0.2427</v>
      </c>
    </row>
    <row r="364" spans="1:4" x14ac:dyDescent="0.2">
      <c r="A364" t="s">
        <v>198</v>
      </c>
      <c r="B364" t="s">
        <v>3</v>
      </c>
      <c r="C364" t="s">
        <v>184</v>
      </c>
      <c r="D364" s="3">
        <v>0.23219999999999999</v>
      </c>
    </row>
    <row r="365" spans="1:4" x14ac:dyDescent="0.2">
      <c r="A365" t="s">
        <v>198</v>
      </c>
      <c r="B365" t="s">
        <v>3</v>
      </c>
      <c r="C365" t="s">
        <v>185</v>
      </c>
      <c r="D365" s="3">
        <v>0.30230000000000001</v>
      </c>
    </row>
    <row r="366" spans="1:4" x14ac:dyDescent="0.2">
      <c r="A366" t="s">
        <v>198</v>
      </c>
      <c r="B366" t="s">
        <v>3</v>
      </c>
      <c r="C366" t="s">
        <v>186</v>
      </c>
      <c r="D366" s="3">
        <v>0.2228</v>
      </c>
    </row>
    <row r="367" spans="1:4" x14ac:dyDescent="0.2">
      <c r="A367" t="s">
        <v>199</v>
      </c>
      <c r="B367" t="s">
        <v>3</v>
      </c>
      <c r="C367" t="s">
        <v>183</v>
      </c>
      <c r="D367" s="3">
        <v>0.2427</v>
      </c>
    </row>
    <row r="368" spans="1:4" x14ac:dyDescent="0.2">
      <c r="A368" t="s">
        <v>199</v>
      </c>
      <c r="B368" t="s">
        <v>3</v>
      </c>
      <c r="C368" t="s">
        <v>184</v>
      </c>
      <c r="D368" s="3">
        <v>0.23219999999999999</v>
      </c>
    </row>
    <row r="369" spans="1:4" x14ac:dyDescent="0.2">
      <c r="A369" t="s">
        <v>199</v>
      </c>
      <c r="B369" t="s">
        <v>3</v>
      </c>
      <c r="C369" t="s">
        <v>185</v>
      </c>
      <c r="D369" s="3">
        <v>0.30230000000000001</v>
      </c>
    </row>
    <row r="370" spans="1:4" x14ac:dyDescent="0.2">
      <c r="A370" t="s">
        <v>199</v>
      </c>
      <c r="B370" t="s">
        <v>3</v>
      </c>
      <c r="C370" t="s">
        <v>186</v>
      </c>
      <c r="D370" s="3">
        <v>0.2228</v>
      </c>
    </row>
    <row r="371" spans="1:4" x14ac:dyDescent="0.2">
      <c r="A371" t="s">
        <v>200</v>
      </c>
      <c r="B371" t="s">
        <v>3</v>
      </c>
      <c r="C371" t="s">
        <v>183</v>
      </c>
      <c r="D371" s="3">
        <v>0.2427</v>
      </c>
    </row>
    <row r="372" spans="1:4" x14ac:dyDescent="0.2">
      <c r="A372" t="s">
        <v>200</v>
      </c>
      <c r="B372" t="s">
        <v>3</v>
      </c>
      <c r="C372" t="s">
        <v>184</v>
      </c>
      <c r="D372" s="3">
        <v>0.23219999999999999</v>
      </c>
    </row>
    <row r="373" spans="1:4" x14ac:dyDescent="0.2">
      <c r="A373" t="s">
        <v>200</v>
      </c>
      <c r="B373" t="s">
        <v>3</v>
      </c>
      <c r="C373" t="s">
        <v>185</v>
      </c>
      <c r="D373" s="3">
        <v>0.30230000000000001</v>
      </c>
    </row>
    <row r="374" spans="1:4" x14ac:dyDescent="0.2">
      <c r="A374" t="s">
        <v>200</v>
      </c>
      <c r="B374" t="s">
        <v>3</v>
      </c>
      <c r="C374" t="s">
        <v>186</v>
      </c>
      <c r="D374" s="3">
        <v>0.2228</v>
      </c>
    </row>
  </sheetData>
  <phoneticPr fontId="2" type="noConversion"/>
  <pageMargins left="0.7" right="0.7" top="0.75" bottom="0.75" header="0.3" footer="0.3"/>
  <ignoredErrors>
    <ignoredError sqref="D209 D215 D2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2022-09-10T19:03:57Z</dcterms:created>
  <dcterms:modified xsi:type="dcterms:W3CDTF">2022-09-28T20:29:26Z</dcterms:modified>
</cp:coreProperties>
</file>